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p\Downloads\"/>
    </mc:Choice>
  </mc:AlternateContent>
  <bookViews>
    <workbookView xWindow="0" yWindow="0" windowWidth="11970" windowHeight="7680" tabRatio="500" firstSheet="2" activeTab="10"/>
  </bookViews>
  <sheets>
    <sheet name="InfoInicial" sheetId="1" r:id="rId1"/>
    <sheet name="E-Inv AF y Am" sheetId="2" r:id="rId2"/>
    <sheet name="PRODUCCION" sheetId="16" r:id="rId3"/>
    <sheet name="COMER" sheetId="19" r:id="rId4"/>
    <sheet name="ADM" sheetId="17" r:id="rId5"/>
    <sheet name="ACT TRABAJO" sheetId="18" r:id="rId6"/>
    <sheet name="E-Costos" sheetId="3" r:id="rId7"/>
    <sheet name="E-InvAT" sheetId="4" r:id="rId8"/>
    <sheet name="E-Cal Inv." sheetId="5" r:id="rId9"/>
    <sheet name="E-IVA " sheetId="6" r:id="rId10"/>
    <sheet name="E-Form" sheetId="7" r:id="rId11"/>
    <sheet name="F-Cred" sheetId="8" r:id="rId12"/>
    <sheet name="F-CRes" sheetId="9" r:id="rId13"/>
    <sheet name="F-2 Estructura" sheetId="10" r:id="rId14"/>
    <sheet name="F-IVA" sheetId="11" r:id="rId15"/>
    <sheet name="F- CFyU" sheetId="12" r:id="rId16"/>
    <sheet name="F-Balance" sheetId="13" r:id="rId17"/>
    <sheet name="F- Form" sheetId="14" r:id="rId18"/>
  </sheets>
  <externalReferences>
    <externalReference r:id="rId19"/>
  </externalReferences>
  <definedNames>
    <definedName name="_xlnm.Print_Area" localSheetId="6">('E-Costos'!$A$3:$G$47,'E-Costos'!$A$50:$F$81,'E-Costos'!$A$84:$F$136)</definedName>
    <definedName name="_xlnm.Print_Area" localSheetId="15">'F- CFyU'!$A$3:$H$28</definedName>
    <definedName name="_xlnm.Print_Area" localSheetId="16">'F-Balance'!$A$3:$G$35</definedName>
    <definedName name="_xlnm.Print_Area" localSheetId="11">'F-Cred'!$A$1:$I$54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52511"/>
</workbook>
</file>

<file path=xl/calcChain.xml><?xml version="1.0" encoding="utf-8"?>
<calcChain xmlns="http://schemas.openxmlformats.org/spreadsheetml/2006/main">
  <c r="B7" i="3" l="1"/>
  <c r="B20" i="3" s="1"/>
  <c r="M24" i="18"/>
  <c r="M33" i="18"/>
  <c r="Z64" i="16"/>
  <c r="D41" i="16"/>
  <c r="D42" i="16"/>
  <c r="D43" i="16"/>
  <c r="D44" i="16"/>
  <c r="D45" i="16"/>
  <c r="D46" i="16"/>
  <c r="D47" i="16"/>
  <c r="D48" i="16"/>
  <c r="M32" i="16"/>
  <c r="C93" i="16" l="1"/>
  <c r="C94" i="16"/>
  <c r="C96" i="16"/>
  <c r="D15" i="3" s="1"/>
  <c r="M51" i="17"/>
  <c r="M52" i="17"/>
  <c r="B43" i="2"/>
  <c r="G43" i="2"/>
  <c r="H1" i="7"/>
  <c r="B7" i="5"/>
  <c r="F133" i="3"/>
  <c r="C133" i="3"/>
  <c r="B133" i="3"/>
  <c r="D7" i="17"/>
  <c r="D8" i="17"/>
  <c r="D9" i="17"/>
  <c r="D10" i="17"/>
  <c r="D11" i="17"/>
  <c r="D12" i="17"/>
  <c r="B73" i="3"/>
  <c r="B74" i="3"/>
  <c r="AA69" i="16"/>
  <c r="AA67" i="16"/>
  <c r="D73" i="3"/>
  <c r="D74" i="3"/>
  <c r="E73" i="3"/>
  <c r="E74" i="3"/>
  <c r="F73" i="3"/>
  <c r="F74" i="3"/>
  <c r="C73" i="3"/>
  <c r="C74" i="3"/>
  <c r="J140" i="3"/>
  <c r="H140" i="3"/>
  <c r="D56" i="3"/>
  <c r="E56" i="3"/>
  <c r="F56" i="3"/>
  <c r="C56" i="3"/>
  <c r="B56" i="3"/>
  <c r="K14" i="19"/>
  <c r="O14" i="19"/>
  <c r="C57" i="17"/>
  <c r="B57" i="17"/>
  <c r="B131" i="3"/>
  <c r="E8" i="5"/>
  <c r="B6" i="7"/>
  <c r="B8" i="5"/>
  <c r="K5" i="7"/>
  <c r="G16" i="6"/>
  <c r="F16" i="6"/>
  <c r="E16" i="6"/>
  <c r="G15" i="6"/>
  <c r="F15" i="6"/>
  <c r="E15" i="6"/>
  <c r="G22" i="6"/>
  <c r="F22" i="6"/>
  <c r="E22" i="6"/>
  <c r="D22" i="6"/>
  <c r="C22" i="6"/>
  <c r="D25" i="6"/>
  <c r="G25" i="6"/>
  <c r="F25" i="6"/>
  <c r="E25" i="6"/>
  <c r="B21" i="5"/>
  <c r="B23" i="5"/>
  <c r="B25" i="5"/>
  <c r="H11" i="5"/>
  <c r="G11" i="5"/>
  <c r="F11" i="5"/>
  <c r="E11" i="5"/>
  <c r="D11" i="5"/>
  <c r="C11" i="5"/>
  <c r="D7" i="5"/>
  <c r="C7" i="5"/>
  <c r="B22" i="5"/>
  <c r="H21" i="5"/>
  <c r="G21" i="5"/>
  <c r="F21" i="5"/>
  <c r="E21" i="5"/>
  <c r="D8" i="5"/>
  <c r="D21" i="5"/>
  <c r="F8" i="5"/>
  <c r="G8" i="5"/>
  <c r="H8" i="5"/>
  <c r="I11" i="5"/>
  <c r="B18" i="5"/>
  <c r="I7" i="5"/>
  <c r="B11" i="2"/>
  <c r="C133" i="16"/>
  <c r="B133" i="16"/>
  <c r="D133" i="16"/>
  <c r="B46" i="2"/>
  <c r="D46" i="2"/>
  <c r="J145" i="3"/>
  <c r="E46" i="2"/>
  <c r="H144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H244" i="3"/>
  <c r="B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B244" i="3"/>
  <c r="H243" i="3"/>
  <c r="B243" i="3"/>
  <c r="H242" i="3"/>
  <c r="B242" i="3"/>
  <c r="H241" i="3"/>
  <c r="B241" i="3"/>
  <c r="H240" i="3"/>
  <c r="B240" i="3"/>
  <c r="H239" i="3"/>
  <c r="B239" i="3"/>
  <c r="H238" i="3"/>
  <c r="B238" i="3"/>
  <c r="H237" i="3"/>
  <c r="B237" i="3"/>
  <c r="H236" i="3"/>
  <c r="B236" i="3"/>
  <c r="H235" i="3"/>
  <c r="B235" i="3"/>
  <c r="H234" i="3"/>
  <c r="B234" i="3"/>
  <c r="H233" i="3"/>
  <c r="B233" i="3"/>
  <c r="H232" i="3"/>
  <c r="B232" i="3"/>
  <c r="H231" i="3"/>
  <c r="B231" i="3"/>
  <c r="H230" i="3"/>
  <c r="B230" i="3"/>
  <c r="H229" i="3"/>
  <c r="B229" i="3"/>
  <c r="H228" i="3"/>
  <c r="B228" i="3"/>
  <c r="H227" i="3"/>
  <c r="B227" i="3"/>
  <c r="H226" i="3"/>
  <c r="B226" i="3"/>
  <c r="H225" i="3"/>
  <c r="B225" i="3"/>
  <c r="H224" i="3"/>
  <c r="B224" i="3"/>
  <c r="H223" i="3"/>
  <c r="B223" i="3"/>
  <c r="H222" i="3"/>
  <c r="B222" i="3"/>
  <c r="H221" i="3"/>
  <c r="B221" i="3"/>
  <c r="H220" i="3"/>
  <c r="B220" i="3"/>
  <c r="H219" i="3"/>
  <c r="B219" i="3"/>
  <c r="H218" i="3"/>
  <c r="B218" i="3"/>
  <c r="H217" i="3"/>
  <c r="B217" i="3"/>
  <c r="H216" i="3"/>
  <c r="B216" i="3"/>
  <c r="H215" i="3"/>
  <c r="B215" i="3"/>
  <c r="H214" i="3"/>
  <c r="B214" i="3"/>
  <c r="H213" i="3"/>
  <c r="B213" i="3"/>
  <c r="H212" i="3"/>
  <c r="B212" i="3"/>
  <c r="H211" i="3"/>
  <c r="B211" i="3"/>
  <c r="H210" i="3"/>
  <c r="B210" i="3"/>
  <c r="H209" i="3"/>
  <c r="B209" i="3"/>
  <c r="H208" i="3"/>
  <c r="B208" i="3"/>
  <c r="H207" i="3"/>
  <c r="B207" i="3"/>
  <c r="H206" i="3"/>
  <c r="B206" i="3"/>
  <c r="H205" i="3"/>
  <c r="B205" i="3"/>
  <c r="H204" i="3"/>
  <c r="B204" i="3"/>
  <c r="H203" i="3"/>
  <c r="B203" i="3"/>
  <c r="H202" i="3"/>
  <c r="B202" i="3"/>
  <c r="H201" i="3"/>
  <c r="B201" i="3"/>
  <c r="H200" i="3"/>
  <c r="B200" i="3"/>
  <c r="H199" i="3"/>
  <c r="B199" i="3"/>
  <c r="H198" i="3"/>
  <c r="B198" i="3"/>
  <c r="H197" i="3"/>
  <c r="B197" i="3"/>
  <c r="H196" i="3"/>
  <c r="B196" i="3"/>
  <c r="H195" i="3"/>
  <c r="B195" i="3"/>
  <c r="H194" i="3"/>
  <c r="B194" i="3"/>
  <c r="H193" i="3"/>
  <c r="B193" i="3"/>
  <c r="H192" i="3"/>
  <c r="B192" i="3"/>
  <c r="H191" i="3"/>
  <c r="B191" i="3"/>
  <c r="H190" i="3"/>
  <c r="B190" i="3"/>
  <c r="H189" i="3"/>
  <c r="B189" i="3"/>
  <c r="H188" i="3"/>
  <c r="B188" i="3"/>
  <c r="H187" i="3"/>
  <c r="B187" i="3"/>
  <c r="H186" i="3"/>
  <c r="B186" i="3"/>
  <c r="H185" i="3"/>
  <c r="B185" i="3"/>
  <c r="H184" i="3"/>
  <c r="B184" i="3"/>
  <c r="H183" i="3"/>
  <c r="B183" i="3"/>
  <c r="H182" i="3"/>
  <c r="B182" i="3"/>
  <c r="H181" i="3"/>
  <c r="B181" i="3"/>
  <c r="H180" i="3"/>
  <c r="B180" i="3"/>
  <c r="H179" i="3"/>
  <c r="B179" i="3"/>
  <c r="H178" i="3"/>
  <c r="B178" i="3"/>
  <c r="H177" i="3"/>
  <c r="B177" i="3"/>
  <c r="H176" i="3"/>
  <c r="B176" i="3"/>
  <c r="H175" i="3"/>
  <c r="B175" i="3"/>
  <c r="H174" i="3"/>
  <c r="B174" i="3"/>
  <c r="H173" i="3"/>
  <c r="B173" i="3"/>
  <c r="H172" i="3"/>
  <c r="B172" i="3"/>
  <c r="H171" i="3"/>
  <c r="B171" i="3"/>
  <c r="H170" i="3"/>
  <c r="B170" i="3"/>
  <c r="H169" i="3"/>
  <c r="B169" i="3"/>
  <c r="H168" i="3"/>
  <c r="B168" i="3"/>
  <c r="H167" i="3"/>
  <c r="B167" i="3"/>
  <c r="H166" i="3"/>
  <c r="B166" i="3"/>
  <c r="H165" i="3"/>
  <c r="B165" i="3"/>
  <c r="H164" i="3"/>
  <c r="B164" i="3"/>
  <c r="H163" i="3"/>
  <c r="B163" i="3"/>
  <c r="H162" i="3"/>
  <c r="B162" i="3"/>
  <c r="H161" i="3"/>
  <c r="B161" i="3"/>
  <c r="H160" i="3"/>
  <c r="B160" i="3"/>
  <c r="H159" i="3"/>
  <c r="B159" i="3"/>
  <c r="H158" i="3"/>
  <c r="B158" i="3"/>
  <c r="H157" i="3"/>
  <c r="B157" i="3"/>
  <c r="H156" i="3"/>
  <c r="B156" i="3"/>
  <c r="H155" i="3"/>
  <c r="B155" i="3"/>
  <c r="H154" i="3"/>
  <c r="B154" i="3"/>
  <c r="H153" i="3"/>
  <c r="B153" i="3"/>
  <c r="H152" i="3"/>
  <c r="B152" i="3"/>
  <c r="H151" i="3"/>
  <c r="B151" i="3"/>
  <c r="H150" i="3"/>
  <c r="B150" i="3"/>
  <c r="H149" i="3"/>
  <c r="B149" i="3"/>
  <c r="H148" i="3"/>
  <c r="B148" i="3"/>
  <c r="H147" i="3"/>
  <c r="B147" i="3"/>
  <c r="H146" i="3"/>
  <c r="B146" i="3"/>
  <c r="H145" i="3"/>
  <c r="B145" i="3"/>
  <c r="D88" i="3"/>
  <c r="E133" i="3"/>
  <c r="D133" i="3"/>
  <c r="F101" i="3"/>
  <c r="E91" i="3"/>
  <c r="E101" i="3"/>
  <c r="D101" i="3"/>
  <c r="C91" i="3"/>
  <c r="C101" i="3"/>
  <c r="B101" i="3"/>
  <c r="F86" i="3"/>
  <c r="F87" i="3"/>
  <c r="F88" i="3"/>
  <c r="E86" i="3"/>
  <c r="E87" i="3"/>
  <c r="E88" i="3"/>
  <c r="D86" i="3"/>
  <c r="D87" i="3"/>
  <c r="C86" i="3"/>
  <c r="C87" i="3"/>
  <c r="C88" i="3"/>
  <c r="B86" i="3"/>
  <c r="B87" i="3"/>
  <c r="B88" i="3"/>
  <c r="F131" i="3"/>
  <c r="E131" i="3"/>
  <c r="D131" i="3"/>
  <c r="C131" i="3"/>
  <c r="F97" i="3"/>
  <c r="E97" i="3"/>
  <c r="D97" i="3"/>
  <c r="C97" i="3"/>
  <c r="B16" i="4"/>
  <c r="D41" i="19"/>
  <c r="C41" i="19"/>
  <c r="D39" i="19"/>
  <c r="C39" i="19"/>
  <c r="G53" i="19"/>
  <c r="C53" i="19"/>
  <c r="F5" i="19"/>
  <c r="D10" i="19"/>
  <c r="G10" i="19" s="1"/>
  <c r="D9" i="19"/>
  <c r="G9" i="19" s="1"/>
  <c r="D8" i="19"/>
  <c r="G8" i="19" s="1"/>
  <c r="D7" i="19"/>
  <c r="G7" i="19" s="1"/>
  <c r="D6" i="19"/>
  <c r="G6" i="19" s="1"/>
  <c r="D5" i="19"/>
  <c r="G45" i="16"/>
  <c r="G7" i="4"/>
  <c r="F7" i="4"/>
  <c r="E7" i="4"/>
  <c r="D7" i="4"/>
  <c r="C7" i="4"/>
  <c r="G6" i="4"/>
  <c r="F6" i="4"/>
  <c r="E6" i="4"/>
  <c r="D6" i="4"/>
  <c r="C6" i="4"/>
  <c r="B6" i="4"/>
  <c r="F57" i="3"/>
  <c r="E57" i="3"/>
  <c r="D57" i="3"/>
  <c r="C57" i="3"/>
  <c r="B57" i="3"/>
  <c r="K28" i="18"/>
  <c r="N28" i="18" s="1"/>
  <c r="C39" i="18" s="1"/>
  <c r="C42" i="18" s="1"/>
  <c r="K29" i="18"/>
  <c r="N29" i="18" s="1"/>
  <c r="D39" i="18" s="1"/>
  <c r="D42" i="18" s="1"/>
  <c r="K30" i="18"/>
  <c r="N30" i="18" s="1"/>
  <c r="E39" i="18" s="1"/>
  <c r="E42" i="18" s="1"/>
  <c r="K31" i="18"/>
  <c r="N31" i="18" s="1"/>
  <c r="F39" i="18" s="1"/>
  <c r="F42" i="18" s="1"/>
  <c r="K32" i="18"/>
  <c r="N32" i="18"/>
  <c r="G39" i="18" s="1"/>
  <c r="G42" i="18" s="1"/>
  <c r="K26" i="18"/>
  <c r="N26" i="18" s="1"/>
  <c r="K27" i="18"/>
  <c r="N27" i="18" s="1"/>
  <c r="B39" i="18" s="1"/>
  <c r="B42" i="18" s="1"/>
  <c r="K33" i="18"/>
  <c r="K17" i="18"/>
  <c r="N17" i="18" s="1"/>
  <c r="H27" i="18" s="1"/>
  <c r="H32" i="18" s="1"/>
  <c r="K18" i="18"/>
  <c r="N18" i="18" s="1"/>
  <c r="B27" i="18" s="1"/>
  <c r="B32" i="18" s="1"/>
  <c r="K19" i="18"/>
  <c r="N19" i="18" s="1"/>
  <c r="C27" i="18" s="1"/>
  <c r="C32" i="18" s="1"/>
  <c r="K20" i="18"/>
  <c r="N20" i="18" s="1"/>
  <c r="D27" i="18" s="1"/>
  <c r="D32" i="18" s="1"/>
  <c r="K21" i="18"/>
  <c r="N21" i="18" s="1"/>
  <c r="E27" i="18" s="1"/>
  <c r="E32" i="18" s="1"/>
  <c r="K22" i="18"/>
  <c r="N22" i="18" s="1"/>
  <c r="F27" i="18" s="1"/>
  <c r="F32" i="18" s="1"/>
  <c r="K23" i="18"/>
  <c r="N23" i="18" s="1"/>
  <c r="G27" i="18" s="1"/>
  <c r="G32" i="18" s="1"/>
  <c r="K28" i="19"/>
  <c r="K31" i="19"/>
  <c r="AA64" i="16"/>
  <c r="AA63" i="16"/>
  <c r="R57" i="16" s="1"/>
  <c r="AA62" i="16"/>
  <c r="Q66" i="16" s="1"/>
  <c r="AA61" i="16"/>
  <c r="P57" i="16" s="1"/>
  <c r="AA60" i="16"/>
  <c r="O66" i="16" s="1"/>
  <c r="AA59" i="16"/>
  <c r="N57" i="16" s="1"/>
  <c r="AA58" i="16"/>
  <c r="M66" i="16" s="1"/>
  <c r="AA57" i="16"/>
  <c r="S66" i="16" s="1"/>
  <c r="B46" i="1"/>
  <c r="B45" i="1"/>
  <c r="B21" i="18"/>
  <c r="B20" i="18"/>
  <c r="B14" i="18"/>
  <c r="B13" i="18"/>
  <c r="M55" i="17"/>
  <c r="M54" i="17"/>
  <c r="C44" i="17"/>
  <c r="C12" i="17"/>
  <c r="H12" i="17" s="1"/>
  <c r="C11" i="17"/>
  <c r="H11" i="17" s="1"/>
  <c r="C10" i="17"/>
  <c r="H10" i="17" s="1"/>
  <c r="C9" i="17"/>
  <c r="H9" i="17" s="1"/>
  <c r="C8" i="17"/>
  <c r="H8" i="17" s="1"/>
  <c r="C7" i="17"/>
  <c r="H7" i="17" s="1"/>
  <c r="C46" i="2"/>
  <c r="C47" i="2"/>
  <c r="C26" i="1"/>
  <c r="C26" i="16"/>
  <c r="C26" i="2"/>
  <c r="K24" i="18"/>
  <c r="N24" i="18"/>
  <c r="B15" i="18"/>
  <c r="E26" i="3"/>
  <c r="C8" i="3"/>
  <c r="S98" i="16"/>
  <c r="M86" i="16" s="1"/>
  <c r="G48" i="16"/>
  <c r="O10" i="16"/>
  <c r="O11" i="16"/>
  <c r="R32" i="16"/>
  <c r="G41" i="16"/>
  <c r="G42" i="16"/>
  <c r="G43" i="16"/>
  <c r="G44" i="16"/>
  <c r="G46" i="16"/>
  <c r="G47" i="16"/>
  <c r="C95" i="16"/>
  <c r="M53" i="17" s="1"/>
  <c r="M57" i="17" s="1"/>
  <c r="D69" i="16"/>
  <c r="M58" i="16"/>
  <c r="M39" i="16"/>
  <c r="M37" i="16"/>
  <c r="Q43" i="16"/>
  <c r="F26" i="16"/>
  <c r="O18" i="16"/>
  <c r="O19" i="16"/>
  <c r="O17" i="16"/>
  <c r="I12" i="16"/>
  <c r="M11" i="16"/>
  <c r="M10" i="16"/>
  <c r="M9" i="16"/>
  <c r="I8" i="16"/>
  <c r="C17" i="16" s="1"/>
  <c r="G53" i="2"/>
  <c r="G48" i="2"/>
  <c r="G46" i="2"/>
  <c r="E53" i="2"/>
  <c r="D53" i="2"/>
  <c r="D50" i="2"/>
  <c r="G50" i="2"/>
  <c r="E48" i="2"/>
  <c r="D48" i="2"/>
  <c r="E44" i="2"/>
  <c r="C53" i="2"/>
  <c r="C50" i="2"/>
  <c r="C49" i="2"/>
  <c r="C48" i="2"/>
  <c r="E47" i="2"/>
  <c r="C45" i="2"/>
  <c r="C44" i="2"/>
  <c r="B53" i="2"/>
  <c r="B48" i="2"/>
  <c r="B47" i="2"/>
  <c r="D47" i="2" s="1"/>
  <c r="G47" i="2" s="1"/>
  <c r="B44" i="2"/>
  <c r="C34" i="2"/>
  <c r="C33" i="2"/>
  <c r="C29" i="2"/>
  <c r="C31" i="2"/>
  <c r="B29" i="2"/>
  <c r="B31" i="2"/>
  <c r="L8" i="2"/>
  <c r="L9" i="2"/>
  <c r="L10" i="2"/>
  <c r="L11" i="2"/>
  <c r="L7" i="2"/>
  <c r="C20" i="2"/>
  <c r="B9" i="2"/>
  <c r="G1" i="5"/>
  <c r="E3" i="3"/>
  <c r="E1" i="2"/>
  <c r="E1" i="4"/>
  <c r="G1" i="6"/>
  <c r="E1" i="12"/>
  <c r="G1" i="14"/>
  <c r="D1" i="10"/>
  <c r="E1" i="13"/>
  <c r="F1" i="8"/>
  <c r="F1" i="9"/>
  <c r="E1" i="11"/>
  <c r="M38" i="16"/>
  <c r="Q44" i="16" s="1"/>
  <c r="B21" i="16"/>
  <c r="B24" i="16" s="1"/>
  <c r="O20" i="16"/>
  <c r="N37" i="16"/>
  <c r="L12" i="2"/>
  <c r="C36" i="2"/>
  <c r="F21" i="16"/>
  <c r="B91" i="3" s="1"/>
  <c r="O21" i="16"/>
  <c r="F25" i="16"/>
  <c r="F31" i="16"/>
  <c r="G26" i="3" s="1"/>
  <c r="F29" i="16"/>
  <c r="B26" i="3" s="1"/>
  <c r="I32" i="18" l="1"/>
  <c r="B10" i="4" s="1"/>
  <c r="H39" i="18"/>
  <c r="H41" i="18"/>
  <c r="C14" i="3"/>
  <c r="D9" i="6" s="1"/>
  <c r="Q86" i="16"/>
  <c r="F14" i="3"/>
  <c r="G9" i="6" s="1"/>
  <c r="E14" i="3"/>
  <c r="F9" i="6" s="1"/>
  <c r="M87" i="16"/>
  <c r="D14" i="3"/>
  <c r="E9" i="6" s="1"/>
  <c r="M44" i="16"/>
  <c r="F15" i="3"/>
  <c r="B8" i="3"/>
  <c r="D8" i="3"/>
  <c r="F26" i="3"/>
  <c r="C101" i="16"/>
  <c r="C15" i="3"/>
  <c r="M40" i="16"/>
  <c r="M41" i="16" s="1"/>
  <c r="N38" i="16"/>
  <c r="F8" i="3"/>
  <c r="D26" i="3"/>
  <c r="E15" i="3"/>
  <c r="E8" i="3"/>
  <c r="D91" i="3"/>
  <c r="F91" i="3"/>
  <c r="C97" i="16"/>
  <c r="C98" i="16" s="1"/>
  <c r="M69" i="16"/>
  <c r="M76" i="16" s="1"/>
  <c r="Q69" i="16"/>
  <c r="Q76" i="16" s="1"/>
  <c r="R69" i="16"/>
  <c r="R76" i="16" s="1"/>
  <c r="N69" i="16"/>
  <c r="N76" i="16" s="1"/>
  <c r="R66" i="16"/>
  <c r="R73" i="16" s="1"/>
  <c r="S57" i="16"/>
  <c r="P66" i="16"/>
  <c r="P73" i="16" s="1"/>
  <c r="S69" i="16"/>
  <c r="S76" i="16" s="1"/>
  <c r="P69" i="16"/>
  <c r="P76" i="16" s="1"/>
  <c r="N66" i="16"/>
  <c r="N73" i="16" s="1"/>
  <c r="S73" i="16"/>
  <c r="P61" i="16"/>
  <c r="P62" i="16" s="1"/>
  <c r="P59" i="16"/>
  <c r="P67" i="16" s="1"/>
  <c r="Q73" i="16"/>
  <c r="N61" i="16"/>
  <c r="N62" i="16" s="1"/>
  <c r="N59" i="16"/>
  <c r="N67" i="16" s="1"/>
  <c r="N74" i="16" s="1"/>
  <c r="R59" i="16"/>
  <c r="R67" i="16" s="1"/>
  <c r="R74" i="16" s="1"/>
  <c r="R61" i="16"/>
  <c r="R62" i="16" s="1"/>
  <c r="M73" i="16"/>
  <c r="O73" i="16"/>
  <c r="O69" i="16"/>
  <c r="O76" i="16" s="1"/>
  <c r="Q57" i="16"/>
  <c r="O57" i="16"/>
  <c r="M57" i="16"/>
  <c r="G5" i="19"/>
  <c r="C13" i="19" s="1"/>
  <c r="E69" i="3" s="1"/>
  <c r="G50" i="16"/>
  <c r="C72" i="16" s="1"/>
  <c r="D135" i="16" s="1"/>
  <c r="F11" i="3"/>
  <c r="C135" i="16"/>
  <c r="B135" i="16" s="1"/>
  <c r="C73" i="16"/>
  <c r="C74" i="16" s="1"/>
  <c r="D11" i="3"/>
  <c r="C77" i="16"/>
  <c r="G52" i="19"/>
  <c r="G54" i="19" s="1"/>
  <c r="B75" i="3" s="1"/>
  <c r="E58" i="3"/>
  <c r="C15" i="17"/>
  <c r="B58" i="3"/>
  <c r="D58" i="3"/>
  <c r="C52" i="19"/>
  <c r="C54" i="19" s="1"/>
  <c r="F58" i="3"/>
  <c r="C58" i="3"/>
  <c r="B18" i="2"/>
  <c r="B49" i="2" s="1"/>
  <c r="B45" i="2"/>
  <c r="D44" i="2"/>
  <c r="G44" i="2" s="1"/>
  <c r="H42" i="18" l="1"/>
  <c r="I42" i="18" s="1"/>
  <c r="G10" i="4" s="1"/>
  <c r="E10" i="4"/>
  <c r="C10" i="4"/>
  <c r="D10" i="4"/>
  <c r="F10" i="4"/>
  <c r="C14" i="5"/>
  <c r="B30" i="4"/>
  <c r="B15" i="3"/>
  <c r="C102" i="16"/>
  <c r="C103" i="16" s="1"/>
  <c r="B33" i="3" s="1"/>
  <c r="F33" i="3"/>
  <c r="D33" i="3"/>
  <c r="E33" i="3"/>
  <c r="C33" i="3"/>
  <c r="D13" i="3"/>
  <c r="E8" i="6" s="1"/>
  <c r="M45" i="16"/>
  <c r="M46" i="16" s="1"/>
  <c r="F13" i="3"/>
  <c r="G8" i="6" s="1"/>
  <c r="C13" i="3"/>
  <c r="M43" i="16"/>
  <c r="C28" i="17"/>
  <c r="E13" i="3"/>
  <c r="F8" i="6" s="1"/>
  <c r="Q37" i="16"/>
  <c r="B14" i="3"/>
  <c r="Q89" i="16"/>
  <c r="G32" i="3" s="1"/>
  <c r="M88" i="16"/>
  <c r="Q87" i="16"/>
  <c r="B32" i="3" s="1"/>
  <c r="J20" i="4" s="1"/>
  <c r="Q88" i="16"/>
  <c r="T76" i="16"/>
  <c r="F25" i="3" s="1"/>
  <c r="T73" i="16"/>
  <c r="R70" i="16"/>
  <c r="R78" i="16" s="1"/>
  <c r="N70" i="16"/>
  <c r="N78" i="16" s="1"/>
  <c r="S61" i="16"/>
  <c r="S62" i="16" s="1"/>
  <c r="S59" i="16"/>
  <c r="S67" i="16" s="1"/>
  <c r="B90" i="3"/>
  <c r="M59" i="16"/>
  <c r="M67" i="16" s="1"/>
  <c r="M61" i="16"/>
  <c r="O61" i="16"/>
  <c r="O62" i="16" s="1"/>
  <c r="O59" i="16"/>
  <c r="O67" i="16" s="1"/>
  <c r="P74" i="16"/>
  <c r="P70" i="16"/>
  <c r="P78" i="16" s="1"/>
  <c r="Q59" i="16"/>
  <c r="Q67" i="16" s="1"/>
  <c r="Q61" i="16"/>
  <c r="Q62" i="16" s="1"/>
  <c r="C25" i="3"/>
  <c r="K17" i="4" s="1"/>
  <c r="D25" i="3"/>
  <c r="D69" i="3"/>
  <c r="C69" i="3"/>
  <c r="E11" i="3"/>
  <c r="C11" i="3"/>
  <c r="G13" i="19"/>
  <c r="B69" i="3" s="1"/>
  <c r="F69" i="3"/>
  <c r="B11" i="3"/>
  <c r="C78" i="16"/>
  <c r="C79" i="16" s="1"/>
  <c r="B29" i="3" s="1"/>
  <c r="E29" i="3"/>
  <c r="D29" i="3"/>
  <c r="C29" i="3"/>
  <c r="F29" i="3"/>
  <c r="D75" i="3"/>
  <c r="F75" i="3"/>
  <c r="C75" i="3"/>
  <c r="E75" i="3"/>
  <c r="F52" i="3"/>
  <c r="D52" i="3"/>
  <c r="M36" i="17"/>
  <c r="N36" i="17" s="1"/>
  <c r="C52" i="3"/>
  <c r="G15" i="17"/>
  <c r="D40" i="19"/>
  <c r="E52" i="3"/>
  <c r="E45" i="2"/>
  <c r="D45" i="2"/>
  <c r="G45" i="2" s="1"/>
  <c r="B20" i="2"/>
  <c r="D49" i="2"/>
  <c r="E49" i="2"/>
  <c r="G49" i="2"/>
  <c r="B51" i="2"/>
  <c r="B56" i="2" s="1"/>
  <c r="D14" i="5" l="1"/>
  <c r="C30" i="4"/>
  <c r="D30" i="4"/>
  <c r="E14" i="5"/>
  <c r="I14" i="5" s="1"/>
  <c r="H14" i="5"/>
  <c r="G30" i="4"/>
  <c r="F30" i="4"/>
  <c r="G14" i="5"/>
  <c r="E30" i="4"/>
  <c r="F14" i="5"/>
  <c r="K10" i="19"/>
  <c r="C31" i="17"/>
  <c r="D55" i="3"/>
  <c r="C55" i="3"/>
  <c r="F55" i="3"/>
  <c r="E55" i="3"/>
  <c r="E31" i="3"/>
  <c r="D31" i="3"/>
  <c r="F31" i="3"/>
  <c r="C31" i="3"/>
  <c r="K19" i="4" s="1"/>
  <c r="E25" i="3"/>
  <c r="C9" i="6"/>
  <c r="J31" i="4"/>
  <c r="B25" i="3"/>
  <c r="Q38" i="16"/>
  <c r="Q39" i="16"/>
  <c r="B13" i="3"/>
  <c r="D8" i="6"/>
  <c r="K30" i="4"/>
  <c r="F32" i="3"/>
  <c r="C32" i="3"/>
  <c r="E32" i="3"/>
  <c r="D32" i="3"/>
  <c r="S74" i="16"/>
  <c r="S70" i="16"/>
  <c r="S78" i="16" s="1"/>
  <c r="M74" i="16"/>
  <c r="M70" i="16"/>
  <c r="M78" i="16" s="1"/>
  <c r="M62" i="16"/>
  <c r="T62" i="16" s="1"/>
  <c r="T61" i="16"/>
  <c r="O74" i="16"/>
  <c r="O70" i="16"/>
  <c r="O78" i="16" s="1"/>
  <c r="C6" i="6"/>
  <c r="B129" i="3"/>
  <c r="J28" i="4"/>
  <c r="J17" i="4"/>
  <c r="C26" i="3"/>
  <c r="Q74" i="16"/>
  <c r="Q70" i="16"/>
  <c r="Q78" i="16" s="1"/>
  <c r="B52" i="3"/>
  <c r="C40" i="19"/>
  <c r="G51" i="2"/>
  <c r="G56" i="2" s="1"/>
  <c r="B10" i="7" s="1"/>
  <c r="E51" i="2"/>
  <c r="E56" i="2" s="1"/>
  <c r="D51" i="2"/>
  <c r="D56" i="2" s="1"/>
  <c r="D132" i="16"/>
  <c r="B33" i="2"/>
  <c r="C38" i="19"/>
  <c r="M34" i="17"/>
  <c r="C6" i="5"/>
  <c r="C132" i="16"/>
  <c r="D38" i="19"/>
  <c r="G23" i="19" s="1"/>
  <c r="Q40" i="16" l="1"/>
  <c r="Q41" i="16"/>
  <c r="B31" i="3" s="1"/>
  <c r="J19" i="4" s="1"/>
  <c r="K20" i="4"/>
  <c r="K31" i="4"/>
  <c r="O10" i="19"/>
  <c r="B72" i="3" s="1"/>
  <c r="B55" i="3"/>
  <c r="C8" i="6"/>
  <c r="D72" i="3"/>
  <c r="C72" i="3"/>
  <c r="F72" i="3"/>
  <c r="E72" i="3"/>
  <c r="B134" i="3"/>
  <c r="B139" i="3"/>
  <c r="D90" i="3"/>
  <c r="E7" i="3"/>
  <c r="D134" i="16"/>
  <c r="C90" i="3"/>
  <c r="F7" i="3"/>
  <c r="C134" i="16"/>
  <c r="B134" i="16" s="1"/>
  <c r="D7" i="3"/>
  <c r="F90" i="3"/>
  <c r="C7" i="3"/>
  <c r="E90" i="3"/>
  <c r="C110" i="16"/>
  <c r="C112" i="16" s="1"/>
  <c r="C111" i="16" s="1"/>
  <c r="T78" i="16"/>
  <c r="T74" i="16"/>
  <c r="C23" i="19"/>
  <c r="G39" i="19" s="1"/>
  <c r="F12" i="3"/>
  <c r="N34" i="17"/>
  <c r="L9" i="17"/>
  <c r="M9" i="17" s="1"/>
  <c r="L10" i="17"/>
  <c r="M10" i="17" s="1"/>
  <c r="I6" i="7"/>
  <c r="I7" i="7"/>
  <c r="I8" i="7"/>
  <c r="N11" i="16"/>
  <c r="P11" i="16" s="1"/>
  <c r="Q11" i="16" s="1"/>
  <c r="N10" i="16"/>
  <c r="P10" i="16" s="1"/>
  <c r="Q10" i="16" s="1"/>
  <c r="C8" i="5"/>
  <c r="I6" i="5"/>
  <c r="F71" i="3"/>
  <c r="N9" i="16"/>
  <c r="P9" i="16" s="1"/>
  <c r="Q9" i="16" s="1"/>
  <c r="L8" i="17"/>
  <c r="M8" i="17" s="1"/>
  <c r="I10" i="7"/>
  <c r="I9" i="7"/>
  <c r="G38" i="19"/>
  <c r="B71" i="3"/>
  <c r="C19" i="6" s="1"/>
  <c r="B132" i="16"/>
  <c r="B34" i="2"/>
  <c r="B36" i="2"/>
  <c r="Q42" i="16" l="1"/>
  <c r="G31" i="3" s="1"/>
  <c r="J30" i="4" s="1"/>
  <c r="D71" i="3"/>
  <c r="E71" i="3"/>
  <c r="C71" i="3"/>
  <c r="E12" i="3"/>
  <c r="C113" i="16"/>
  <c r="G110" i="16"/>
  <c r="G113" i="16" s="1"/>
  <c r="F6" i="6"/>
  <c r="E129" i="3"/>
  <c r="K110" i="16"/>
  <c r="K116" i="16" s="1"/>
  <c r="D6" i="6"/>
  <c r="C129" i="3"/>
  <c r="K28" i="4"/>
  <c r="G6" i="6"/>
  <c r="F129" i="3"/>
  <c r="E6" i="6"/>
  <c r="D129" i="3"/>
  <c r="I11" i="7"/>
  <c r="B5" i="7"/>
  <c r="C21" i="5"/>
  <c r="I8" i="5"/>
  <c r="F10" i="3"/>
  <c r="F20" i="3" s="1"/>
  <c r="E10" i="3"/>
  <c r="S9" i="16"/>
  <c r="D10" i="3"/>
  <c r="C10" i="3"/>
  <c r="S10" i="16"/>
  <c r="S6" i="19"/>
  <c r="B53" i="3"/>
  <c r="F30" i="3"/>
  <c r="E30" i="3"/>
  <c r="G7" i="6"/>
  <c r="G19" i="6"/>
  <c r="E19" i="6"/>
  <c r="S11" i="16"/>
  <c r="M21" i="16" s="1"/>
  <c r="B10" i="3"/>
  <c r="F53" i="3"/>
  <c r="E53" i="3"/>
  <c r="K6" i="19"/>
  <c r="D19" i="6"/>
  <c r="G112" i="16"/>
  <c r="F19" i="6"/>
  <c r="O6" i="19"/>
  <c r="C53" i="3"/>
  <c r="D53" i="3"/>
  <c r="F7" i="6"/>
  <c r="D12" i="3" l="1"/>
  <c r="C12" i="3"/>
  <c r="E20" i="3"/>
  <c r="F12" i="6"/>
  <c r="F17" i="6" s="1"/>
  <c r="B12" i="3"/>
  <c r="F134" i="3"/>
  <c r="F139" i="3"/>
  <c r="D134" i="3"/>
  <c r="D139" i="3"/>
  <c r="E134" i="3"/>
  <c r="E139" i="3"/>
  <c r="G12" i="6"/>
  <c r="G17" i="6" s="1"/>
  <c r="C139" i="3"/>
  <c r="C134" i="3"/>
  <c r="D20" i="3"/>
  <c r="E7" i="6"/>
  <c r="E12" i="6" s="1"/>
  <c r="E17" i="6" s="1"/>
  <c r="R21" i="16"/>
  <c r="T21" i="16" s="1"/>
  <c r="G28" i="3" s="1"/>
  <c r="Q21" i="16"/>
  <c r="B28" i="3" s="1"/>
  <c r="D19" i="3"/>
  <c r="D16" i="3"/>
  <c r="D128" i="3" s="1"/>
  <c r="D125" i="3"/>
  <c r="M20" i="16"/>
  <c r="Q20" i="16" s="1"/>
  <c r="C28" i="3" s="1"/>
  <c r="M19" i="16"/>
  <c r="Q19" i="16" s="1"/>
  <c r="D28" i="3" s="1"/>
  <c r="E16" i="3"/>
  <c r="E17" i="3" s="1"/>
  <c r="E39" i="3" s="1"/>
  <c r="E19" i="3"/>
  <c r="E21" i="3" s="1"/>
  <c r="E125" i="3"/>
  <c r="F70" i="3"/>
  <c r="E70" i="3"/>
  <c r="D7" i="6"/>
  <c r="D12" i="6" s="1"/>
  <c r="C20" i="3"/>
  <c r="B70" i="3"/>
  <c r="M17" i="16"/>
  <c r="Q17" i="16" s="1"/>
  <c r="F28" i="3" s="1"/>
  <c r="M18" i="16"/>
  <c r="Q18" i="16" s="1"/>
  <c r="E28" i="3" s="1"/>
  <c r="I21" i="5"/>
  <c r="D70" i="3"/>
  <c r="C70" i="3"/>
  <c r="C125" i="3" s="1"/>
  <c r="K112" i="16"/>
  <c r="K111" i="16"/>
  <c r="G111" i="16"/>
  <c r="B125" i="3"/>
  <c r="C16" i="3"/>
  <c r="C17" i="3" s="1"/>
  <c r="C19" i="3"/>
  <c r="F16" i="3"/>
  <c r="F128" i="3" s="1"/>
  <c r="F19" i="3"/>
  <c r="F21" i="3" s="1"/>
  <c r="F125" i="3"/>
  <c r="B11" i="7"/>
  <c r="B16" i="3" l="1"/>
  <c r="B128" i="3" s="1"/>
  <c r="C7" i="6"/>
  <c r="C12" i="6" s="1"/>
  <c r="B19" i="3"/>
  <c r="B21" i="3" s="1"/>
  <c r="F17" i="3"/>
  <c r="F39" i="3" s="1"/>
  <c r="F92" i="3"/>
  <c r="F94" i="3" s="1"/>
  <c r="C92" i="3"/>
  <c r="C94" i="3" s="1"/>
  <c r="E128" i="3"/>
  <c r="C128" i="3"/>
  <c r="B17" i="3"/>
  <c r="B39" i="3" s="1"/>
  <c r="E92" i="3"/>
  <c r="E94" i="3" s="1"/>
  <c r="C39" i="3"/>
  <c r="E34" i="3"/>
  <c r="E35" i="3" s="1"/>
  <c r="D76" i="3"/>
  <c r="D17" i="4"/>
  <c r="E17" i="4"/>
  <c r="G17" i="4"/>
  <c r="F17" i="4"/>
  <c r="B30" i="3"/>
  <c r="B34" i="3" s="1"/>
  <c r="B35" i="3" s="1"/>
  <c r="K114" i="16"/>
  <c r="G30" i="3" s="1"/>
  <c r="G34" i="3" s="1"/>
  <c r="G35" i="3" s="1"/>
  <c r="C21" i="3"/>
  <c r="E76" i="3"/>
  <c r="D92" i="3"/>
  <c r="D94" i="3" s="1"/>
  <c r="D17" i="3"/>
  <c r="D39" i="3" s="1"/>
  <c r="C76" i="3"/>
  <c r="B92" i="3"/>
  <c r="B94" i="3" s="1"/>
  <c r="C30" i="3"/>
  <c r="D30" i="3"/>
  <c r="D34" i="3" s="1"/>
  <c r="F34" i="3"/>
  <c r="F35" i="3" s="1"/>
  <c r="B76" i="3"/>
  <c r="F76" i="3"/>
  <c r="F78" i="3" s="1"/>
  <c r="F110" i="3" s="1"/>
  <c r="C17" i="4"/>
  <c r="D21" i="3"/>
  <c r="F80" i="3" l="1"/>
  <c r="G12" i="4"/>
  <c r="F42" i="3"/>
  <c r="B41" i="3"/>
  <c r="C13" i="6"/>
  <c r="C18" i="4"/>
  <c r="B132" i="3"/>
  <c r="C12" i="4"/>
  <c r="D16" i="5" s="1"/>
  <c r="B42" i="3"/>
  <c r="B98" i="3" s="1"/>
  <c r="D35" i="3"/>
  <c r="E42" i="3" s="1"/>
  <c r="F132" i="3"/>
  <c r="C132" i="3"/>
  <c r="E132" i="3"/>
  <c r="D132" i="3"/>
  <c r="E18" i="4"/>
  <c r="M35" i="17"/>
  <c r="F81" i="3"/>
  <c r="B78" i="3"/>
  <c r="B81" i="3" s="1"/>
  <c r="K18" i="4"/>
  <c r="K22" i="4" s="1"/>
  <c r="K29" i="4"/>
  <c r="K33" i="4" s="1"/>
  <c r="F18" i="4"/>
  <c r="D18" i="4"/>
  <c r="D78" i="3"/>
  <c r="F12" i="4"/>
  <c r="C78" i="3"/>
  <c r="E78" i="3"/>
  <c r="E81" i="3" s="1"/>
  <c r="J18" i="4"/>
  <c r="J22" i="4" s="1"/>
  <c r="J23" i="4" s="1"/>
  <c r="C32" i="4" s="1"/>
  <c r="C15" i="6" s="1"/>
  <c r="J29" i="4"/>
  <c r="J33" i="4" s="1"/>
  <c r="J34" i="4" s="1"/>
  <c r="G18" i="4"/>
  <c r="C34" i="3"/>
  <c r="C35" i="3" s="1"/>
  <c r="K23" i="4" l="1"/>
  <c r="D32" i="4" s="1"/>
  <c r="D15" i="6" s="1"/>
  <c r="E20" i="4"/>
  <c r="C33" i="4"/>
  <c r="C16" i="6" s="1"/>
  <c r="C17" i="6" s="1"/>
  <c r="C110" i="3"/>
  <c r="C80" i="3"/>
  <c r="D110" i="3"/>
  <c r="D80" i="3"/>
  <c r="F20" i="4"/>
  <c r="B110" i="3"/>
  <c r="B80" i="3"/>
  <c r="G20" i="4"/>
  <c r="E98" i="3"/>
  <c r="E100" i="3" s="1"/>
  <c r="E43" i="3"/>
  <c r="E47" i="3" s="1"/>
  <c r="D42" i="3"/>
  <c r="E12" i="4"/>
  <c r="C20" i="4"/>
  <c r="F98" i="3"/>
  <c r="F100" i="3" s="1"/>
  <c r="F43" i="3"/>
  <c r="F47" i="3" s="1"/>
  <c r="C42" i="3"/>
  <c r="D12" i="4"/>
  <c r="E16" i="5" s="1"/>
  <c r="N35" i="17"/>
  <c r="T19" i="17" s="1"/>
  <c r="P19" i="17"/>
  <c r="L19" i="17"/>
  <c r="C81" i="3"/>
  <c r="B97" i="3"/>
  <c r="B100" i="3" s="1"/>
  <c r="B43" i="3"/>
  <c r="E110" i="3"/>
  <c r="E80" i="3"/>
  <c r="D20" i="4"/>
  <c r="K34" i="4"/>
  <c r="D33" i="4" s="1"/>
  <c r="D16" i="6" s="1"/>
  <c r="D17" i="6" s="1"/>
  <c r="D81" i="3"/>
  <c r="F16" i="5" l="1"/>
  <c r="G16" i="5" s="1"/>
  <c r="H16" i="5" s="1"/>
  <c r="I16" i="5" s="1"/>
  <c r="B44" i="3"/>
  <c r="B46" i="3"/>
  <c r="E102" i="3"/>
  <c r="E105" i="3" s="1"/>
  <c r="E107" i="3" s="1"/>
  <c r="D98" i="3"/>
  <c r="D100" i="3" s="1"/>
  <c r="D43" i="3"/>
  <c r="D47" i="3" s="1"/>
  <c r="F44" i="3"/>
  <c r="F46" i="3"/>
  <c r="F54" i="3"/>
  <c r="E54" i="3"/>
  <c r="B47" i="3"/>
  <c r="C54" i="3"/>
  <c r="D54" i="3"/>
  <c r="Q31" i="17"/>
  <c r="F11" i="4" s="1"/>
  <c r="F102" i="3"/>
  <c r="F105" i="3" s="1"/>
  <c r="F107" i="3" s="1"/>
  <c r="B102" i="3"/>
  <c r="B54" i="3"/>
  <c r="Q30" i="17"/>
  <c r="C11" i="4" s="1"/>
  <c r="C98" i="3"/>
  <c r="C100" i="3" s="1"/>
  <c r="C43" i="3"/>
  <c r="E44" i="3"/>
  <c r="E46" i="3"/>
  <c r="D11" i="4" l="1"/>
  <c r="B11" i="4"/>
  <c r="C31" i="4" s="1"/>
  <c r="C34" i="4" s="1"/>
  <c r="C44" i="3"/>
  <c r="C46" i="3"/>
  <c r="C18" i="6"/>
  <c r="C21" i="6" s="1"/>
  <c r="C23" i="6" s="1"/>
  <c r="B59" i="3"/>
  <c r="B130" i="3" s="1"/>
  <c r="C47" i="3"/>
  <c r="B105" i="3"/>
  <c r="B107" i="3" s="1"/>
  <c r="C13" i="4"/>
  <c r="D17" i="5" s="1"/>
  <c r="E18" i="6"/>
  <c r="E21" i="6" s="1"/>
  <c r="E23" i="6" s="1"/>
  <c r="D59" i="3"/>
  <c r="D130" i="3" s="1"/>
  <c r="G18" i="6"/>
  <c r="G21" i="6" s="1"/>
  <c r="G23" i="6" s="1"/>
  <c r="F59" i="3"/>
  <c r="F130" i="3" s="1"/>
  <c r="D18" i="6"/>
  <c r="D21" i="6" s="1"/>
  <c r="D23" i="6" s="1"/>
  <c r="C59" i="3"/>
  <c r="C130" i="3" s="1"/>
  <c r="D102" i="3"/>
  <c r="D105" i="3" s="1"/>
  <c r="D107" i="3" s="1"/>
  <c r="C102" i="3"/>
  <c r="G11" i="4"/>
  <c r="F18" i="6"/>
  <c r="F21" i="6" s="1"/>
  <c r="F23" i="6" s="1"/>
  <c r="E59" i="3"/>
  <c r="E130" i="3" s="1"/>
  <c r="D44" i="3"/>
  <c r="D46" i="3"/>
  <c r="F61" i="3" l="1"/>
  <c r="F63" i="3" s="1"/>
  <c r="D15" i="5"/>
  <c r="D61" i="3"/>
  <c r="D63" i="3" s="1"/>
  <c r="E61" i="3"/>
  <c r="E109" i="3" s="1"/>
  <c r="E112" i="3" s="1"/>
  <c r="D13" i="4"/>
  <c r="E17" i="5" s="1"/>
  <c r="E13" i="4"/>
  <c r="C105" i="3"/>
  <c r="C107" i="3" s="1"/>
  <c r="G13" i="4"/>
  <c r="G9" i="4" s="1"/>
  <c r="G15" i="4" s="1"/>
  <c r="F13" i="4"/>
  <c r="B61" i="3"/>
  <c r="C9" i="4"/>
  <c r="C15" i="4" s="1"/>
  <c r="C26" i="6"/>
  <c r="D6" i="7" s="1"/>
  <c r="D22" i="5"/>
  <c r="D23" i="5" s="1"/>
  <c r="C140" i="3"/>
  <c r="C135" i="3"/>
  <c r="F109" i="3"/>
  <c r="F112" i="3" s="1"/>
  <c r="B135" i="3"/>
  <c r="B140" i="3"/>
  <c r="E15" i="5"/>
  <c r="D31" i="4"/>
  <c r="D34" i="4" s="1"/>
  <c r="E11" i="4"/>
  <c r="C61" i="3"/>
  <c r="E140" i="3"/>
  <c r="E135" i="3"/>
  <c r="G31" i="4"/>
  <c r="G34" i="4" s="1"/>
  <c r="H15" i="5"/>
  <c r="F140" i="3"/>
  <c r="F135" i="3"/>
  <c r="D135" i="3"/>
  <c r="D140" i="3"/>
  <c r="B31" i="4"/>
  <c r="B34" i="4" s="1"/>
  <c r="B9" i="4"/>
  <c r="B15" i="4" s="1"/>
  <c r="C15" i="5"/>
  <c r="D9" i="4" l="1"/>
  <c r="D15" i="4" s="1"/>
  <c r="D24" i="4" s="1"/>
  <c r="D109" i="3"/>
  <c r="D112" i="3" s="1"/>
  <c r="D116" i="3" s="1"/>
  <c r="F17" i="5"/>
  <c r="G17" i="5" s="1"/>
  <c r="H17" i="5" s="1"/>
  <c r="E63" i="3"/>
  <c r="E31" i="4"/>
  <c r="E34" i="4" s="1"/>
  <c r="E9" i="4"/>
  <c r="E15" i="4" s="1"/>
  <c r="F15" i="5"/>
  <c r="G15" i="5"/>
  <c r="F31" i="4"/>
  <c r="F34" i="4" s="1"/>
  <c r="C24" i="4"/>
  <c r="F116" i="3"/>
  <c r="F114" i="3"/>
  <c r="B63" i="3"/>
  <c r="B109" i="3"/>
  <c r="B112" i="3" s="1"/>
  <c r="C22" i="5"/>
  <c r="B26" i="6"/>
  <c r="C18" i="5"/>
  <c r="G26" i="6"/>
  <c r="H22" i="5"/>
  <c r="H23" i="5" s="1"/>
  <c r="B22" i="4"/>
  <c r="B25" i="4" s="1"/>
  <c r="B24" i="4"/>
  <c r="D26" i="6"/>
  <c r="E22" i="5"/>
  <c r="E23" i="5" s="1"/>
  <c r="E116" i="3"/>
  <c r="E114" i="3"/>
  <c r="I244" i="3"/>
  <c r="K1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144" i="3"/>
  <c r="L144" i="3" s="1"/>
  <c r="K244" i="3"/>
  <c r="K243" i="3"/>
  <c r="K239" i="3"/>
  <c r="K235" i="3"/>
  <c r="K231" i="3"/>
  <c r="K240" i="3"/>
  <c r="K236" i="3"/>
  <c r="K232" i="3"/>
  <c r="K241" i="3"/>
  <c r="K237" i="3"/>
  <c r="K233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K242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K234" i="3"/>
  <c r="I229" i="3"/>
  <c r="I225" i="3"/>
  <c r="I221" i="3"/>
  <c r="I217" i="3"/>
  <c r="I213" i="3"/>
  <c r="I205" i="3"/>
  <c r="I201" i="3"/>
  <c r="I197" i="3"/>
  <c r="I193" i="3"/>
  <c r="I189" i="3"/>
  <c r="I185" i="3"/>
  <c r="I181" i="3"/>
  <c r="I173" i="3"/>
  <c r="I165" i="3"/>
  <c r="I161" i="3"/>
  <c r="I157" i="3"/>
  <c r="K238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209" i="3"/>
  <c r="I177" i="3"/>
  <c r="I169" i="3"/>
  <c r="I153" i="3"/>
  <c r="I149" i="3"/>
  <c r="I145" i="3"/>
  <c r="C109" i="3"/>
  <c r="C112" i="3" s="1"/>
  <c r="C63" i="3"/>
  <c r="E144" i="3"/>
  <c r="C144" i="3"/>
  <c r="F144" i="3" s="1"/>
  <c r="E244" i="3"/>
  <c r="C242" i="3"/>
  <c r="C240" i="3"/>
  <c r="C238" i="3"/>
  <c r="C236" i="3"/>
  <c r="C234" i="3"/>
  <c r="C232" i="3"/>
  <c r="C230" i="3"/>
  <c r="C228" i="3"/>
  <c r="C226" i="3"/>
  <c r="C224" i="3"/>
  <c r="C222" i="3"/>
  <c r="C220" i="3"/>
  <c r="C218" i="3"/>
  <c r="C216" i="3"/>
  <c r="C214" i="3"/>
  <c r="C212" i="3"/>
  <c r="C210" i="3"/>
  <c r="C208" i="3"/>
  <c r="C206" i="3"/>
  <c r="C204" i="3"/>
  <c r="C202" i="3"/>
  <c r="C200" i="3"/>
  <c r="C198" i="3"/>
  <c r="C196" i="3"/>
  <c r="C194" i="3"/>
  <c r="C192" i="3"/>
  <c r="C190" i="3"/>
  <c r="C188" i="3"/>
  <c r="C186" i="3"/>
  <c r="C184" i="3"/>
  <c r="C182" i="3"/>
  <c r="C180" i="3"/>
  <c r="C178" i="3"/>
  <c r="C176" i="3"/>
  <c r="C174" i="3"/>
  <c r="C172" i="3"/>
  <c r="C170" i="3"/>
  <c r="C168" i="3"/>
  <c r="C166" i="3"/>
  <c r="C164" i="3"/>
  <c r="C162" i="3"/>
  <c r="C160" i="3"/>
  <c r="C158" i="3"/>
  <c r="C156" i="3"/>
  <c r="C154" i="3"/>
  <c r="C152" i="3"/>
  <c r="C150" i="3"/>
  <c r="C148" i="3"/>
  <c r="C146" i="3"/>
  <c r="E243" i="3"/>
  <c r="E241" i="3"/>
  <c r="E239" i="3"/>
  <c r="E237" i="3"/>
  <c r="E235" i="3"/>
  <c r="E233" i="3"/>
  <c r="E231" i="3"/>
  <c r="E229" i="3"/>
  <c r="E227" i="3"/>
  <c r="E225" i="3"/>
  <c r="E223" i="3"/>
  <c r="E221" i="3"/>
  <c r="E219" i="3"/>
  <c r="E217" i="3"/>
  <c r="E215" i="3"/>
  <c r="E213" i="3"/>
  <c r="E211" i="3"/>
  <c r="E209" i="3"/>
  <c r="E207" i="3"/>
  <c r="E205" i="3"/>
  <c r="E203" i="3"/>
  <c r="E201" i="3"/>
  <c r="E199" i="3"/>
  <c r="E197" i="3"/>
  <c r="E195" i="3"/>
  <c r="E193" i="3"/>
  <c r="E191" i="3"/>
  <c r="E189" i="3"/>
  <c r="E185" i="3"/>
  <c r="E183" i="3"/>
  <c r="E181" i="3"/>
  <c r="E179" i="3"/>
  <c r="E177" i="3"/>
  <c r="E175" i="3"/>
  <c r="E173" i="3"/>
  <c r="E171" i="3"/>
  <c r="E169" i="3"/>
  <c r="E167" i="3"/>
  <c r="E165" i="3"/>
  <c r="E163" i="3"/>
  <c r="E161" i="3"/>
  <c r="E157" i="3"/>
  <c r="E155" i="3"/>
  <c r="E153" i="3"/>
  <c r="E151" i="3"/>
  <c r="E149" i="3"/>
  <c r="E147" i="3"/>
  <c r="C205" i="3"/>
  <c r="C199" i="3"/>
  <c r="C195" i="3"/>
  <c r="E187" i="3"/>
  <c r="E159" i="3"/>
  <c r="C145" i="3"/>
  <c r="C201" i="3"/>
  <c r="C191" i="3"/>
  <c r="C243" i="3"/>
  <c r="C241" i="3"/>
  <c r="C239" i="3"/>
  <c r="C237" i="3"/>
  <c r="C235" i="3"/>
  <c r="C233" i="3"/>
  <c r="C231" i="3"/>
  <c r="C229" i="3"/>
  <c r="C227" i="3"/>
  <c r="C225" i="3"/>
  <c r="C223" i="3"/>
  <c r="C221" i="3"/>
  <c r="C219" i="3"/>
  <c r="C217" i="3"/>
  <c r="C215" i="3"/>
  <c r="C213" i="3"/>
  <c r="C211" i="3"/>
  <c r="C209" i="3"/>
  <c r="C207" i="3"/>
  <c r="C203" i="3"/>
  <c r="C197" i="3"/>
  <c r="C193" i="3"/>
  <c r="E240" i="3"/>
  <c r="E232" i="3"/>
  <c r="E224" i="3"/>
  <c r="E216" i="3"/>
  <c r="E208" i="3"/>
  <c r="E200" i="3"/>
  <c r="E192" i="3"/>
  <c r="C187" i="3"/>
  <c r="C183" i="3"/>
  <c r="C179" i="3"/>
  <c r="C175" i="3"/>
  <c r="C171" i="3"/>
  <c r="C167" i="3"/>
  <c r="C163" i="3"/>
  <c r="C159" i="3"/>
  <c r="C155" i="3"/>
  <c r="C151" i="3"/>
  <c r="C147" i="3"/>
  <c r="E230" i="3"/>
  <c r="E222" i="3"/>
  <c r="E214" i="3"/>
  <c r="E198" i="3"/>
  <c r="E190" i="3"/>
  <c r="E182" i="3"/>
  <c r="E178" i="3"/>
  <c r="E170" i="3"/>
  <c r="E166" i="3"/>
  <c r="E158" i="3"/>
  <c r="E154" i="3"/>
  <c r="E146" i="3"/>
  <c r="C169" i="3"/>
  <c r="C157" i="3"/>
  <c r="C149" i="3"/>
  <c r="E238" i="3"/>
  <c r="E206" i="3"/>
  <c r="E186" i="3"/>
  <c r="E174" i="3"/>
  <c r="E162" i="3"/>
  <c r="E150" i="3"/>
  <c r="C165" i="3"/>
  <c r="C153" i="3"/>
  <c r="E218" i="3"/>
  <c r="E188" i="3"/>
  <c r="E172" i="3"/>
  <c r="E160" i="3"/>
  <c r="E148" i="3"/>
  <c r="C244" i="3"/>
  <c r="E145" i="3"/>
  <c r="E236" i="3"/>
  <c r="E228" i="3"/>
  <c r="E220" i="3"/>
  <c r="E212" i="3"/>
  <c r="E204" i="3"/>
  <c r="E196" i="3"/>
  <c r="C189" i="3"/>
  <c r="C185" i="3"/>
  <c r="C181" i="3"/>
  <c r="C177" i="3"/>
  <c r="C173" i="3"/>
  <c r="C161" i="3"/>
  <c r="E242" i="3"/>
  <c r="E234" i="3"/>
  <c r="E226" i="3"/>
  <c r="E210" i="3"/>
  <c r="E202" i="3"/>
  <c r="E194" i="3"/>
  <c r="E184" i="3"/>
  <c r="E180" i="3"/>
  <c r="E176" i="3"/>
  <c r="E168" i="3"/>
  <c r="E164" i="3"/>
  <c r="E156" i="3"/>
  <c r="E152" i="3"/>
  <c r="F9" i="4"/>
  <c r="F15" i="4" s="1"/>
  <c r="G24" i="4" s="1"/>
  <c r="D114" i="3" l="1"/>
  <c r="K140" i="3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I140" i="3"/>
  <c r="I15" i="5"/>
  <c r="C116" i="3"/>
  <c r="C114" i="3"/>
  <c r="E117" i="3"/>
  <c r="E9" i="7" s="1"/>
  <c r="H9" i="7"/>
  <c r="G28" i="6"/>
  <c r="D10" i="7"/>
  <c r="C23" i="5"/>
  <c r="C25" i="5" s="1"/>
  <c r="F117" i="3"/>
  <c r="E10" i="7" s="1"/>
  <c r="H10" i="7"/>
  <c r="B36" i="4"/>
  <c r="C5" i="7"/>
  <c r="B116" i="3"/>
  <c r="B114" i="3"/>
  <c r="H8" i="7"/>
  <c r="D117" i="3"/>
  <c r="E8" i="7" s="1"/>
  <c r="E24" i="4"/>
  <c r="F24" i="4"/>
  <c r="I17" i="5"/>
  <c r="F145" i="3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D7" i="7"/>
  <c r="D28" i="6"/>
  <c r="D5" i="7"/>
  <c r="B27" i="6"/>
  <c r="C25" i="6" s="1"/>
  <c r="C28" i="6" s="1"/>
  <c r="F26" i="6"/>
  <c r="G22" i="5"/>
  <c r="G23" i="5" s="1"/>
  <c r="E26" i="6"/>
  <c r="F22" i="5"/>
  <c r="F23" i="5" s="1"/>
  <c r="F118" i="3" l="1"/>
  <c r="F10" i="7" s="1"/>
  <c r="E118" i="3"/>
  <c r="F9" i="7" s="1"/>
  <c r="J10" i="7"/>
  <c r="K10" i="7" s="1"/>
  <c r="G30" i="6"/>
  <c r="D118" i="3"/>
  <c r="J7" i="7"/>
  <c r="D30" i="6"/>
  <c r="G5" i="7"/>
  <c r="F28" i="6"/>
  <c r="D9" i="7"/>
  <c r="J6" i="7"/>
  <c r="C30" i="6"/>
  <c r="D8" i="7"/>
  <c r="E28" i="6"/>
  <c r="H6" i="7"/>
  <c r="B117" i="3"/>
  <c r="E6" i="7" s="1"/>
  <c r="I22" i="5"/>
  <c r="I23" i="5" s="1"/>
  <c r="H7" i="7"/>
  <c r="C117" i="3"/>
  <c r="E7" i="7" s="1"/>
  <c r="D11" i="7" l="1"/>
  <c r="E120" i="3"/>
  <c r="K7" i="7"/>
  <c r="F120" i="3"/>
  <c r="F121" i="3" s="1"/>
  <c r="G19" i="4" s="1"/>
  <c r="E11" i="7"/>
  <c r="C118" i="3"/>
  <c r="F7" i="7" s="1"/>
  <c r="B118" i="3"/>
  <c r="F6" i="7" s="1"/>
  <c r="F8" i="7"/>
  <c r="D120" i="3"/>
  <c r="J8" i="7"/>
  <c r="K8" i="7" s="1"/>
  <c r="E30" i="6"/>
  <c r="L5" i="7"/>
  <c r="J9" i="7"/>
  <c r="K9" i="7" s="1"/>
  <c r="F30" i="6"/>
  <c r="K6" i="7"/>
  <c r="H11" i="7"/>
  <c r="F124" i="3" l="1"/>
  <c r="F126" i="3" s="1"/>
  <c r="F11" i="7"/>
  <c r="D13" i="7" s="1"/>
  <c r="E124" i="3"/>
  <c r="E126" i="3" s="1"/>
  <c r="E121" i="3"/>
  <c r="F19" i="4" s="1"/>
  <c r="F16" i="4" s="1"/>
  <c r="F22" i="4" s="1"/>
  <c r="C120" i="3"/>
  <c r="C121" i="3" s="1"/>
  <c r="D19" i="4" s="1"/>
  <c r="J11" i="7"/>
  <c r="M5" i="7"/>
  <c r="D121" i="3"/>
  <c r="E19" i="4" s="1"/>
  <c r="D124" i="3"/>
  <c r="D126" i="3" s="1"/>
  <c r="K11" i="7"/>
  <c r="G16" i="4"/>
  <c r="G22" i="4" s="1"/>
  <c r="B120" i="3"/>
  <c r="C124" i="3" l="1"/>
  <c r="C126" i="3" s="1"/>
  <c r="G25" i="4"/>
  <c r="G36" i="4" s="1"/>
  <c r="B121" i="3"/>
  <c r="C19" i="4" s="1"/>
  <c r="B124" i="3"/>
  <c r="B126" i="3" s="1"/>
  <c r="D16" i="4"/>
  <c r="D22" i="4" s="1"/>
  <c r="E16" i="4"/>
  <c r="E22" i="4" s="1"/>
  <c r="E25" i="4" l="1"/>
  <c r="F25" i="4"/>
  <c r="D12" i="5"/>
  <c r="C16" i="4"/>
  <c r="C22" i="4" s="1"/>
  <c r="C25" i="4" s="1"/>
  <c r="C9" i="7" l="1"/>
  <c r="G9" i="7" s="1"/>
  <c r="L9" i="7" s="1"/>
  <c r="F36" i="4"/>
  <c r="D18" i="5"/>
  <c r="D25" i="5" s="1"/>
  <c r="E12" i="5"/>
  <c r="C8" i="7"/>
  <c r="G8" i="7" s="1"/>
  <c r="L8" i="7" s="1"/>
  <c r="E36" i="4"/>
  <c r="C6" i="7"/>
  <c r="C36" i="4"/>
  <c r="D25" i="4"/>
  <c r="G6" i="7" l="1"/>
  <c r="C7" i="7"/>
  <c r="G7" i="7" s="1"/>
  <c r="L7" i="7" s="1"/>
  <c r="D36" i="4"/>
  <c r="E18" i="5"/>
  <c r="E25" i="5" s="1"/>
  <c r="F12" i="5"/>
  <c r="C10" i="7" l="1"/>
  <c r="F18" i="5"/>
  <c r="F25" i="5" s="1"/>
  <c r="G12" i="5"/>
  <c r="L6" i="7"/>
  <c r="G18" i="5" l="1"/>
  <c r="G25" i="5" s="1"/>
  <c r="H12" i="5"/>
  <c r="H18" i="5" s="1"/>
  <c r="H25" i="5" s="1"/>
  <c r="M6" i="7"/>
  <c r="M7" i="7" s="1"/>
  <c r="G10" i="7"/>
  <c r="C11" i="7"/>
  <c r="I12" i="5" l="1"/>
  <c r="I18" i="5" s="1"/>
  <c r="I25" i="5" s="1"/>
  <c r="L10" i="7"/>
  <c r="G11" i="7"/>
  <c r="I14" i="7"/>
  <c r="M8" i="7"/>
  <c r="M9" i="7" s="1"/>
  <c r="D14" i="7" l="1"/>
  <c r="M10" i="7"/>
  <c r="D15" i="7"/>
  <c r="L11" i="7"/>
</calcChain>
</file>

<file path=xl/sharedStrings.xml><?xml version="1.0" encoding="utf-8"?>
<sst xmlns="http://schemas.openxmlformats.org/spreadsheetml/2006/main" count="1266" uniqueCount="775">
  <si>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</si>
  <si>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</si>
  <si>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</si>
  <si>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</si>
  <si>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</si>
  <si>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</si>
  <si>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</si>
  <si>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</si>
  <si>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</si>
  <si>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</si>
  <si>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</si>
  <si>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</si>
  <si>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</si>
  <si>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</si>
  <si>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</si>
  <si>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</si>
  <si>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</si>
  <si>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</si>
  <si>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</si>
  <si>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</si>
  <si>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</si>
  <si>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</si>
  <si>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</si>
  <si>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</si>
  <si>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</si>
  <si>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</si>
  <si>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</si>
  <si>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</si>
  <si>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</si>
  <si>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</si>
  <si>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</si>
  <si>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</si>
  <si>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</si>
  <si>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</si>
  <si>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</si>
  <si>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</si>
  <si>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</si>
  <si>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</si>
  <si>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</si>
  <si>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</si>
  <si>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</si>
  <si>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</si>
  <si>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Alario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</si>
  <si>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</si>
  <si>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</si>
  <si>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</si>
  <si>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</si>
  <si>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</si>
  <si>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</si>
  <si>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</si>
  <si>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</si>
  <si>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</si>
  <si>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</si>
  <si>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</si>
  <si>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</si>
  <si>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</si>
  <si>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</si>
  <si>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</si>
  <si>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</si>
  <si>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</si>
  <si>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</si>
  <si>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</si>
  <si>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</si>
  <si>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</si>
  <si>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</si>
  <si>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</si>
  <si>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</si>
  <si>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</si>
  <si>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</si>
  <si>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</si>
  <si>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</si>
  <si>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</si>
  <si>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</si>
  <si>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</si>
  <si>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</si>
  <si>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</si>
  <si>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</si>
  <si>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</si>
  <si>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</si>
  <si>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</si>
  <si>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</si>
  <si>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</si>
  <si>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</si>
  <si>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</si>
  <si>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</si>
  <si>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</si>
  <si>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</si>
  <si>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</si>
  <si>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</si>
  <si>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</si>
  <si>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</si>
  <si>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</si>
  <si>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</si>
  <si>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</si>
  <si>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</si>
  <si>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</si>
  <si>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</si>
  <si>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</si>
  <si>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</si>
  <si>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</si>
  <si>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</si>
  <si>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</si>
  <si>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</si>
  <si>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</si>
  <si>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</si>
  <si>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</si>
  <si>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</si>
  <si>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Amortizaciones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</si>
  <si>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</si>
  <si>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</si>
  <si>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</si>
  <si>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</si>
  <si>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</si>
  <si>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</si>
  <si>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</si>
  <si>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</si>
  <si>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</si>
  <si>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</si>
  <si>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</si>
  <si>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</si>
  <si>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</si>
  <si>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</si>
  <si>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</si>
  <si>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</si>
  <si>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</si>
  <si>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</si>
  <si>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</si>
  <si>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</si>
  <si>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</si>
  <si>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</si>
  <si>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</si>
  <si>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</si>
  <si>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</si>
  <si>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</si>
  <si>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</si>
  <si>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</si>
  <si>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</si>
  <si>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</si>
  <si>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</si>
  <si>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</si>
  <si>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</si>
  <si>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</si>
  <si>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</si>
  <si>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</si>
  <si>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</si>
  <si>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</si>
  <si>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</si>
  <si>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</si>
  <si>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</si>
  <si>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</si>
  <si>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</si>
  <si>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</si>
  <si>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</si>
  <si>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</si>
  <si>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</si>
  <si>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</si>
  <si>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</si>
  <si>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</si>
  <si>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</si>
  <si>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</si>
  <si>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</si>
  <si>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</si>
  <si>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</si>
  <si>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</si>
  <si>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</si>
  <si>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</si>
  <si>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</si>
  <si>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</si>
  <si>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</si>
  <si>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</si>
  <si>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</si>
  <si>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</si>
  <si>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</si>
  <si>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</si>
  <si>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</si>
  <si>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</si>
  <si>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</si>
  <si>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</si>
  <si>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</si>
  <si>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</si>
  <si>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</si>
  <si>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</si>
  <si>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</si>
  <si>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</si>
  <si>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</si>
  <si>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</si>
  <si>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</si>
  <si>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</si>
  <si>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</si>
  <si>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</si>
  <si>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</si>
  <si>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</si>
  <si>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</si>
  <si>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</si>
  <si>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</si>
  <si>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</si>
  <si>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</si>
  <si>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</si>
  <si>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</si>
  <si>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</si>
  <si>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</si>
  <si>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</si>
  <si>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</si>
  <si>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</si>
  <si>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</si>
  <si>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</si>
  <si>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</si>
  <si>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</si>
  <si>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</si>
  <si>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</si>
  <si>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</si>
  <si>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</si>
  <si>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</si>
  <si>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</si>
  <si>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</si>
  <si>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</si>
  <si>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</si>
  <si>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</si>
  <si>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</si>
  <si>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</si>
  <si>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</si>
  <si>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</si>
  <si>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</si>
  <si>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</si>
  <si>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</si>
  <si>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</si>
  <si>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</si>
  <si>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</si>
  <si>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</si>
  <si>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</si>
  <si>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</si>
  <si>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</si>
  <si>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</si>
  <si>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</si>
  <si>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</si>
  <si>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</si>
  <si>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</si>
  <si>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</si>
  <si>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</si>
  <si>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</si>
  <si>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</si>
  <si>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</si>
  <si>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</si>
  <si>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</si>
  <si>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</si>
  <si>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</si>
  <si>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</si>
  <si>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</si>
  <si>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</si>
  <si>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</si>
  <si>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</si>
  <si>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</si>
  <si>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</si>
  <si>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</si>
  <si>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</si>
  <si>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</si>
  <si>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</si>
  <si>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</si>
  <si>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</si>
  <si>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</si>
  <si>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</si>
  <si>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</si>
  <si>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</si>
  <si>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</si>
  <si>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</si>
  <si>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</si>
  <si>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</si>
  <si>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</si>
  <si>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</si>
  <si>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</si>
  <si>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</si>
  <si>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</si>
  <si>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</si>
  <si>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</si>
  <si>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</si>
  <si>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</si>
  <si>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</si>
  <si>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</si>
  <si>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</si>
  <si>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</si>
  <si>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</si>
  <si>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</si>
  <si>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</si>
  <si>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</si>
  <si>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</si>
  <si>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</si>
  <si>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</si>
  <si>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</si>
  <si>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</si>
  <si>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</si>
  <si>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</si>
  <si>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</si>
  <si>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</si>
  <si>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</si>
  <si>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</si>
  <si>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</si>
  <si>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</si>
  <si>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</si>
  <si>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</si>
  <si>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</si>
  <si>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</si>
  <si>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</si>
  <si>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</si>
  <si>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</si>
  <si>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</si>
  <si>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</si>
  <si>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</si>
  <si>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</si>
  <si>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</si>
  <si>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</si>
  <si>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</si>
  <si>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</si>
  <si>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</si>
  <si>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</si>
  <si>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</si>
  <si>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</si>
  <si>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</si>
  <si>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</si>
  <si>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</si>
  <si>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</si>
  <si>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</si>
  <si>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</si>
  <si>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</si>
  <si>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</si>
  <si>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</si>
  <si>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</si>
  <si>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</si>
  <si>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</si>
  <si>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</si>
  <si>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</si>
  <si>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</si>
  <si>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</si>
  <si>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</si>
  <si>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</si>
  <si>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</si>
  <si>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</si>
  <si>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</si>
  <si>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</si>
  <si>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</si>
  <si>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</si>
  <si>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</si>
  <si>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</si>
  <si>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</si>
  <si>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</si>
  <si>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</si>
  <si>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</si>
  <si>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</si>
  <si>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</si>
  <si>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</si>
  <si>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</si>
  <si>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</si>
  <si>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</si>
  <si>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</si>
  <si>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</si>
  <si>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</si>
  <si>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</si>
  <si>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</si>
  <si>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</si>
  <si>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</si>
  <si>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</si>
  <si>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</si>
  <si>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</si>
  <si>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</si>
  <si>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</si>
  <si>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</si>
  <si>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</si>
  <si>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</si>
  <si>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</si>
  <si>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</si>
  <si>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</si>
  <si>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</si>
  <si>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</si>
  <si>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</si>
  <si>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</si>
  <si>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</si>
  <si>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</si>
  <si>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</si>
  <si>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</si>
  <si>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</si>
  <si>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</si>
  <si>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</si>
  <si>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BARRAS DE PROTEINAS</t>
  </si>
  <si>
    <t>al 27/08/2017</t>
  </si>
  <si>
    <t>45 días</t>
  </si>
  <si>
    <t>http://www.produccion.gob.ar/tramites/rbtparques-61495</t>
  </si>
  <si>
    <t>PDF Banco Nación</t>
  </si>
  <si>
    <t>Maquinaria</t>
  </si>
  <si>
    <t>Precio</t>
  </si>
  <si>
    <t>Cantidad</t>
  </si>
  <si>
    <t>TOTAL</t>
  </si>
  <si>
    <t>Envasadora</t>
  </si>
  <si>
    <t>Cobertora</t>
  </si>
  <si>
    <t>Horno industrial</t>
  </si>
  <si>
    <t>Extrusora</t>
  </si>
  <si>
    <t>Mezcladora</t>
  </si>
  <si>
    <t>https://bdjljx.en.alibaba.com/product/1176469107-212887612/Industrial_electric_multi_cooking_pot.html?spm=a2700.8304367.prsea43447.162.73152c54TMlV6N</t>
  </si>
  <si>
    <t>Precio (U$S)</t>
  </si>
  <si>
    <t>http://www.eganfoodtech.com/extruder-machines</t>
  </si>
  <si>
    <t>Subtotal ($)</t>
  </si>
  <si>
    <t>https://m.spanish.alibaba.com/p-detail/Stainless-steel-rotary-rack-oven-price-60533178768.html</t>
  </si>
  <si>
    <t>http://www.aguiatech.com.br/index.php/home/cobrideiras/cobrimaq-fk100.html</t>
  </si>
  <si>
    <t>http://www.aguiatech.com.br/index.php/produtos/empacotadoras-flowpack/flowpack-ap250.html</t>
  </si>
  <si>
    <t>Exceso de gasto por puesta en marcha</t>
  </si>
  <si>
    <t>Gasto en Productos Terminados</t>
  </si>
  <si>
    <t>Gasto en MCySE</t>
  </si>
  <si>
    <t>Gasto anual</t>
  </si>
  <si>
    <t>Año 2 y 3</t>
  </si>
  <si>
    <t>Año 4 y 5</t>
  </si>
  <si>
    <t>Gastos de Fabricacion en Materiales</t>
  </si>
  <si>
    <t>LOS GASTOS DE MATERIALES SE CONSIDERAN VARIABLES</t>
  </si>
  <si>
    <t>Ejercicio 19</t>
  </si>
  <si>
    <t>Gasto de MCySE</t>
  </si>
  <si>
    <t>Gasto especifico</t>
  </si>
  <si>
    <t>Vehículo</t>
  </si>
  <si>
    <t>Inmobiliario</t>
  </si>
  <si>
    <t>Tasa Municipal</t>
  </si>
  <si>
    <t>Año 2 a 5</t>
  </si>
  <si>
    <t>Gasto por puesta en marcha</t>
  </si>
  <si>
    <t>Gasto por producción o PT</t>
  </si>
  <si>
    <t>Respecto valor de los rodados</t>
  </si>
  <si>
    <t>Impuesto automotor anual</t>
  </si>
  <si>
    <t>Corresponde al area de producción</t>
  </si>
  <si>
    <t>Respecto del inmueble</t>
  </si>
  <si>
    <t>Impuesto inmobiliario anual</t>
  </si>
  <si>
    <t>Tasa municipal anual</t>
  </si>
  <si>
    <t>Gastos de Fabricación en Combustibles</t>
  </si>
  <si>
    <t>Ejercicio 21</t>
  </si>
  <si>
    <t>Gastos de fabricación por Tasas e Impuestos</t>
  </si>
  <si>
    <t>Ejercicio 22</t>
  </si>
  <si>
    <t>Gasto mercaderia en proceso</t>
  </si>
  <si>
    <t>Costo exceso puesta en marcha</t>
  </si>
  <si>
    <t>Gasto Especifico</t>
  </si>
  <si>
    <t>Gasto Anual Total</t>
  </si>
  <si>
    <t>Costo de MP incoporada en MCySE</t>
  </si>
  <si>
    <t>Costo por MP requerida por la produccion realizada</t>
  </si>
  <si>
    <t>Gasto específico</t>
  </si>
  <si>
    <t>Exceso debido a la puesta en marcha</t>
  </si>
  <si>
    <t>Consumo MP en MCySE</t>
  </si>
  <si>
    <t>Gasto Anual Adicional por Mantenimiento</t>
  </si>
  <si>
    <t>Consumo de MP por producto terminado</t>
  </si>
  <si>
    <t>$/h</t>
  </si>
  <si>
    <t>Costo</t>
  </si>
  <si>
    <t>Consumo Total MP</t>
  </si>
  <si>
    <t>Turnos</t>
  </si>
  <si>
    <t>Horas de trabajo por dia</t>
  </si>
  <si>
    <t>Cantidad Operarios</t>
  </si>
  <si>
    <t>dias</t>
  </si>
  <si>
    <t>Dias de trabajo</t>
  </si>
  <si>
    <t>Gasto Anual</t>
  </si>
  <si>
    <t>Gasto Adicional Mantenimiento durante las vacaciones (15 dias)</t>
  </si>
  <si>
    <t>Consumo especifico</t>
  </si>
  <si>
    <t>Producción programada</t>
  </si>
  <si>
    <t>Consumo MP</t>
  </si>
  <si>
    <t>Ejercicio 15</t>
  </si>
  <si>
    <t>Secretaria</t>
  </si>
  <si>
    <t>Gasto en mercaderia en P</t>
  </si>
  <si>
    <t>Mantenimiento</t>
  </si>
  <si>
    <t>Gasto Especifico total</t>
  </si>
  <si>
    <t>Jefe de Producción</t>
  </si>
  <si>
    <t>Gasto variable anual</t>
  </si>
  <si>
    <t>Gasto Especifico variable</t>
  </si>
  <si>
    <t>Encargado de depósito</t>
  </si>
  <si>
    <t>Gasto fijo anual</t>
  </si>
  <si>
    <t>$/Kwh</t>
  </si>
  <si>
    <t>Costo promedio del Kwh</t>
  </si>
  <si>
    <t>Gerente de finanzas</t>
  </si>
  <si>
    <t>Gerente de compras y ventas</t>
  </si>
  <si>
    <t>Gasto en Mercaderia en P</t>
  </si>
  <si>
    <t>Gasto total imputable a producción</t>
  </si>
  <si>
    <t>Gerente general</t>
  </si>
  <si>
    <t>Gasto por producto terminado</t>
  </si>
  <si>
    <t>Gasto Total</t>
  </si>
  <si>
    <t>Gasto mantenimiento</t>
  </si>
  <si>
    <t>Imputabilidad a Producción</t>
  </si>
  <si>
    <t>Cantidad por Turno</t>
  </si>
  <si>
    <t>Cargas Sociales</t>
  </si>
  <si>
    <t>Sueldo Mensual</t>
  </si>
  <si>
    <t>Tipo de Persona Requerido</t>
  </si>
  <si>
    <t>Cargas Sociales MOI</t>
  </si>
  <si>
    <t>Gasto anual de producción</t>
  </si>
  <si>
    <t>Cantidad de meses</t>
  </si>
  <si>
    <t>Ejercicio 18</t>
  </si>
  <si>
    <t>Lo imputable a producción</t>
  </si>
  <si>
    <t>$/Kw instalado</t>
  </si>
  <si>
    <t>Costo fijo por KW instalado</t>
  </si>
  <si>
    <t>kwh</t>
  </si>
  <si>
    <t>Consumo anual de producción</t>
  </si>
  <si>
    <t>Kwh/h</t>
  </si>
  <si>
    <t>Consumo regimen (2 a 5)</t>
  </si>
  <si>
    <t>Kwh/dia</t>
  </si>
  <si>
    <t>Exceso de Gasto por Puesta en Marcha</t>
  </si>
  <si>
    <t>respecto del año 2</t>
  </si>
  <si>
    <t>Consumo y gasto del año 1</t>
  </si>
  <si>
    <t>Kw</t>
  </si>
  <si>
    <t>Potencia Instalada</t>
  </si>
  <si>
    <t>del consumo total</t>
  </si>
  <si>
    <t xml:space="preserve">Se inyecta a producción </t>
  </si>
  <si>
    <t>SE CONSIDERA EL GASTO DE MOD COMO VARIABLE</t>
  </si>
  <si>
    <t>Gasto por Energía electrica adquirida</t>
  </si>
  <si>
    <t>Ejercicio 20</t>
  </si>
  <si>
    <t>Volumen barras MCySE</t>
  </si>
  <si>
    <t>Gasto PT</t>
  </si>
  <si>
    <t>Cantidad barras PT 1er año</t>
  </si>
  <si>
    <t>Cantidad barras al año</t>
  </si>
  <si>
    <t>Año 2-5 (régimen)</t>
  </si>
  <si>
    <t>por cada operario</t>
  </si>
  <si>
    <t>Horas trabajadas al año</t>
  </si>
  <si>
    <t>Estimación tecnologo rendimiento año 1</t>
  </si>
  <si>
    <t>Adicionales</t>
  </si>
  <si>
    <t>exceso de gasto de MOD por puesta en marcha</t>
  </si>
  <si>
    <t>gasto en producto terminados</t>
  </si>
  <si>
    <t>A Amortizar</t>
  </si>
  <si>
    <t>Volumen de MCySE imputable en cada año</t>
  </si>
  <si>
    <t>Amortización por Mercaderia en Curso y Semielaborados (MCySE)</t>
  </si>
  <si>
    <t>Cantidad de secciones operativas</t>
  </si>
  <si>
    <t>Jornal con cargas sociales y adicionales</t>
  </si>
  <si>
    <t>Jornal Básico</t>
  </si>
  <si>
    <t>2 y 3</t>
  </si>
  <si>
    <t>Cantidad de operarios</t>
  </si>
  <si>
    <t>4 y 5</t>
  </si>
  <si>
    <t>Mano de Obra Directa</t>
  </si>
  <si>
    <t>Horas efectivas</t>
  </si>
  <si>
    <t>Horas por día</t>
  </si>
  <si>
    <t>Imputación Especifica (de acuerdo a los producido)</t>
  </si>
  <si>
    <t>Imputación de la amortización de AF en los gastos de Fabricacion</t>
  </si>
  <si>
    <t>Alicuota anuales de amortización</t>
  </si>
  <si>
    <t>Producción</t>
  </si>
  <si>
    <t>Días por semana</t>
  </si>
  <si>
    <t>Ejercicio 16</t>
  </si>
  <si>
    <t>Semanas Operativas</t>
  </si>
  <si>
    <t>Área Producción</t>
  </si>
  <si>
    <t>Ejercicio 17</t>
  </si>
  <si>
    <t>Gastos de Fabricación</t>
  </si>
  <si>
    <t>Gastos del área de producción</t>
  </si>
  <si>
    <t>Tarifa según EDENOR</t>
  </si>
  <si>
    <t>http://www.edenor.com.ar/cms/SP/EMP/ACE/EST_CUA.html</t>
  </si>
  <si>
    <t xml:space="preserve"> </t>
  </si>
  <si>
    <t>Lo restante a las áreas de administración y comercialización</t>
  </si>
  <si>
    <t>Ingreso anual años en régimen</t>
  </si>
  <si>
    <t>Plan de Ventas</t>
  </si>
  <si>
    <t>Ingreso anual año 1</t>
  </si>
  <si>
    <t>Nacional</t>
  </si>
  <si>
    <t>Importados</t>
  </si>
  <si>
    <t>$/unid</t>
  </si>
  <si>
    <t>Imputación específica ($/unid)</t>
  </si>
  <si>
    <t>Limpieza</t>
  </si>
  <si>
    <t>Personal de mantenimiento calificado para maquinarias complejas</t>
  </si>
  <si>
    <t>Los gastos de personal, sin mano de obra directa, son constantes (semifijos, en general). No se prevén
aumentos a través del tiempo por antigüedad a fin de simplificar estos cálculos.</t>
  </si>
  <si>
    <t>Proteina</t>
  </si>
  <si>
    <t>Miel</t>
  </si>
  <si>
    <t>Avena</t>
  </si>
  <si>
    <t>Granola</t>
  </si>
  <si>
    <t>Chocolate</t>
  </si>
  <si>
    <t>Conservantes</t>
  </si>
  <si>
    <t>Del automovil, corresponde a producción</t>
  </si>
  <si>
    <t>De la camioneta, corresponde a producción</t>
  </si>
  <si>
    <t>EXENCIONES PROVINCIALES:
Promoción Industrial Provincial Ley 13.656: El Municipio de Tigre se encuentra adherido a esta Ley Provincial por ordenanza 3125/2010. Toda radicación nueva debe solicitar a la Provincia los beneficios de esta norma previo al inicio de actividades. 
Por un plazo de 3 años, los mismos son:
- Ingresos brutos, Impuesto inmobiliario y patentes de hasta 5 vehículos: exención de 100%</t>
  </si>
  <si>
    <t>Valor camioneta para distribución</t>
  </si>
  <si>
    <t>Mod 2003</t>
  </si>
  <si>
    <t>Agua</t>
  </si>
  <si>
    <t>miel</t>
  </si>
  <si>
    <t>conservante</t>
  </si>
  <si>
    <t>avena</t>
  </si>
  <si>
    <t>granola</t>
  </si>
  <si>
    <t>chocolate</t>
  </si>
  <si>
    <t>proteina</t>
  </si>
  <si>
    <t>Gramos</t>
  </si>
  <si>
    <t>Resumen de cuadro evolución de las mercaderías</t>
  </si>
  <si>
    <t>Unidades</t>
  </si>
  <si>
    <t>Año 2-5</t>
  </si>
  <si>
    <t>Kilos</t>
  </si>
  <si>
    <t>MP</t>
  </si>
  <si>
    <t>SE</t>
  </si>
  <si>
    <t>Total barra</t>
  </si>
  <si>
    <t>Fuel oil</t>
  </si>
  <si>
    <t>litros a razón de</t>
  </si>
  <si>
    <t xml:space="preserve">m3 a razón de </t>
  </si>
  <si>
    <t>$/l</t>
  </si>
  <si>
    <t>https://www.metrogas.com.ar/hogares/paginas/cuadros-tarifarios.aspx</t>
  </si>
  <si>
    <t>$/m3</t>
  </si>
  <si>
    <t xml:space="preserve"> y un cargo fijo anual de </t>
  </si>
  <si>
    <t>Gasto anual, para la camioneta, horno y elementos de calefacción:</t>
  </si>
  <si>
    <t>Gasto en MC y SE</t>
  </si>
  <si>
    <t>del año 2</t>
  </si>
  <si>
    <t xml:space="preserve">* En el año 1 el gasto anual es equivalente al </t>
  </si>
  <si>
    <t>Alicuota anual de repuesto</t>
  </si>
  <si>
    <t>Alicuota sin repuesto (1a3)</t>
  </si>
  <si>
    <t>Gasto puesta en marcha</t>
  </si>
  <si>
    <t>Ejercicio 26</t>
  </si>
  <si>
    <t>Ejercicio 27</t>
  </si>
  <si>
    <t>Gastos de Administración, gastos de personal</t>
  </si>
  <si>
    <t>Gastos de Administración, imputación de armotización de activo fijo</t>
  </si>
  <si>
    <t>Área Administación</t>
  </si>
  <si>
    <t xml:space="preserve">El gasto del año 1 es </t>
  </si>
  <si>
    <t>Imputabilidad a Administración</t>
  </si>
  <si>
    <t>Imputación amortización a Adm</t>
  </si>
  <si>
    <t>ESTE ES UN GASTO CONSTANTE O FIJO</t>
  </si>
  <si>
    <t>Ejercicio 28</t>
  </si>
  <si>
    <t>Gasto anual total</t>
  </si>
  <si>
    <t>Gastos de Administración en Materiales</t>
  </si>
  <si>
    <t>En el año 1 el gasto es el</t>
  </si>
  <si>
    <t>respecto del año 2 y 3</t>
  </si>
  <si>
    <t>ESTE GASTO SE CONSIDERA SEMIFIJO"</t>
  </si>
  <si>
    <t>Ejercicio 29</t>
  </si>
  <si>
    <t>Gastos de Administración, gasto de energía electrica</t>
  </si>
  <si>
    <t>Se considera lo que se imputa a Administración es</t>
  </si>
  <si>
    <t>respecto del gasto total (corresponde a iluminación)</t>
  </si>
  <si>
    <t xml:space="preserve">En el año 1 el gasto es </t>
  </si>
  <si>
    <t>respecto de los otros años en régimen</t>
  </si>
  <si>
    <t>ESTE GASTO SE CONSIDERA CONSTANTE O FIJO</t>
  </si>
  <si>
    <t>Ejercicio 31</t>
  </si>
  <si>
    <t>Gasto de Administración, por gastos varios</t>
  </si>
  <si>
    <t>Viajes y Becas</t>
  </si>
  <si>
    <t>Gastos de oficina</t>
  </si>
  <si>
    <t>Honorarios Profesionales</t>
  </si>
  <si>
    <t>Ejercicio 32</t>
  </si>
  <si>
    <t>Gastos de administración por Tasas e Impuestos</t>
  </si>
  <si>
    <t>Año 1 a 5</t>
  </si>
  <si>
    <t>Tasa municipal imputable a Administración</t>
  </si>
  <si>
    <t>respecto de la tasa municipal de proyecto</t>
  </si>
  <si>
    <t>Tasa de impuesto inmobliario de Adm</t>
  </si>
  <si>
    <t>respecto del impuesto inmobiliario del proyecto</t>
  </si>
  <si>
    <t>ESTE GASTO SE CONSIDERA CONSTANTE( SEMIFIJO EN ESTE CASO)</t>
  </si>
  <si>
    <t>Impuesto del automotor en Adm</t>
  </si>
  <si>
    <t>respecto del impuesto automotor del proyecto</t>
  </si>
  <si>
    <t xml:space="preserve">Impuesto a los sellos </t>
  </si>
  <si>
    <t>respecto a los ingresos anuales en regimen</t>
  </si>
  <si>
    <t>Impuesto a los débitos y créditos bancarios</t>
  </si>
  <si>
    <t>Tasa de impuesto inmobiliario anual</t>
  </si>
  <si>
    <t>Impuesto del automotor</t>
  </si>
  <si>
    <t>ESTOS GASTOS SE CONSIDERAN CONSTANTES (FIJOS)</t>
  </si>
  <si>
    <t>Impuesto a los sellos</t>
  </si>
  <si>
    <t>Total anual</t>
  </si>
  <si>
    <t>Gas Natural</t>
  </si>
  <si>
    <t>Ejercicio 44</t>
  </si>
  <si>
    <t>Años restantes</t>
  </si>
  <si>
    <t>Disponibilidad mínima en caja y bancos</t>
  </si>
  <si>
    <t>del MCyB en régimen</t>
  </si>
  <si>
    <t>respecto de las ventas anuales</t>
  </si>
  <si>
    <t>Plazo de financiación a clientes</t>
  </si>
  <si>
    <t>Stock materiales de producción</t>
  </si>
  <si>
    <t>respecto del año 1 ( y los restantes)</t>
  </si>
  <si>
    <t>meses</t>
  </si>
  <si>
    <t>Stock materiales comer  y adm</t>
  </si>
  <si>
    <t>Años</t>
  </si>
  <si>
    <t>Monto</t>
  </si>
  <si>
    <t>Plazo de financiación a clientes CREDITO POR VENTAS)</t>
  </si>
  <si>
    <t>Stock materia prima</t>
  </si>
  <si>
    <t>Stock MP (periodo de instalación)</t>
  </si>
  <si>
    <t>Stock MP</t>
  </si>
  <si>
    <t>Poteina</t>
  </si>
  <si>
    <t>Periodo de puesta en marcha</t>
  </si>
  <si>
    <t>Stock Promedio año 0</t>
  </si>
  <si>
    <t>kilos</t>
  </si>
  <si>
    <t>barras</t>
  </si>
  <si>
    <t>1 barra 100 g</t>
  </si>
  <si>
    <t>[kg]</t>
  </si>
  <si>
    <t>Ejercicio 35</t>
  </si>
  <si>
    <t>Ejercicio 36</t>
  </si>
  <si>
    <t>Gastos de comercialización, gasto de personal</t>
  </si>
  <si>
    <t>Tipo de personal</t>
  </si>
  <si>
    <t>sueldo mensual</t>
  </si>
  <si>
    <t>cargas sociales</t>
  </si>
  <si>
    <t>cantidad imputada</t>
  </si>
  <si>
    <t>gasto anual</t>
  </si>
  <si>
    <t>gasto anual total</t>
  </si>
  <si>
    <t>Energía electrica</t>
  </si>
  <si>
    <t>Mantenimiento (permanente)</t>
  </si>
  <si>
    <t>Año 2 y 5</t>
  </si>
  <si>
    <t>LOS GASTOS SE CONSIDERAN CONSTANTES (SEMIFIJOS)</t>
  </si>
  <si>
    <t>Ejercicio 38</t>
  </si>
  <si>
    <t>Ejercicio 39</t>
  </si>
  <si>
    <t>Gastos de comercialización, gastos de materiales</t>
  </si>
  <si>
    <t>Gastos comercialización, gastos varios</t>
  </si>
  <si>
    <t>Costo cada flete</t>
  </si>
  <si>
    <t>Gastos anuales</t>
  </si>
  <si>
    <t>Gasto anuales</t>
  </si>
  <si>
    <t>Honorarios profesionales</t>
  </si>
  <si>
    <t>*Honorarios profesionales por distintas consultas a través del año.</t>
  </si>
  <si>
    <t>Pasajes y estadia</t>
  </si>
  <si>
    <t>Gastos de oficina varios</t>
  </si>
  <si>
    <t>*internet, telefono</t>
  </si>
  <si>
    <t>LOS GASTOS VARIABLES SON EL FLETE ENTRE LOS AÑOS 2 A 5, Y EL RESTO ES CONSTANTE, LOS GASTOS EN EL AÑO 1 SON CONSTATNES YA QUE NO INCLUYEN FLETE</t>
  </si>
  <si>
    <t>Mantenimiento de bienes de uso requiere el</t>
  </si>
  <si>
    <t>de su valor por año</t>
  </si>
  <si>
    <t>Publicidad especializada</t>
  </si>
  <si>
    <t>del total</t>
  </si>
  <si>
    <t>Flete</t>
  </si>
  <si>
    <t>*Ya tenemos una camioneta propia que realiza los repartos</t>
  </si>
  <si>
    <t>Gasto varios total</t>
  </si>
  <si>
    <t>*El flete de los desperdicios es por cuenta de quien los retire.</t>
  </si>
  <si>
    <t>Se gasta en concepto de papelería y útiles de oficina</t>
  </si>
  <si>
    <t xml:space="preserve">por cada </t>
  </si>
  <si>
    <t>vendidas</t>
  </si>
  <si>
    <t xml:space="preserve">Artículos de tocador, higiene y limpieza gastan el equivalente de </t>
  </si>
  <si>
    <t>de sueldos</t>
  </si>
  <si>
    <t>En empaque y embalaje se gasta en etiquetas, papeles y cajas</t>
  </si>
  <si>
    <t>por cada</t>
  </si>
  <si>
    <t>Mantenimiento Bs Uso</t>
  </si>
  <si>
    <t>Papelería y útiles de oficina</t>
  </si>
  <si>
    <t>Artículos de limpieza</t>
  </si>
  <si>
    <t>Empaque y embalaje</t>
  </si>
  <si>
    <t>Ejercicio 40</t>
  </si>
  <si>
    <t>Gastos de comercialización, tasas e impuestos</t>
  </si>
  <si>
    <t>Impuestos sobre ingresos brutos</t>
  </si>
  <si>
    <t>Total por impuestos</t>
  </si>
  <si>
    <t>Impuesto sobre ingresos brutos</t>
  </si>
  <si>
    <t>Del cuadro de evolución de mercaderias</t>
  </si>
  <si>
    <t>Stock Promedio de Elaborados</t>
  </si>
  <si>
    <t>Incremeto de IVA</t>
  </si>
  <si>
    <t>Mercadería en proceso</t>
  </si>
  <si>
    <t>E Electrica</t>
  </si>
  <si>
    <t>Incrementos</t>
  </si>
  <si>
    <t>Stock de elaborados</t>
  </si>
  <si>
    <t>Incremento</t>
  </si>
  <si>
    <t>ejercicio 44b</t>
  </si>
  <si>
    <t>Stock Promedio elaborados</t>
  </si>
  <si>
    <t>Cantidad Unidades</t>
  </si>
  <si>
    <t>DIAGRAMA DE PUNTO DE EQUILIBRIO PARA EL AÑO 1 Y PARA EL AÑO 5</t>
  </si>
  <si>
    <t xml:space="preserve">costos variables totales </t>
  </si>
  <si>
    <t>costos constantes totales</t>
  </si>
  <si>
    <t>Ventas</t>
  </si>
  <si>
    <t>Costo Fijo</t>
  </si>
  <si>
    <t>Ingresos</t>
  </si>
  <si>
    <t>Costo Total</t>
  </si>
  <si>
    <t>Costo Variable</t>
  </si>
  <si>
    <t>Estos gastos, según el tecnólogo, corresponden a:</t>
  </si>
  <si>
    <t>anual del valor de los bienes de uso (sin repuestos)</t>
  </si>
  <si>
    <t>anual de la maquinaria</t>
  </si>
  <si>
    <t>anual del gasto de materia prima</t>
  </si>
  <si>
    <t>anual de gasto del personal total en área de producción</t>
  </si>
  <si>
    <t>Del año 4 al 5 se incremetan en un</t>
  </si>
  <si>
    <t>los gastos relacionados con el mantenimiento y consumo de repuestos</t>
  </si>
  <si>
    <t>Año 1 =</t>
  </si>
  <si>
    <t>PRI</t>
  </si>
  <si>
    <t xml:space="preserve">Años     ---&gt; </t>
  </si>
  <si>
    <t>Considerando:</t>
  </si>
  <si>
    <t>Mantenimiento:</t>
  </si>
  <si>
    <t>del valor de los bieness de uso del área, que representan de los bienes de uso totales un</t>
  </si>
  <si>
    <t>Papelería y útiles</t>
  </si>
  <si>
    <t>del costo de produccón anual (año 2/10)</t>
  </si>
  <si>
    <t>Artículos de tocador y limpieza equivalente a</t>
  </si>
  <si>
    <t>de los sueldos</t>
  </si>
  <si>
    <t>En el año 1  el gasto es el</t>
  </si>
  <si>
    <t>Papeleria y útiles</t>
  </si>
  <si>
    <t>Artículos de tocador y limp.</t>
  </si>
  <si>
    <t>Gastos de comercialización</t>
  </si>
  <si>
    <t>Ejercicio 30</t>
  </si>
  <si>
    <t>Gastos de administración en combustibles</t>
  </si>
  <si>
    <t>El área de administración utiliza la camioneta para algunas tareas, que consume gas oil, y aparatos de calefacción que requieren gas natural</t>
  </si>
  <si>
    <t>El gasto del año 1 es el </t>
  </si>
  <si>
    <t>GN</t>
  </si>
  <si>
    <t>m3 a razón de </t>
  </si>
  <si>
    <t> y un cargo fijo anual de </t>
  </si>
  <si>
    <t>Dividimos para calcular el 1%, y despues ir sumando lo acumulado a costo variable</t>
  </si>
  <si>
    <t>* lo dividimos por 10, ya que hay 10 unidades en 1kg</t>
  </si>
  <si>
    <t>v</t>
  </si>
  <si>
    <t>f</t>
  </si>
  <si>
    <t>Stock Materiales</t>
  </si>
  <si>
    <t xml:space="preserve">Año 2 a 5 </t>
  </si>
  <si>
    <t xml:space="preserve">Período de recupero de la inversión:  </t>
  </si>
  <si>
    <t>2 AÑOS</t>
  </si>
  <si>
    <t>DIAS</t>
  </si>
  <si>
    <t>e) Recupero de Credito Fiscal</t>
  </si>
  <si>
    <t>Links con precios:</t>
  </si>
  <si>
    <t>Se suma un 5% para repuestos</t>
  </si>
  <si>
    <t>(consulta Via mail)</t>
  </si>
  <si>
    <t>(consulta via mail)</t>
  </si>
  <si>
    <t xml:space="preserve"> ------&gt;</t>
  </si>
  <si>
    <t>Según ejercicio de Evolución de Stock y Ventas</t>
  </si>
  <si>
    <t>Mano de Obra Indirecta (producción)</t>
  </si>
  <si>
    <t>ENEGÍA ELÉCTRICA SE CONSIDERA GASTO VARIABLE</t>
  </si>
  <si>
    <t>Conservante</t>
  </si>
  <si>
    <t>LOS GASTOS DE TASAS E IMPUESTOS SE CONSIDERAN CONSTANTES (FIJOS) PARA SIMPLIFICAR CÁLCULOS. Sin embargo, a tener en cuenta:</t>
  </si>
  <si>
    <t>cantidad por 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</si>
</sst>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 &quot;$&quot;\ * #,##0_ ;_ &quot;$&quot;\ * \-#,##0_ ;_ &quot;$&quot;\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0.00\ %"/>
    <numFmt numFmtId="166" formatCode="_(\$* #,##0.00_);_(\$* \(#,##0.00\);_(\$* \-??_);_(@_)"/>
    <numFmt numFmtId="167" formatCode="0.0"/>
    <numFmt numFmtId="168" formatCode="0.000"/>
    <numFmt numFmtId="169" formatCode="_(* #,##0.00_);_(* \(#,##0.00\);_(* \-??_);_(@_)"/>
    <numFmt numFmtId="170" formatCode="d&quot; de &quot;mmm&quot; de &quot;yy"/>
    <numFmt numFmtId="171" formatCode="_-[$$-2C0A]* #,##0.00_-;\-[$$-2C0A]* #,##0.00_-;_-[$$-2C0A]* &quot;-&quot;??_-;_-@_-"/>
    <numFmt numFmtId="172" formatCode="&quot;$&quot;#,##0.00"/>
    <numFmt numFmtId="174" formatCode="_-* #,##0.00_-;\-* #,##0.00_-;_-* &quot;-&quot;??_-;_-@_-"/>
    <numFmt numFmtId="175" formatCode="_(* #,##0_);_(* \(#,##0\);_(* \-??_);_(@_)"/>
    <numFmt numFmtId="176" formatCode="&quot;$&quot;#,##0"/>
    <numFmt numFmtId="177" formatCode="0.0%"/>
    <numFmt numFmtId="178" formatCode="_ * #,##0_ ;_ * \-#,##0_ ;_ * &quot;-&quot;??_ ;_ @_ "/>
    <numFmt numFmtId="179" formatCode="_(\$* #,##0.0_);_(\$* \(#,##0.0\);_(\$* \-??_);_(@_)"/>
    <numFmt numFmtId="180" formatCode="_(\$* #,##0_);_(\$* \(#,##0\);_(\$* \-??_);_(@_)"/>
    <numFmt numFmtId="181" formatCode="_(* #,##0.0_);_(* \(#,##0.0\);_(* \-??_);_(@_)"/>
    <numFmt numFmtId="182" formatCode="&quot;$&quot;\ #,##0.00"/>
    <numFmt numFmtId="183" formatCode="&quot;$&quot;\ #,##0"/>
    <numFmt numFmtId="184" formatCode="_-&quot;$&quot;* #,##0.00_-;\-&quot;$&quot;* #,##0.00_-;_-&quot;$&quot;* &quot;-&quot;??_-;_-@_-"/>
    <numFmt numFmtId="193" formatCode="&quot;$&quot;#,##0.0"/>
    <numFmt numFmtId="194" formatCode="&quot;$&quot;#,##0.000"/>
    <numFmt numFmtId="195" formatCode="_(\$* #,##0.000_);_(\$* \(#,##0.000\);_(\$* \-??_);_(@_)"/>
  </numFmts>
  <fonts count="38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12"/>
      <name val="Calibri"/>
      <family val="2"/>
      <scheme val="minor"/>
    </font>
    <font>
      <u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E7E6E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33"/>
      </left>
      <right style="thin">
        <color rgb="FF333333"/>
      </right>
      <top/>
      <bottom style="hair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hair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hair">
        <color rgb="FF333333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thin">
        <color rgb="FF333333"/>
      </left>
      <right style="medium">
        <color indexed="64"/>
      </right>
      <top style="hair">
        <color rgb="FF333333"/>
      </top>
      <bottom style="hair">
        <color rgb="FF333333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hair">
        <color indexed="59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hair">
        <color rgb="FF333333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59"/>
      </bottom>
      <diagonal/>
    </border>
    <border>
      <left style="medium">
        <color indexed="64"/>
      </left>
      <right/>
      <top style="hair">
        <color indexed="59"/>
      </top>
      <bottom style="hair">
        <color indexed="59"/>
      </bottom>
      <diagonal/>
    </border>
    <border>
      <left style="medium">
        <color indexed="64"/>
      </left>
      <right/>
      <top style="hair">
        <color indexed="59"/>
      </top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 style="hair">
        <color rgb="FF333333"/>
      </bottom>
      <diagonal/>
    </border>
    <border>
      <left style="medium">
        <color indexed="64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medium">
        <color indexed="64"/>
      </left>
      <right style="thin">
        <color rgb="FF333333"/>
      </right>
      <top style="hair">
        <color rgb="FF33333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333333"/>
      </right>
      <top style="medium">
        <color rgb="FF000000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rgb="FF000000"/>
      </top>
      <bottom style="medium">
        <color rgb="FF000000"/>
      </bottom>
      <diagonal/>
    </border>
    <border>
      <left/>
      <right style="thin">
        <color rgb="FF333333"/>
      </right>
      <top/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333333"/>
      </bottom>
      <diagonal/>
    </border>
    <border>
      <left style="thin">
        <color rgb="FF333333"/>
      </left>
      <right/>
      <top/>
      <bottom style="hair">
        <color rgb="FF333333"/>
      </bottom>
      <diagonal/>
    </border>
    <border>
      <left style="medium">
        <color indexed="64"/>
      </left>
      <right style="medium">
        <color indexed="64"/>
      </right>
      <top/>
      <bottom style="hair">
        <color rgb="FF333333"/>
      </bottom>
      <diagonal/>
    </border>
    <border>
      <left/>
      <right/>
      <top/>
      <bottom style="hair">
        <color rgb="FF333333"/>
      </bottom>
      <diagonal/>
    </border>
    <border>
      <left style="thin">
        <color rgb="FF333333"/>
      </left>
      <right style="medium">
        <color indexed="64"/>
      </right>
      <top/>
      <bottom style="hair">
        <color rgb="FF333333"/>
      </bottom>
      <diagonal/>
    </border>
    <border>
      <left style="medium">
        <color rgb="FF000000"/>
      </left>
      <right style="medium">
        <color rgb="FF000000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 style="medium">
        <color rgb="FF000000"/>
      </left>
      <right style="medium">
        <color rgb="FF000000"/>
      </right>
      <top style="hair">
        <color rgb="FF333333"/>
      </top>
      <bottom style="medium">
        <color rgb="FF000000"/>
      </bottom>
      <diagonal/>
    </border>
    <border>
      <left style="thin">
        <color rgb="FF333333"/>
      </left>
      <right/>
      <top style="hair">
        <color rgb="FF333333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333333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 style="medium">
        <color indexed="64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/>
      <bottom style="hair">
        <color indexed="59"/>
      </bottom>
      <diagonal/>
    </border>
    <border>
      <left/>
      <right style="thin">
        <color indexed="59"/>
      </right>
      <top style="medium">
        <color indexed="64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medium">
        <color indexed="64"/>
      </bottom>
      <diagonal/>
    </border>
    <border>
      <left/>
      <right style="thin">
        <color rgb="FF333333"/>
      </right>
      <top style="hair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5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59"/>
      </bottom>
      <diagonal/>
    </border>
    <border>
      <left style="medium">
        <color indexed="64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333333"/>
      </right>
      <top/>
      <bottom style="hair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16" fillId="0" borderId="0" applyFill="0" applyBorder="0" applyAlignment="0" applyProtection="0"/>
    <xf numFmtId="166" fontId="16" fillId="0" borderId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9" fontId="16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30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0" fontId="11" fillId="0" borderId="0" xfId="0" applyFont="1"/>
    <xf numFmtId="0" fontId="0" fillId="0" borderId="0" xfId="0" applyFont="1" applyAlignment="1">
      <alignment horizontal="right"/>
    </xf>
    <xf numFmtId="0" fontId="13" fillId="0" borderId="0" xfId="0" applyFont="1"/>
    <xf numFmtId="0" fontId="0" fillId="0" borderId="0" xfId="0" applyFill="1"/>
    <xf numFmtId="0" fontId="0" fillId="0" borderId="11" xfId="0" applyFont="1" applyFill="1" applyBorder="1"/>
    <xf numFmtId="166" fontId="0" fillId="0" borderId="12" xfId="13" applyFont="1" applyFill="1" applyBorder="1" applyAlignment="1" applyProtection="1">
      <protection locked="0"/>
    </xf>
    <xf numFmtId="0" fontId="0" fillId="0" borderId="11" xfId="0" applyFont="1" applyFill="1" applyBorder="1" applyAlignment="1">
      <alignment horizontal="left"/>
    </xf>
    <xf numFmtId="166" fontId="0" fillId="0" borderId="8" xfId="13" applyFont="1" applyFill="1" applyBorder="1" applyAlignment="1" applyProtection="1">
      <protection locked="0"/>
    </xf>
    <xf numFmtId="0" fontId="13" fillId="0" borderId="7" xfId="0" applyFont="1" applyFill="1" applyBorder="1"/>
    <xf numFmtId="167" fontId="0" fillId="0" borderId="0" xfId="0" applyNumberFormat="1" applyFill="1"/>
    <xf numFmtId="166" fontId="0" fillId="0" borderId="9" xfId="13" applyFont="1" applyFill="1" applyBorder="1" applyAlignment="1" applyProtection="1">
      <protection locked="0"/>
    </xf>
    <xf numFmtId="167" fontId="13" fillId="0" borderId="0" xfId="0" applyNumberFormat="1" applyFont="1" applyFill="1" applyAlignment="1">
      <alignment horizontal="center"/>
    </xf>
    <xf numFmtId="0" fontId="13" fillId="0" borderId="11" xfId="0" applyFont="1" applyFill="1" applyBorder="1" applyAlignment="1">
      <alignment horizontal="center"/>
    </xf>
    <xf numFmtId="166" fontId="0" fillId="0" borderId="10" xfId="13" applyFont="1" applyFill="1" applyBorder="1" applyAlignment="1" applyProtection="1">
      <alignment horizontal="center"/>
      <protection locked="0"/>
    </xf>
    <xf numFmtId="166" fontId="0" fillId="0" borderId="17" xfId="13" applyFont="1" applyFill="1" applyBorder="1" applyAlignment="1" applyProtection="1">
      <alignment horizontal="center"/>
      <protection locked="0"/>
    </xf>
    <xf numFmtId="166" fontId="0" fillId="0" borderId="12" xfId="13" applyFont="1" applyFill="1" applyBorder="1" applyAlignment="1" applyProtection="1">
      <alignment horizontal="center"/>
      <protection locked="0"/>
    </xf>
    <xf numFmtId="166" fontId="0" fillId="0" borderId="13" xfId="13" applyFont="1" applyFill="1" applyBorder="1" applyAlignment="1" applyProtection="1">
      <alignment horizontal="center"/>
      <protection locked="0"/>
    </xf>
    <xf numFmtId="166" fontId="0" fillId="0" borderId="8" xfId="13" applyFont="1" applyFill="1" applyBorder="1" applyAlignment="1" applyProtection="1">
      <alignment horizontal="center"/>
      <protection locked="0"/>
    </xf>
    <xf numFmtId="166" fontId="0" fillId="0" borderId="9" xfId="13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168" fontId="0" fillId="0" borderId="0" xfId="0" applyNumberFormat="1" applyFill="1" applyAlignment="1">
      <alignment horizontal="center"/>
    </xf>
    <xf numFmtId="166" fontId="0" fillId="0" borderId="19" xfId="13" applyFont="1" applyFill="1" applyBorder="1" applyAlignment="1" applyProtection="1">
      <alignment horizontal="center"/>
      <protection locked="0"/>
    </xf>
    <xf numFmtId="166" fontId="0" fillId="0" borderId="20" xfId="13" applyFont="1" applyFill="1" applyBorder="1" applyAlignment="1" applyProtection="1">
      <alignment horizontal="center"/>
      <protection locked="0"/>
    </xf>
    <xf numFmtId="9" fontId="0" fillId="0" borderId="9" xfId="16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>
      <alignment horizontal="center"/>
    </xf>
    <xf numFmtId="166" fontId="0" fillId="0" borderId="5" xfId="13" applyFont="1" applyFill="1" applyBorder="1" applyAlignment="1" applyProtection="1">
      <alignment horizontal="center"/>
      <protection locked="0"/>
    </xf>
    <xf numFmtId="166" fontId="0" fillId="0" borderId="6" xfId="13" applyFont="1" applyFill="1" applyBorder="1" applyAlignment="1" applyProtection="1">
      <alignment horizontal="center"/>
      <protection locked="0"/>
    </xf>
    <xf numFmtId="166" fontId="0" fillId="0" borderId="12" xfId="13" applyFont="1" applyFill="1" applyBorder="1" applyAlignment="1" applyProtection="1">
      <alignment horizontal="center"/>
    </xf>
    <xf numFmtId="166" fontId="0" fillId="0" borderId="13" xfId="13" applyFont="1" applyFill="1" applyBorder="1" applyAlignment="1" applyProtection="1">
      <alignment horizontal="center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9" fontId="0" fillId="0" borderId="12" xfId="12" applyFont="1" applyFill="1" applyBorder="1" applyAlignment="1" applyProtection="1">
      <alignment horizontal="center"/>
      <protection locked="0"/>
    </xf>
    <xf numFmtId="169" fontId="0" fillId="0" borderId="13" xfId="12" applyFont="1" applyFill="1" applyBorder="1" applyAlignment="1" applyProtection="1">
      <alignment horizontal="center"/>
      <protection locked="0"/>
    </xf>
    <xf numFmtId="166" fontId="13" fillId="0" borderId="12" xfId="13" applyFont="1" applyFill="1" applyBorder="1" applyAlignment="1" applyProtection="1">
      <alignment horizontal="center"/>
      <protection locked="0"/>
    </xf>
    <xf numFmtId="166" fontId="13" fillId="0" borderId="13" xfId="13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/>
    <xf numFmtId="0" fontId="0" fillId="0" borderId="0" xfId="0" applyBorder="1"/>
    <xf numFmtId="166" fontId="0" fillId="0" borderId="10" xfId="13" applyFont="1" applyFill="1" applyBorder="1" applyAlignment="1" applyProtection="1">
      <alignment horizontal="center"/>
    </xf>
    <xf numFmtId="166" fontId="0" fillId="0" borderId="17" xfId="13" applyFont="1" applyFill="1" applyBorder="1" applyAlignment="1" applyProtection="1">
      <alignment horizontal="center"/>
    </xf>
    <xf numFmtId="166" fontId="0" fillId="0" borderId="25" xfId="13" applyFont="1" applyFill="1" applyBorder="1" applyAlignment="1" applyProtection="1">
      <alignment horizontal="center"/>
      <protection locked="0"/>
    </xf>
    <xf numFmtId="166" fontId="0" fillId="0" borderId="25" xfId="13" applyFont="1" applyFill="1" applyBorder="1" applyAlignment="1" applyProtection="1">
      <alignment horizontal="center"/>
    </xf>
    <xf numFmtId="166" fontId="0" fillId="0" borderId="23" xfId="13" applyFont="1" applyFill="1" applyBorder="1" applyAlignment="1" applyProtection="1">
      <alignment horizontal="center"/>
      <protection locked="0"/>
    </xf>
    <xf numFmtId="166" fontId="0" fillId="0" borderId="29" xfId="13" applyFont="1" applyFill="1" applyBorder="1" applyAlignment="1" applyProtection="1">
      <alignment horizontal="center"/>
    </xf>
    <xf numFmtId="166" fontId="0" fillId="0" borderId="31" xfId="13" applyFont="1" applyFill="1" applyBorder="1" applyAlignment="1" applyProtection="1">
      <alignment horizontal="center"/>
      <protection locked="0"/>
    </xf>
    <xf numFmtId="166" fontId="0" fillId="0" borderId="31" xfId="13" applyFont="1" applyFill="1" applyBorder="1" applyAlignment="1" applyProtection="1">
      <alignment horizontal="center"/>
    </xf>
    <xf numFmtId="166" fontId="0" fillId="0" borderId="33" xfId="13" applyFont="1" applyFill="1" applyBorder="1" applyAlignment="1" applyProtection="1">
      <alignment horizontal="center"/>
      <protection locked="0"/>
    </xf>
    <xf numFmtId="166" fontId="0" fillId="0" borderId="29" xfId="13" applyFont="1" applyFill="1" applyBorder="1" applyAlignment="1" applyProtection="1">
      <alignment horizontal="center"/>
      <protection locked="0"/>
    </xf>
    <xf numFmtId="166" fontId="0" fillId="0" borderId="24" xfId="13" applyFont="1" applyFill="1" applyBorder="1" applyAlignment="1" applyProtection="1">
      <alignment horizontal="center"/>
      <protection locked="0"/>
    </xf>
    <xf numFmtId="166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2" xfId="0" applyBorder="1"/>
    <xf numFmtId="0" fontId="14" fillId="0" borderId="4" xfId="0" applyFont="1" applyFill="1" applyBorder="1" applyAlignment="1">
      <alignment horizontal="left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/>
      <protection locked="0"/>
    </xf>
    <xf numFmtId="166" fontId="13" fillId="0" borderId="8" xfId="13" applyFont="1" applyFill="1" applyBorder="1" applyAlignment="1" applyProtection="1">
      <alignment horizontal="center"/>
      <protection locked="0"/>
    </xf>
    <xf numFmtId="9" fontId="13" fillId="0" borderId="8" xfId="16" applyFont="1" applyFill="1" applyBorder="1" applyAlignment="1" applyProtection="1">
      <alignment horizontal="center"/>
      <protection locked="0"/>
    </xf>
    <xf numFmtId="9" fontId="13" fillId="0" borderId="9" xfId="16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4" fillId="0" borderId="34" xfId="0" applyFont="1" applyFill="1" applyBorder="1" applyAlignment="1">
      <alignment horizontal="left"/>
    </xf>
    <xf numFmtId="0" fontId="14" fillId="0" borderId="35" xfId="0" applyFont="1" applyFill="1" applyBorder="1" applyAlignment="1">
      <alignment horizontal="left"/>
    </xf>
    <xf numFmtId="0" fontId="14" fillId="0" borderId="36" xfId="0" applyFont="1" applyFill="1" applyBorder="1" applyAlignment="1">
      <alignment horizontal="left"/>
    </xf>
    <xf numFmtId="0" fontId="13" fillId="0" borderId="37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170" fontId="0" fillId="0" borderId="4" xfId="0" applyNumberFormat="1" applyFont="1" applyFill="1" applyBorder="1" applyProtection="1">
      <protection locked="0"/>
    </xf>
    <xf numFmtId="166" fontId="0" fillId="0" borderId="5" xfId="13" applyFont="1" applyFill="1" applyBorder="1" applyAlignment="1" applyProtection="1">
      <protection locked="0"/>
    </xf>
    <xf numFmtId="9" fontId="0" fillId="0" borderId="5" xfId="16" applyFont="1" applyFill="1" applyBorder="1" applyAlignment="1" applyProtection="1">
      <protection locked="0"/>
    </xf>
    <xf numFmtId="170" fontId="0" fillId="0" borderId="11" xfId="0" applyNumberFormat="1" applyFont="1" applyFill="1" applyBorder="1" applyProtection="1">
      <protection locked="0"/>
    </xf>
    <xf numFmtId="170" fontId="0" fillId="0" borderId="7" xfId="0" applyNumberFormat="1" applyFont="1" applyFill="1" applyBorder="1" applyProtection="1">
      <protection locked="0"/>
    </xf>
    <xf numFmtId="9" fontId="0" fillId="0" borderId="8" xfId="16" applyFont="1" applyFill="1" applyBorder="1" applyAlignment="1" applyProtection="1">
      <protection locked="0"/>
    </xf>
    <xf numFmtId="0" fontId="13" fillId="0" borderId="0" xfId="0" applyFont="1" applyFill="1" applyBorder="1" applyAlignment="1">
      <alignment horizontal="right"/>
    </xf>
    <xf numFmtId="166" fontId="13" fillId="0" borderId="0" xfId="13" applyFont="1" applyFill="1" applyBorder="1" applyAlignment="1" applyProtection="1">
      <alignment horizontal="center"/>
    </xf>
    <xf numFmtId="166" fontId="13" fillId="0" borderId="2" xfId="13" applyFont="1" applyFill="1" applyBorder="1" applyAlignment="1" applyProtection="1">
      <alignment horizontal="center"/>
      <protection locked="0"/>
    </xf>
    <xf numFmtId="166" fontId="13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70" fontId="0" fillId="0" borderId="11" xfId="0" applyNumberFormat="1" applyFont="1" applyFill="1" applyBorder="1" applyAlignment="1" applyProtection="1">
      <alignment horizontal="left"/>
      <protection locked="0"/>
    </xf>
    <xf numFmtId="166" fontId="13" fillId="0" borderId="8" xfId="13" applyFont="1" applyFill="1" applyBorder="1" applyAlignment="1" applyProtection="1"/>
    <xf numFmtId="9" fontId="13" fillId="0" borderId="8" xfId="16" applyFont="1" applyFill="1" applyBorder="1" applyAlignment="1" applyProtection="1"/>
    <xf numFmtId="166" fontId="13" fillId="0" borderId="9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4" fillId="0" borderId="14" xfId="0" applyFont="1" applyFill="1" applyBorder="1" applyAlignment="1" applyProtection="1">
      <alignment horizontal="left"/>
    </xf>
    <xf numFmtId="0" fontId="14" fillId="0" borderId="15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22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43" xfId="0" applyFill="1" applyBorder="1" applyProtection="1"/>
    <xf numFmtId="166" fontId="13" fillId="0" borderId="17" xfId="13" applyFont="1" applyFill="1" applyBorder="1" applyAlignment="1" applyProtection="1">
      <alignment horizontal="center"/>
    </xf>
    <xf numFmtId="0" fontId="13" fillId="0" borderId="11" xfId="0" applyFont="1" applyFill="1" applyBorder="1" applyProtection="1"/>
    <xf numFmtId="0" fontId="13" fillId="0" borderId="11" xfId="0" applyFont="1" applyFill="1" applyBorder="1" applyAlignment="1" applyProtection="1">
      <alignment horizontal="left"/>
    </xf>
    <xf numFmtId="0" fontId="13" fillId="0" borderId="7" xfId="0" applyFont="1" applyFill="1" applyBorder="1" applyProtection="1"/>
    <xf numFmtId="0" fontId="14" fillId="0" borderId="0" xfId="0" applyFont="1" applyFill="1" applyProtection="1"/>
    <xf numFmtId="0" fontId="14" fillId="0" borderId="26" xfId="0" applyFont="1" applyFill="1" applyBorder="1" applyAlignment="1" applyProtection="1">
      <alignment horizontal="left"/>
    </xf>
    <xf numFmtId="0" fontId="14" fillId="0" borderId="21" xfId="0" applyFont="1" applyFill="1" applyBorder="1" applyAlignment="1" applyProtection="1">
      <alignment horizontal="center"/>
    </xf>
    <xf numFmtId="0" fontId="14" fillId="0" borderId="27" xfId="0" applyFont="1" applyFill="1" applyBorder="1" applyAlignment="1" applyProtection="1">
      <alignment horizontal="center"/>
    </xf>
    <xf numFmtId="0" fontId="13" fillId="0" borderId="18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 wrapText="1"/>
    </xf>
    <xf numFmtId="0" fontId="13" fillId="0" borderId="28" xfId="0" applyFont="1" applyFill="1" applyBorder="1" applyProtection="1"/>
    <xf numFmtId="0" fontId="0" fillId="0" borderId="30" xfId="0" applyFont="1" applyFill="1" applyBorder="1" applyProtection="1"/>
    <xf numFmtId="0" fontId="0" fillId="0" borderId="30" xfId="0" applyFont="1" applyFill="1" applyBorder="1" applyAlignment="1" applyProtection="1">
      <alignment horizontal="left"/>
    </xf>
    <xf numFmtId="0" fontId="13" fillId="0" borderId="30" xfId="0" applyFont="1" applyFill="1" applyBorder="1" applyProtection="1"/>
    <xf numFmtId="0" fontId="13" fillId="0" borderId="30" xfId="0" applyFont="1" applyFill="1" applyBorder="1" applyAlignment="1" applyProtection="1">
      <alignment horizontal="left"/>
    </xf>
    <xf numFmtId="0" fontId="13" fillId="0" borderId="32" xfId="0" applyFont="1" applyFill="1" applyBorder="1" applyProtection="1"/>
    <xf numFmtId="0" fontId="0" fillId="0" borderId="0" xfId="0" applyProtection="1"/>
    <xf numFmtId="0" fontId="14" fillId="0" borderId="4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>
      <alignment horizontal="center"/>
    </xf>
    <xf numFmtId="0" fontId="14" fillId="0" borderId="44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/>
    </xf>
    <xf numFmtId="0" fontId="0" fillId="0" borderId="11" xfId="0" applyFill="1" applyBorder="1" applyProtection="1"/>
    <xf numFmtId="0" fontId="13" fillId="0" borderId="12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169" fontId="0" fillId="0" borderId="25" xfId="12" applyFont="1" applyFill="1" applyBorder="1" applyAlignment="1" applyProtection="1">
      <alignment horizontal="center"/>
      <protection locked="0"/>
    </xf>
    <xf numFmtId="169" fontId="0" fillId="0" borderId="12" xfId="12" applyFont="1" applyFill="1" applyBorder="1" applyAlignment="1" applyProtection="1">
      <protection locked="0"/>
    </xf>
    <xf numFmtId="169" fontId="0" fillId="0" borderId="25" xfId="12" applyFont="1" applyFill="1" applyBorder="1" applyAlignment="1" applyProtection="1">
      <protection locked="0"/>
    </xf>
    <xf numFmtId="169" fontId="0" fillId="0" borderId="13" xfId="12" applyFont="1" applyFill="1" applyBorder="1" applyAlignment="1" applyProtection="1">
      <protection locked="0"/>
    </xf>
    <xf numFmtId="166" fontId="13" fillId="0" borderId="25" xfId="13" applyFont="1" applyFill="1" applyBorder="1" applyAlignment="1" applyProtection="1">
      <alignment horizontal="center"/>
      <protection locked="0"/>
    </xf>
    <xf numFmtId="166" fontId="0" fillId="0" borderId="23" xfId="13" applyFont="1" applyFill="1" applyBorder="1" applyAlignment="1" applyProtection="1">
      <protection locked="0"/>
    </xf>
    <xf numFmtId="0" fontId="0" fillId="0" borderId="18" xfId="0" applyFill="1" applyBorder="1" applyProtection="1"/>
    <xf numFmtId="0" fontId="13" fillId="0" borderId="19" xfId="0" applyFont="1" applyFill="1" applyBorder="1" applyAlignment="1" applyProtection="1">
      <alignment horizontal="center"/>
    </xf>
    <xf numFmtId="0" fontId="13" fillId="0" borderId="20" xfId="0" applyFont="1" applyFill="1" applyBorder="1" applyAlignment="1" applyProtection="1">
      <alignment horizontal="center"/>
    </xf>
    <xf numFmtId="0" fontId="13" fillId="0" borderId="4" xfId="0" applyFont="1" applyFill="1" applyBorder="1" applyProtection="1"/>
    <xf numFmtId="169" fontId="0" fillId="0" borderId="5" xfId="12" applyFont="1" applyFill="1" applyBorder="1" applyAlignment="1" applyProtection="1">
      <alignment horizontal="center"/>
      <protection locked="0"/>
    </xf>
    <xf numFmtId="169" fontId="0" fillId="0" borderId="6" xfId="12" applyFont="1" applyFill="1" applyBorder="1" applyAlignment="1" applyProtection="1">
      <alignment horizontal="center"/>
      <protection locked="0"/>
    </xf>
    <xf numFmtId="169" fontId="0" fillId="0" borderId="12" xfId="12" applyFont="1" applyFill="1" applyBorder="1" applyAlignment="1" applyProtection="1">
      <alignment horizontal="center"/>
    </xf>
    <xf numFmtId="169" fontId="0" fillId="0" borderId="13" xfId="12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 wrapText="1"/>
    </xf>
    <xf numFmtId="0" fontId="13" fillId="0" borderId="9" xfId="0" applyFont="1" applyFill="1" applyBorder="1" applyAlignment="1" applyProtection="1">
      <alignment horizontal="center" wrapText="1"/>
    </xf>
    <xf numFmtId="0" fontId="13" fillId="0" borderId="28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</xf>
    <xf numFmtId="0" fontId="13" fillId="0" borderId="32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0" fontId="1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0" fillId="0" borderId="52" xfId="0" applyBorder="1"/>
    <xf numFmtId="10" fontId="0" fillId="0" borderId="0" xfId="0" applyNumberFormat="1"/>
    <xf numFmtId="0" fontId="0" fillId="0" borderId="53" xfId="0" applyBorder="1"/>
    <xf numFmtId="171" fontId="0" fillId="0" borderId="0" xfId="0" applyNumberFormat="1" applyBorder="1"/>
    <xf numFmtId="166" fontId="20" fillId="0" borderId="0" xfId="0" applyNumberFormat="1" applyFont="1" applyBorder="1"/>
    <xf numFmtId="0" fontId="0" fillId="0" borderId="45" xfId="0" applyBorder="1"/>
    <xf numFmtId="0" fontId="0" fillId="0" borderId="55" xfId="0" applyBorder="1"/>
    <xf numFmtId="172" fontId="19" fillId="0" borderId="59" xfId="0" applyNumberFormat="1" applyFont="1" applyBorder="1" applyAlignment="1">
      <alignment horizontal="center"/>
    </xf>
    <xf numFmtId="0" fontId="19" fillId="0" borderId="64" xfId="0" applyFont="1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19" fillId="0" borderId="70" xfId="0" applyFont="1" applyBorder="1"/>
    <xf numFmtId="172" fontId="0" fillId="0" borderId="56" xfId="0" applyNumberFormat="1" applyBorder="1"/>
    <xf numFmtId="172" fontId="0" fillId="0" borderId="59" xfId="0" applyNumberFormat="1" applyBorder="1"/>
    <xf numFmtId="172" fontId="19" fillId="0" borderId="61" xfId="0" applyNumberFormat="1" applyFont="1" applyBorder="1"/>
    <xf numFmtId="172" fontId="0" fillId="0" borderId="56" xfId="0" applyNumberFormat="1" applyBorder="1" applyAlignment="1">
      <alignment horizontal="center"/>
    </xf>
    <xf numFmtId="172" fontId="0" fillId="0" borderId="59" xfId="0" applyNumberFormat="1" applyBorder="1" applyAlignment="1">
      <alignment horizontal="center"/>
    </xf>
    <xf numFmtId="172" fontId="0" fillId="0" borderId="52" xfId="0" applyNumberFormat="1" applyBorder="1"/>
    <xf numFmtId="0" fontId="0" fillId="0" borderId="71" xfId="0" applyBorder="1"/>
    <xf numFmtId="0" fontId="0" fillId="0" borderId="72" xfId="0" applyBorder="1"/>
    <xf numFmtId="0" fontId="0" fillId="0" borderId="67" xfId="0" applyBorder="1" applyAlignment="1">
      <alignment horizontal="center"/>
    </xf>
    <xf numFmtId="0" fontId="0" fillId="0" borderId="52" xfId="0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19" fillId="0" borderId="52" xfId="0" applyNumberFormat="1" applyFont="1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0" xfId="0" applyBorder="1" applyAlignment="1">
      <alignment wrapText="1"/>
    </xf>
    <xf numFmtId="9" fontId="0" fillId="0" borderId="52" xfId="0" applyNumberFormat="1" applyBorder="1" applyAlignment="1">
      <alignment horizontal="center" vertical="center"/>
    </xf>
    <xf numFmtId="166" fontId="20" fillId="0" borderId="0" xfId="0" applyNumberFormat="1" applyFont="1"/>
    <xf numFmtId="0" fontId="19" fillId="0" borderId="82" xfId="0" applyFont="1" applyBorder="1"/>
    <xf numFmtId="9" fontId="0" fillId="0" borderId="0" xfId="0" applyNumberFormat="1"/>
    <xf numFmtId="0" fontId="19" fillId="0" borderId="83" xfId="0" applyFont="1" applyBorder="1"/>
    <xf numFmtId="0" fontId="0" fillId="0" borderId="0" xfId="0" applyFill="1" applyBorder="1"/>
    <xf numFmtId="0" fontId="19" fillId="0" borderId="0" xfId="0" applyFont="1" applyAlignment="1">
      <alignment horizontal="right"/>
    </xf>
    <xf numFmtId="9" fontId="0" fillId="0" borderId="73" xfId="0" applyNumberFormat="1" applyBorder="1" applyAlignment="1">
      <alignment horizontal="center"/>
    </xf>
    <xf numFmtId="0" fontId="0" fillId="0" borderId="46" xfId="0" applyBorder="1" applyAlignment="1">
      <alignment horizontal="center" vertical="center"/>
    </xf>
    <xf numFmtId="9" fontId="0" fillId="0" borderId="45" xfId="0" applyNumberFormat="1" applyBorder="1" applyAlignment="1">
      <alignment horizontal="center"/>
    </xf>
    <xf numFmtId="0" fontId="21" fillId="0" borderId="0" xfId="0" applyFont="1" applyFill="1" applyAlignment="1">
      <alignment wrapText="1"/>
    </xf>
    <xf numFmtId="4" fontId="17" fillId="0" borderId="0" xfId="0" applyNumberFormat="1" applyFont="1" applyBorder="1" applyAlignment="1">
      <alignment horizontal="center" vertical="center"/>
    </xf>
    <xf numFmtId="175" fontId="0" fillId="0" borderId="0" xfId="0" applyNumberFormat="1" applyBorder="1" applyAlignment="1"/>
    <xf numFmtId="0" fontId="0" fillId="0" borderId="0" xfId="0" applyBorder="1" applyAlignment="1"/>
    <xf numFmtId="175" fontId="0" fillId="0" borderId="0" xfId="0" applyNumberFormat="1" applyBorder="1" applyAlignment="1">
      <alignment vertical="center"/>
    </xf>
    <xf numFmtId="176" fontId="20" fillId="0" borderId="0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0" fillId="0" borderId="45" xfId="0" applyNumberFormat="1" applyFont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6" xfId="0" applyBorder="1"/>
    <xf numFmtId="0" fontId="0" fillId="0" borderId="0" xfId="0" applyFont="1" applyFill="1" applyBorder="1" applyAlignment="1">
      <alignment vertical="center" wrapText="1"/>
    </xf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0" fillId="0" borderId="116" xfId="0" applyBorder="1"/>
    <xf numFmtId="0" fontId="0" fillId="0" borderId="117" xfId="0" applyBorder="1"/>
    <xf numFmtId="0" fontId="0" fillId="0" borderId="118" xfId="0" applyBorder="1"/>
    <xf numFmtId="0" fontId="0" fillId="0" borderId="119" xfId="0" applyBorder="1"/>
    <xf numFmtId="0" fontId="0" fillId="0" borderId="104" xfId="0" applyBorder="1"/>
    <xf numFmtId="0" fontId="0" fillId="0" borderId="127" xfId="0" applyBorder="1"/>
    <xf numFmtId="0" fontId="0" fillId="0" borderId="45" xfId="0" applyBorder="1" applyAlignment="1">
      <alignment horizontal="center"/>
    </xf>
    <xf numFmtId="166" fontId="16" fillId="0" borderId="45" xfId="13" applyBorder="1" applyAlignment="1">
      <alignment horizontal="center"/>
    </xf>
    <xf numFmtId="43" fontId="20" fillId="0" borderId="109" xfId="0" applyNumberFormat="1" applyFont="1" applyBorder="1"/>
    <xf numFmtId="0" fontId="0" fillId="0" borderId="138" xfId="0" applyBorder="1"/>
    <xf numFmtId="9" fontId="0" fillId="0" borderId="0" xfId="0" applyNumberFormat="1" applyBorder="1" applyAlignment="1">
      <alignment horizontal="center"/>
    </xf>
    <xf numFmtId="178" fontId="19" fillId="0" borderId="109" xfId="0" applyNumberFormat="1" applyFont="1" applyBorder="1"/>
    <xf numFmtId="178" fontId="19" fillId="0" borderId="59" xfId="0" applyNumberFormat="1" applyFont="1" applyBorder="1"/>
    <xf numFmtId="178" fontId="0" fillId="0" borderId="59" xfId="0" applyNumberFormat="1" applyBorder="1"/>
    <xf numFmtId="178" fontId="0" fillId="0" borderId="56" xfId="0" applyNumberFormat="1" applyBorder="1"/>
    <xf numFmtId="178" fontId="0" fillId="0" borderId="111" xfId="0" applyNumberFormat="1" applyFont="1" applyBorder="1"/>
    <xf numFmtId="180" fontId="20" fillId="0" borderId="86" xfId="0" applyNumberFormat="1" applyFont="1" applyBorder="1"/>
    <xf numFmtId="180" fontId="19" fillId="0" borderId="103" xfId="0" applyNumberFormat="1" applyFont="1" applyBorder="1"/>
    <xf numFmtId="179" fontId="17" fillId="0" borderId="123" xfId="0" applyNumberFormat="1" applyFont="1" applyBorder="1" applyAlignment="1">
      <alignment horizontal="center" vertical="center"/>
    </xf>
    <xf numFmtId="179" fontId="20" fillId="0" borderId="121" xfId="0" applyNumberFormat="1" applyFont="1" applyBorder="1" applyAlignment="1">
      <alignment vertical="center" wrapText="1"/>
    </xf>
    <xf numFmtId="179" fontId="0" fillId="0" borderId="121" xfId="0" applyNumberFormat="1" applyBorder="1"/>
    <xf numFmtId="179" fontId="23" fillId="0" borderId="121" xfId="0" applyNumberFormat="1" applyFont="1" applyBorder="1"/>
    <xf numFmtId="179" fontId="19" fillId="0" borderId="121" xfId="0" applyNumberFormat="1" applyFont="1" applyBorder="1"/>
    <xf numFmtId="179" fontId="19" fillId="0" borderId="122" xfId="0" applyNumberFormat="1" applyFont="1" applyBorder="1"/>
    <xf numFmtId="181" fontId="18" fillId="0" borderId="45" xfId="0" applyNumberFormat="1" applyFont="1" applyBorder="1" applyAlignment="1">
      <alignment horizontal="center" vertical="center"/>
    </xf>
    <xf numFmtId="181" fontId="18" fillId="0" borderId="105" xfId="0" applyNumberFormat="1" applyFont="1" applyBorder="1" applyAlignment="1">
      <alignment horizontal="center" vertical="center"/>
    </xf>
    <xf numFmtId="181" fontId="0" fillId="0" borderId="109" xfId="0" applyNumberFormat="1" applyBorder="1"/>
    <xf numFmtId="0" fontId="0" fillId="0" borderId="130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180" fontId="19" fillId="0" borderId="52" xfId="0" applyNumberFormat="1" applyFont="1" applyBorder="1" applyAlignment="1">
      <alignment horizontal="center"/>
    </xf>
    <xf numFmtId="0" fontId="13" fillId="0" borderId="3" xfId="0" applyFont="1" applyBorder="1"/>
    <xf numFmtId="180" fontId="25" fillId="11" borderId="45" xfId="0" applyNumberFormat="1" applyFont="1" applyFill="1" applyBorder="1" applyAlignment="1" applyProtection="1">
      <alignment horizontal="center"/>
      <protection locked="0"/>
    </xf>
    <xf numFmtId="0" fontId="0" fillId="0" borderId="45" xfId="0" applyFont="1" applyFill="1" applyBorder="1" applyAlignment="1"/>
    <xf numFmtId="180" fontId="24" fillId="0" borderId="45" xfId="0" applyNumberFormat="1" applyFont="1" applyFill="1" applyBorder="1" applyAlignment="1" applyProtection="1">
      <alignment horizontal="center"/>
      <protection locked="0"/>
    </xf>
    <xf numFmtId="180" fontId="25" fillId="11" borderId="109" xfId="0" applyNumberFormat="1" applyFont="1" applyFill="1" applyBorder="1" applyAlignment="1" applyProtection="1">
      <alignment horizontal="center"/>
      <protection locked="0"/>
    </xf>
    <xf numFmtId="0" fontId="0" fillId="0" borderId="109" xfId="0" applyFont="1" applyFill="1" applyBorder="1" applyAlignment="1"/>
    <xf numFmtId="180" fontId="24" fillId="0" borderId="109" xfId="0" applyNumberFormat="1" applyFont="1" applyFill="1" applyBorder="1" applyAlignment="1" applyProtection="1">
      <alignment horizontal="center"/>
      <protection locked="0"/>
    </xf>
    <xf numFmtId="0" fontId="24" fillId="0" borderId="45" xfId="0" applyFont="1" applyFill="1" applyBorder="1" applyAlignment="1"/>
    <xf numFmtId="0" fontId="24" fillId="0" borderId="109" xfId="0" applyFont="1" applyFill="1" applyBorder="1" applyAlignment="1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6" fontId="20" fillId="0" borderId="45" xfId="0" applyNumberFormat="1" applyFont="1" applyBorder="1"/>
    <xf numFmtId="9" fontId="0" fillId="0" borderId="45" xfId="0" applyNumberFormat="1" applyBorder="1"/>
    <xf numFmtId="0" fontId="0" fillId="0" borderId="0" xfId="0" applyAlignment="1">
      <alignment vertical="center"/>
    </xf>
    <xf numFmtId="0" fontId="28" fillId="12" borderId="0" xfId="0" applyFont="1" applyFill="1"/>
    <xf numFmtId="9" fontId="16" fillId="0" borderId="0" xfId="16" applyBorder="1"/>
    <xf numFmtId="3" fontId="0" fillId="0" borderId="45" xfId="0" applyNumberFormat="1" applyBorder="1"/>
    <xf numFmtId="182" fontId="0" fillId="0" borderId="52" xfId="0" applyNumberFormat="1" applyBorder="1" applyAlignment="1">
      <alignment horizontal="center" vertical="center"/>
    </xf>
    <xf numFmtId="180" fontId="16" fillId="0" borderId="0" xfId="13" applyNumberFormat="1"/>
    <xf numFmtId="182" fontId="20" fillId="12" borderId="52" xfId="0" applyNumberFormat="1" applyFont="1" applyFill="1" applyBorder="1" applyAlignment="1">
      <alignment horizontal="center" vertical="center"/>
    </xf>
    <xf numFmtId="9" fontId="16" fillId="12" borderId="52" xfId="16" applyFill="1" applyBorder="1" applyAlignment="1">
      <alignment horizontal="center" vertical="center"/>
    </xf>
    <xf numFmtId="0" fontId="0" fillId="12" borderId="52" xfId="0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180" fontId="16" fillId="0" borderId="0" xfId="13" applyNumberFormat="1" applyAlignment="1">
      <alignment horizontal="center" vertical="center"/>
    </xf>
    <xf numFmtId="177" fontId="16" fillId="0" borderId="0" xfId="16" applyNumberFormat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28" fillId="0" borderId="0" xfId="0" applyFont="1"/>
    <xf numFmtId="0" fontId="28" fillId="13" borderId="0" xfId="0" applyFont="1" applyFill="1" applyAlignment="1">
      <alignment horizontal="center"/>
    </xf>
    <xf numFmtId="0" fontId="23" fillId="0" borderId="0" xfId="0" applyFont="1"/>
    <xf numFmtId="0" fontId="0" fillId="0" borderId="0" xfId="0" applyFont="1"/>
    <xf numFmtId="0" fontId="28" fillId="11" borderId="0" xfId="0" applyFont="1" applyFill="1"/>
    <xf numFmtId="0" fontId="29" fillId="11" borderId="0" xfId="0" applyFont="1" applyFill="1" applyBorder="1"/>
    <xf numFmtId="0" fontId="28" fillId="11" borderId="0" xfId="0" applyFont="1" applyFill="1" applyBorder="1"/>
    <xf numFmtId="174" fontId="29" fillId="11" borderId="0" xfId="0" applyNumberFormat="1" applyFont="1" applyFill="1"/>
    <xf numFmtId="174" fontId="28" fillId="11" borderId="0" xfId="0" applyNumberFormat="1" applyFont="1" applyFill="1"/>
    <xf numFmtId="9" fontId="29" fillId="11" borderId="0" xfId="16" applyFont="1" applyFill="1"/>
    <xf numFmtId="43" fontId="28" fillId="11" borderId="0" xfId="0" applyNumberFormat="1" applyFont="1" applyFill="1"/>
    <xf numFmtId="9" fontId="28" fillId="11" borderId="0" xfId="16" applyFont="1" applyFill="1"/>
    <xf numFmtId="166" fontId="28" fillId="11" borderId="171" xfId="13" applyFont="1" applyFill="1" applyBorder="1" applyAlignment="1">
      <alignment horizontal="center" vertical="center"/>
    </xf>
    <xf numFmtId="166" fontId="28" fillId="11" borderId="124" xfId="13" applyFont="1" applyFill="1" applyBorder="1" applyAlignment="1">
      <alignment horizontal="center" vertical="center"/>
    </xf>
    <xf numFmtId="184" fontId="28" fillId="11" borderId="172" xfId="0" applyNumberFormat="1" applyFont="1" applyFill="1" applyBorder="1" applyAlignment="1">
      <alignment horizontal="center" vertical="center"/>
    </xf>
    <xf numFmtId="166" fontId="28" fillId="11" borderId="45" xfId="13" applyFont="1" applyFill="1" applyBorder="1" applyAlignment="1">
      <alignment horizontal="center" vertical="center"/>
    </xf>
    <xf numFmtId="44" fontId="28" fillId="11" borderId="109" xfId="0" applyNumberFormat="1" applyFont="1" applyFill="1" applyBorder="1" applyAlignment="1">
      <alignment horizontal="center" vertical="center"/>
    </xf>
    <xf numFmtId="166" fontId="28" fillId="11" borderId="130" xfId="13" applyFont="1" applyFill="1" applyBorder="1" applyAlignment="1">
      <alignment horizontal="center" vertical="center"/>
    </xf>
    <xf numFmtId="166" fontId="28" fillId="11" borderId="173" xfId="13" applyFont="1" applyFill="1" applyBorder="1" applyAlignment="1">
      <alignment horizontal="center" vertical="center"/>
    </xf>
    <xf numFmtId="166" fontId="28" fillId="11" borderId="174" xfId="13" applyFont="1" applyFill="1" applyBorder="1" applyAlignment="1">
      <alignment horizontal="center" vertical="center"/>
    </xf>
    <xf numFmtId="166" fontId="28" fillId="11" borderId="110" xfId="13" applyFont="1" applyFill="1" applyBorder="1" applyAlignment="1">
      <alignment horizontal="center" vertical="center"/>
    </xf>
    <xf numFmtId="44" fontId="28" fillId="11" borderId="111" xfId="0" applyNumberFormat="1" applyFont="1" applyFill="1" applyBorder="1" applyAlignment="1">
      <alignment horizontal="center" vertical="center"/>
    </xf>
    <xf numFmtId="166" fontId="28" fillId="11" borderId="137" xfId="13" applyFont="1" applyFill="1" applyBorder="1" applyAlignment="1">
      <alignment horizontal="center" vertical="center"/>
    </xf>
    <xf numFmtId="0" fontId="23" fillId="0" borderId="116" xfId="0" applyFont="1" applyBorder="1"/>
    <xf numFmtId="0" fontId="0" fillId="0" borderId="116" xfId="0" applyFont="1" applyBorder="1"/>
    <xf numFmtId="0" fontId="0" fillId="0" borderId="0" xfId="0" applyFont="1" applyBorder="1"/>
    <xf numFmtId="0" fontId="0" fillId="0" borderId="117" xfId="0" applyFont="1" applyBorder="1"/>
    <xf numFmtId="0" fontId="0" fillId="0" borderId="46" xfId="0" applyFont="1" applyBorder="1"/>
    <xf numFmtId="0" fontId="0" fillId="0" borderId="55" xfId="0" applyFont="1" applyBorder="1"/>
    <xf numFmtId="0" fontId="13" fillId="0" borderId="64" xfId="0" applyFont="1" applyBorder="1"/>
    <xf numFmtId="0" fontId="0" fillId="0" borderId="67" xfId="0" applyFont="1" applyBorder="1"/>
    <xf numFmtId="0" fontId="0" fillId="0" borderId="66" xfId="0" applyFont="1" applyBorder="1"/>
    <xf numFmtId="164" fontId="0" fillId="0" borderId="0" xfId="0" applyNumberFormat="1" applyFill="1"/>
    <xf numFmtId="0" fontId="33" fillId="11" borderId="0" xfId="0" applyFont="1" applyFill="1"/>
    <xf numFmtId="0" fontId="32" fillId="11" borderId="0" xfId="0" applyFont="1" applyFill="1"/>
    <xf numFmtId="0" fontId="14" fillId="11" borderId="0" xfId="0" applyFont="1" applyFill="1" applyBorder="1"/>
    <xf numFmtId="0" fontId="34" fillId="11" borderId="0" xfId="0" applyFont="1" applyFill="1" applyBorder="1" applyAlignment="1">
      <alignment horizontal="left"/>
    </xf>
    <xf numFmtId="0" fontId="14" fillId="11" borderId="0" xfId="0" applyFont="1" applyFill="1" applyBorder="1" applyAlignment="1">
      <alignment horizontal="center"/>
    </xf>
    <xf numFmtId="0" fontId="32" fillId="11" borderId="0" xfId="0" applyFont="1" applyFill="1" applyBorder="1"/>
    <xf numFmtId="0" fontId="28" fillId="12" borderId="0" xfId="0" applyFont="1" applyFill="1" applyAlignment="1">
      <alignment vertical="center"/>
    </xf>
    <xf numFmtId="0" fontId="14" fillId="11" borderId="70" xfId="0" applyFont="1" applyFill="1" applyBorder="1" applyAlignment="1">
      <alignment horizontal="center"/>
    </xf>
    <xf numFmtId="0" fontId="14" fillId="11" borderId="192" xfId="0" applyFont="1" applyFill="1" applyBorder="1" applyAlignment="1">
      <alignment horizontal="center" vertical="center"/>
    </xf>
    <xf numFmtId="43" fontId="32" fillId="11" borderId="0" xfId="0" applyNumberFormat="1" applyFont="1" applyFill="1"/>
    <xf numFmtId="0" fontId="14" fillId="11" borderId="0" xfId="0" applyFont="1" applyFill="1"/>
    <xf numFmtId="0" fontId="14" fillId="11" borderId="106" xfId="0" applyFont="1" applyFill="1" applyBorder="1" applyAlignment="1">
      <alignment horizontal="center" vertical="center"/>
    </xf>
    <xf numFmtId="174" fontId="14" fillId="11" borderId="108" xfId="0" applyNumberFormat="1" applyFont="1" applyFill="1" applyBorder="1" applyProtection="1">
      <protection locked="0"/>
    </xf>
    <xf numFmtId="0" fontId="32" fillId="11" borderId="0" xfId="0" applyFont="1" applyFill="1" applyAlignment="1">
      <alignment horizontal="center" vertical="center"/>
    </xf>
    <xf numFmtId="0" fontId="14" fillId="11" borderId="47" xfId="0" applyFont="1" applyFill="1" applyBorder="1" applyAlignment="1">
      <alignment horizontal="center" vertical="center"/>
    </xf>
    <xf numFmtId="10" fontId="14" fillId="11" borderId="162" xfId="0" applyNumberFormat="1" applyFont="1" applyFill="1" applyBorder="1" applyProtection="1">
      <protection locked="0"/>
    </xf>
    <xf numFmtId="174" fontId="32" fillId="11" borderId="0" xfId="0" applyNumberFormat="1" applyFont="1" applyFill="1"/>
    <xf numFmtId="180" fontId="0" fillId="0" borderId="0" xfId="0" applyNumberFormat="1"/>
    <xf numFmtId="0" fontId="33" fillId="16" borderId="160" xfId="0" applyFont="1" applyFill="1" applyBorder="1"/>
    <xf numFmtId="0" fontId="32" fillId="16" borderId="161" xfId="0" applyFont="1" applyFill="1" applyBorder="1"/>
    <xf numFmtId="0" fontId="32" fillId="16" borderId="16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29" fillId="12" borderId="0" xfId="0" applyFont="1" applyFill="1" applyBorder="1" applyAlignment="1">
      <alignment horizontal="center" vertical="center"/>
    </xf>
    <xf numFmtId="9" fontId="29" fillId="12" borderId="0" xfId="0" applyNumberFormat="1" applyFont="1" applyFill="1" applyBorder="1" applyAlignment="1">
      <alignment horizontal="center" vertical="center"/>
    </xf>
    <xf numFmtId="2" fontId="28" fillId="12" borderId="0" xfId="0" applyNumberFormat="1" applyFont="1" applyFill="1" applyBorder="1" applyAlignment="1">
      <alignment horizontal="center" vertical="center"/>
    </xf>
    <xf numFmtId="169" fontId="28" fillId="12" borderId="0" xfId="12" applyFont="1" applyFill="1" applyBorder="1"/>
    <xf numFmtId="169" fontId="29" fillId="12" borderId="0" xfId="12" applyFont="1" applyFill="1" applyBorder="1" applyAlignment="1">
      <alignment horizontal="center" vertical="center"/>
    </xf>
    <xf numFmtId="0" fontId="28" fillId="0" borderId="0" xfId="0" applyFont="1" applyBorder="1"/>
    <xf numFmtId="0" fontId="31" fillId="0" borderId="0" xfId="0" applyFont="1" applyBorder="1"/>
    <xf numFmtId="0" fontId="28" fillId="0" borderId="45" xfId="0" applyFont="1" applyBorder="1"/>
    <xf numFmtId="0" fontId="0" fillId="0" borderId="97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67" xfId="0" applyFont="1" applyBorder="1" applyAlignment="1">
      <alignment horizontal="left" vertical="top" wrapText="1"/>
    </xf>
    <xf numFmtId="181" fontId="0" fillId="0" borderId="45" xfId="0" applyNumberFormat="1" applyBorder="1" applyAlignment="1">
      <alignment horizontal="center" vertical="center"/>
    </xf>
    <xf numFmtId="181" fontId="0" fillId="0" borderId="45" xfId="0" applyNumberFormat="1" applyBorder="1" applyAlignment="1">
      <alignment horizontal="center"/>
    </xf>
    <xf numFmtId="181" fontId="0" fillId="0" borderId="110" xfId="0" applyNumberFormat="1" applyBorder="1" applyAlignment="1">
      <alignment horizontal="center"/>
    </xf>
    <xf numFmtId="180" fontId="20" fillId="0" borderId="52" xfId="0" applyNumberFormat="1" applyFont="1" applyBorder="1" applyAlignment="1">
      <alignment horizontal="center"/>
    </xf>
    <xf numFmtId="180" fontId="20" fillId="0" borderId="89" xfId="0" applyNumberFormat="1" applyFont="1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35" xfId="0" applyBorder="1" applyAlignment="1">
      <alignment horizontal="center"/>
    </xf>
    <xf numFmtId="180" fontId="19" fillId="0" borderId="101" xfId="0" applyNumberFormat="1" applyFont="1" applyBorder="1" applyAlignment="1">
      <alignment horizontal="center"/>
    </xf>
    <xf numFmtId="180" fontId="19" fillId="0" borderId="102" xfId="0" applyNumberFormat="1" applyFont="1" applyBorder="1" applyAlignment="1">
      <alignment horizontal="center"/>
    </xf>
    <xf numFmtId="181" fontId="0" fillId="0" borderId="73" xfId="0" applyNumberFormat="1" applyBorder="1" applyAlignment="1">
      <alignment horizontal="center" vertical="center"/>
    </xf>
    <xf numFmtId="181" fontId="0" fillId="0" borderId="109" xfId="0" applyNumberFormat="1" applyBorder="1" applyAlignment="1">
      <alignment horizontal="center" vertical="center"/>
    </xf>
    <xf numFmtId="181" fontId="0" fillId="0" borderId="52" xfId="0" applyNumberFormat="1" applyBorder="1" applyAlignment="1">
      <alignment horizontal="center" vertical="center"/>
    </xf>
    <xf numFmtId="181" fontId="0" fillId="0" borderId="109" xfId="0" applyNumberFormat="1" applyBorder="1" applyAlignment="1">
      <alignment horizontal="center"/>
    </xf>
    <xf numFmtId="181" fontId="0" fillId="0" borderId="111" xfId="0" applyNumberFormat="1" applyBorder="1" applyAlignment="1">
      <alignment horizontal="center"/>
    </xf>
    <xf numFmtId="0" fontId="0" fillId="0" borderId="0" xfId="0" applyBorder="1" applyAlignment="1">
      <alignment horizontal="right" vertical="center"/>
    </xf>
    <xf numFmtId="181" fontId="0" fillId="0" borderId="52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73" xfId="0" applyNumberFormat="1" applyBorder="1" applyAlignment="1">
      <alignment horizontal="center"/>
    </xf>
    <xf numFmtId="181" fontId="0" fillId="0" borderId="107" xfId="0" applyNumberFormat="1" applyBorder="1" applyAlignment="1">
      <alignment horizontal="center"/>
    </xf>
    <xf numFmtId="0" fontId="0" fillId="0" borderId="10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Alignment="1">
      <alignment horizontal="left" wrapText="1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9" xfId="0" applyBorder="1" applyAlignment="1">
      <alignment horizontal="left"/>
    </xf>
    <xf numFmtId="0" fontId="27" fillId="10" borderId="0" xfId="0" applyFont="1" applyFill="1" applyAlignment="1">
      <alignment horizontal="center" wrapText="1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0" xfId="0" applyFill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9" fontId="13" fillId="17" borderId="2" xfId="16" applyFont="1" applyFill="1" applyBorder="1" applyAlignment="1" applyProtection="1">
      <alignment horizontal="center"/>
    </xf>
    <xf numFmtId="0" fontId="13" fillId="17" borderId="2" xfId="0" applyFont="1" applyFill="1" applyBorder="1" applyAlignment="1">
      <alignment horizontal="center"/>
    </xf>
    <xf numFmtId="165" fontId="13" fillId="17" borderId="2" xfId="0" applyNumberFormat="1" applyFont="1" applyFill="1" applyBorder="1" applyAlignment="1">
      <alignment horizontal="center"/>
    </xf>
    <xf numFmtId="0" fontId="0" fillId="16" borderId="0" xfId="0" applyFill="1" applyBorder="1" applyAlignment="1" applyProtection="1">
      <alignment horizontal="center"/>
      <protection locked="0"/>
    </xf>
    <xf numFmtId="3" fontId="0" fillId="20" borderId="49" xfId="0" applyNumberFormat="1" applyFill="1" applyBorder="1" applyAlignment="1" applyProtection="1">
      <alignment horizontal="center"/>
      <protection locked="0"/>
    </xf>
    <xf numFmtId="0" fontId="0" fillId="20" borderId="49" xfId="0" applyFill="1" applyBorder="1" applyAlignment="1" applyProtection="1">
      <alignment horizontal="center"/>
      <protection locked="0"/>
    </xf>
    <xf numFmtId="0" fontId="0" fillId="20" borderId="3" xfId="0" applyFill="1" applyBorder="1" applyAlignment="1" applyProtection="1">
      <alignment horizontal="center"/>
      <protection locked="0"/>
    </xf>
    <xf numFmtId="0" fontId="0" fillId="20" borderId="49" xfId="0" applyFill="1" applyBorder="1" applyAlignment="1" applyProtection="1">
      <alignment horizontal="center"/>
      <protection locked="0"/>
    </xf>
    <xf numFmtId="0" fontId="0" fillId="20" borderId="50" xfId="0" applyFill="1" applyBorder="1" applyAlignment="1" applyProtection="1">
      <alignment horizontal="center"/>
      <protection locked="0"/>
    </xf>
    <xf numFmtId="9" fontId="0" fillId="20" borderId="49" xfId="0" applyNumberFormat="1" applyFill="1" applyBorder="1" applyAlignment="1" applyProtection="1">
      <alignment horizontal="center"/>
      <protection locked="0"/>
    </xf>
    <xf numFmtId="166" fontId="20" fillId="16" borderId="45" xfId="0" applyNumberFormat="1" applyFont="1" applyFill="1" applyBorder="1"/>
    <xf numFmtId="0" fontId="0" fillId="0" borderId="45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0" fillId="14" borderId="45" xfId="0" applyFill="1" applyBorder="1"/>
    <xf numFmtId="0" fontId="12" fillId="0" borderId="0" xfId="0" applyFont="1" applyAlignment="1">
      <alignment horizontal="center"/>
    </xf>
    <xf numFmtId="0" fontId="12" fillId="0" borderId="194" xfId="0" applyFont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0" fillId="18" borderId="170" xfId="0" applyFill="1" applyBorder="1"/>
    <xf numFmtId="0" fontId="0" fillId="18" borderId="126" xfId="0" applyFill="1" applyBorder="1"/>
    <xf numFmtId="0" fontId="0" fillId="18" borderId="125" xfId="0" applyFill="1" applyBorder="1"/>
    <xf numFmtId="0" fontId="0" fillId="18" borderId="104" xfId="0" applyFill="1" applyBorder="1"/>
    <xf numFmtId="0" fontId="0" fillId="18" borderId="206" xfId="0" applyFill="1" applyBorder="1"/>
    <xf numFmtId="0" fontId="0" fillId="18" borderId="101" xfId="0" applyFill="1" applyBorder="1"/>
    <xf numFmtId="0" fontId="19" fillId="18" borderId="102" xfId="0" applyFont="1" applyFill="1" applyBorder="1" applyAlignment="1">
      <alignment vertical="center"/>
    </xf>
    <xf numFmtId="0" fontId="13" fillId="0" borderId="106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37" fillId="0" borderId="0" xfId="0" applyFont="1"/>
    <xf numFmtId="0" fontId="0" fillId="0" borderId="0" xfId="0" quotePrefix="1"/>
    <xf numFmtId="0" fontId="0" fillId="0" borderId="0" xfId="0" quotePrefix="1" applyFill="1" applyBorder="1"/>
    <xf numFmtId="0" fontId="0" fillId="23" borderId="201" xfId="0" applyFill="1" applyBorder="1"/>
    <xf numFmtId="0" fontId="13" fillId="23" borderId="202" xfId="0" applyFont="1" applyFill="1" applyBorder="1"/>
    <xf numFmtId="0" fontId="0" fillId="23" borderId="202" xfId="0" applyFont="1" applyFill="1" applyBorder="1"/>
    <xf numFmtId="0" fontId="0" fillId="23" borderId="202" xfId="0" applyFont="1" applyFill="1" applyBorder="1" applyAlignment="1">
      <alignment horizontal="left"/>
    </xf>
    <xf numFmtId="0" fontId="13" fillId="23" borderId="200" xfId="0" applyFont="1" applyFill="1" applyBorder="1" applyAlignment="1">
      <alignment horizontal="left"/>
    </xf>
    <xf numFmtId="0" fontId="13" fillId="23" borderId="197" xfId="0" applyFont="1" applyFill="1" applyBorder="1" applyAlignment="1">
      <alignment horizontal="center"/>
    </xf>
    <xf numFmtId="0" fontId="13" fillId="23" borderId="146" xfId="0" applyFont="1" applyFill="1" applyBorder="1" applyAlignment="1">
      <alignment horizontal="center"/>
    </xf>
    <xf numFmtId="0" fontId="13" fillId="23" borderId="195" xfId="0" applyFont="1" applyFill="1" applyBorder="1" applyAlignment="1">
      <alignment horizontal="center"/>
    </xf>
    <xf numFmtId="0" fontId="13" fillId="23" borderId="147" xfId="0" applyFont="1" applyFill="1" applyBorder="1" applyAlignment="1">
      <alignment horizontal="center"/>
    </xf>
    <xf numFmtId="0" fontId="13" fillId="23" borderId="198" xfId="0" applyFont="1" applyFill="1" applyBorder="1" applyAlignment="1">
      <alignment horizontal="center"/>
    </xf>
    <xf numFmtId="0" fontId="13" fillId="23" borderId="144" xfId="0" applyFont="1" applyFill="1" applyBorder="1" applyAlignment="1">
      <alignment horizontal="center"/>
    </xf>
    <xf numFmtId="0" fontId="13" fillId="23" borderId="145" xfId="0" applyFont="1" applyFill="1" applyBorder="1" applyAlignment="1">
      <alignment horizontal="center"/>
    </xf>
    <xf numFmtId="0" fontId="14" fillId="23" borderId="208" xfId="0" applyFont="1" applyFill="1" applyBorder="1" applyAlignment="1">
      <alignment horizontal="center" vertical="center"/>
    </xf>
    <xf numFmtId="0" fontId="14" fillId="23" borderId="159" xfId="0" applyFont="1" applyFill="1" applyBorder="1" applyAlignment="1">
      <alignment horizontal="center" vertical="center"/>
    </xf>
    <xf numFmtId="0" fontId="13" fillId="23" borderId="208" xfId="0" applyFont="1" applyFill="1" applyBorder="1" applyAlignment="1">
      <alignment horizontal="center" vertical="center"/>
    </xf>
    <xf numFmtId="0" fontId="13" fillId="23" borderId="197" xfId="0" applyFont="1" applyFill="1" applyBorder="1" applyAlignment="1">
      <alignment horizontal="center"/>
    </xf>
    <xf numFmtId="0" fontId="13" fillId="23" borderId="146" xfId="0" applyFont="1" applyFill="1" applyBorder="1" applyAlignment="1">
      <alignment horizontal="center"/>
    </xf>
    <xf numFmtId="0" fontId="13" fillId="23" borderId="147" xfId="0" applyFont="1" applyFill="1" applyBorder="1"/>
    <xf numFmtId="0" fontId="13" fillId="23" borderId="159" xfId="0" applyFont="1" applyFill="1" applyBorder="1" applyAlignment="1">
      <alignment horizontal="center" vertical="center"/>
    </xf>
    <xf numFmtId="0" fontId="13" fillId="23" borderId="145" xfId="0" applyFont="1" applyFill="1" applyBorder="1"/>
    <xf numFmtId="0" fontId="13" fillId="23" borderId="150" xfId="0" applyFont="1" applyFill="1" applyBorder="1"/>
    <xf numFmtId="0" fontId="0" fillId="23" borderId="151" xfId="0" applyFont="1" applyFill="1" applyBorder="1"/>
    <xf numFmtId="0" fontId="0" fillId="23" borderId="151" xfId="0" applyFont="1" applyFill="1" applyBorder="1" applyAlignment="1">
      <alignment horizontal="left"/>
    </xf>
    <xf numFmtId="0" fontId="13" fillId="23" borderId="151" xfId="0" applyFont="1" applyFill="1" applyBorder="1" applyAlignment="1">
      <alignment horizontal="left"/>
    </xf>
    <xf numFmtId="0" fontId="13" fillId="23" borderId="151" xfId="0" applyFont="1" applyFill="1" applyBorder="1"/>
    <xf numFmtId="0" fontId="13" fillId="23" borderId="152" xfId="0" applyFont="1" applyFill="1" applyBorder="1" applyAlignment="1">
      <alignment horizontal="left"/>
    </xf>
    <xf numFmtId="42" fontId="0" fillId="0" borderId="29" xfId="0" applyNumberFormat="1" applyFont="1" applyFill="1" applyBorder="1" applyAlignment="1">
      <alignment horizontal="center" vertical="center"/>
    </xf>
    <xf numFmtId="42" fontId="0" fillId="0" borderId="10" xfId="0" applyNumberFormat="1" applyFont="1" applyFill="1" applyBorder="1" applyAlignment="1">
      <alignment horizontal="center" vertical="center"/>
    </xf>
    <xf numFmtId="42" fontId="0" fillId="0" borderId="196" xfId="0" applyNumberFormat="1" applyFont="1" applyFill="1" applyBorder="1" applyAlignment="1">
      <alignment horizontal="center" vertical="center"/>
    </xf>
    <xf numFmtId="42" fontId="0" fillId="0" borderId="31" xfId="0" applyNumberFormat="1" applyFont="1" applyFill="1" applyBorder="1" applyAlignment="1">
      <alignment horizontal="center" vertical="center"/>
    </xf>
    <xf numFmtId="42" fontId="0" fillId="0" borderId="12" xfId="0" applyNumberFormat="1" applyFont="1" applyFill="1" applyBorder="1" applyAlignment="1">
      <alignment horizontal="center" vertical="center"/>
    </xf>
    <xf numFmtId="42" fontId="0" fillId="0" borderId="142" xfId="0" applyNumberFormat="1" applyFont="1" applyFill="1" applyBorder="1" applyAlignment="1">
      <alignment horizontal="center" vertical="center"/>
    </xf>
    <xf numFmtId="42" fontId="0" fillId="0" borderId="166" xfId="0" applyNumberFormat="1" applyFont="1" applyBorder="1" applyAlignment="1" applyProtection="1">
      <alignment horizontal="center" vertical="center"/>
      <protection locked="0"/>
    </xf>
    <xf numFmtId="42" fontId="0" fillId="0" borderId="51" xfId="0" applyNumberFormat="1" applyFont="1" applyBorder="1" applyAlignment="1" applyProtection="1">
      <alignment horizontal="center" vertical="center"/>
      <protection locked="0"/>
    </xf>
    <xf numFmtId="42" fontId="16" fillId="0" borderId="12" xfId="13" applyNumberFormat="1" applyFont="1" applyFill="1" applyBorder="1" applyAlignment="1" applyProtection="1">
      <alignment horizontal="center" vertical="center"/>
      <protection locked="0"/>
    </xf>
    <xf numFmtId="42" fontId="16" fillId="0" borderId="142" xfId="13" applyNumberFormat="1" applyFont="1" applyFill="1" applyBorder="1" applyAlignment="1" applyProtection="1">
      <alignment horizontal="center" vertical="center"/>
      <protection locked="0"/>
    </xf>
    <xf numFmtId="42" fontId="20" fillId="0" borderId="166" xfId="0" applyNumberFormat="1" applyFont="1" applyBorder="1" applyAlignment="1" applyProtection="1">
      <alignment horizontal="center" vertical="center"/>
      <protection locked="0"/>
    </xf>
    <xf numFmtId="42" fontId="16" fillId="0" borderId="51" xfId="13" applyNumberFormat="1" applyFont="1" applyBorder="1" applyAlignment="1" applyProtection="1">
      <alignment horizontal="center" vertical="center"/>
      <protection locked="0"/>
    </xf>
    <xf numFmtId="42" fontId="0" fillId="0" borderId="166" xfId="0" applyNumberFormat="1" applyFont="1" applyBorder="1" applyAlignment="1">
      <alignment horizontal="center" vertical="center"/>
    </xf>
    <xf numFmtId="42" fontId="0" fillId="0" borderId="51" xfId="0" applyNumberFormat="1" applyFont="1" applyBorder="1" applyAlignment="1">
      <alignment horizontal="center" vertical="center"/>
    </xf>
    <xf numFmtId="42" fontId="16" fillId="0" borderId="12" xfId="13" applyNumberFormat="1" applyFont="1" applyFill="1" applyBorder="1" applyAlignment="1" applyProtection="1">
      <alignment horizontal="center" vertical="center"/>
    </xf>
    <xf numFmtId="42" fontId="16" fillId="0" borderId="142" xfId="13" applyNumberFormat="1" applyFont="1" applyFill="1" applyBorder="1" applyAlignment="1" applyProtection="1">
      <alignment horizontal="center" vertical="center"/>
    </xf>
    <xf numFmtId="42" fontId="20" fillId="0" borderId="51" xfId="0" applyNumberFormat="1" applyFont="1" applyBorder="1" applyAlignment="1" applyProtection="1">
      <alignment horizontal="center" vertical="center"/>
      <protection locked="0"/>
    </xf>
    <xf numFmtId="42" fontId="19" fillId="0" borderId="199" xfId="0" applyNumberFormat="1" applyFont="1" applyBorder="1" applyAlignment="1" applyProtection="1">
      <alignment horizontal="center" vertical="center"/>
      <protection locked="0"/>
    </xf>
    <xf numFmtId="42" fontId="19" fillId="0" borderId="148" xfId="0" applyNumberFormat="1" applyFont="1" applyBorder="1" applyAlignment="1" applyProtection="1">
      <alignment horizontal="center" vertical="center"/>
      <protection locked="0"/>
    </xf>
    <xf numFmtId="42" fontId="13" fillId="0" borderId="144" xfId="13" applyNumberFormat="1" applyFont="1" applyFill="1" applyBorder="1" applyAlignment="1" applyProtection="1">
      <alignment horizontal="center" vertical="center"/>
      <protection locked="0"/>
    </xf>
    <xf numFmtId="42" fontId="13" fillId="0" borderId="145" xfId="13" applyNumberFormat="1" applyFont="1" applyFill="1" applyBorder="1" applyAlignment="1" applyProtection="1">
      <alignment horizontal="center" vertical="center"/>
      <protection locked="0"/>
    </xf>
    <xf numFmtId="42" fontId="16" fillId="0" borderId="153" xfId="13" applyNumberFormat="1" applyBorder="1" applyAlignment="1">
      <alignment horizontal="center" vertical="center"/>
    </xf>
    <xf numFmtId="42" fontId="16" fillId="0" borderId="146" xfId="13" applyNumberFormat="1" applyFill="1" applyBorder="1" applyAlignment="1" applyProtection="1">
      <alignment horizontal="center" vertical="center"/>
    </xf>
    <xf numFmtId="42" fontId="16" fillId="0" borderId="140" xfId="13" applyNumberFormat="1" applyBorder="1" applyAlignment="1">
      <alignment horizontal="center" vertical="center"/>
    </xf>
    <xf numFmtId="42" fontId="16" fillId="0" borderId="146" xfId="13" applyNumberFormat="1" applyFill="1" applyBorder="1" applyAlignment="1">
      <alignment horizontal="center" vertical="center"/>
    </xf>
    <xf numFmtId="42" fontId="16" fillId="0" borderId="141" xfId="13" applyNumberFormat="1" applyBorder="1" applyAlignment="1">
      <alignment horizontal="center" vertical="center"/>
    </xf>
    <xf numFmtId="42" fontId="16" fillId="0" borderId="207" xfId="13" applyNumberFormat="1" applyBorder="1" applyAlignment="1">
      <alignment horizontal="center" vertical="center"/>
    </xf>
    <xf numFmtId="42" fontId="16" fillId="0" borderId="10" xfId="13" applyNumberFormat="1" applyFill="1" applyBorder="1" applyAlignment="1" applyProtection="1">
      <alignment horizontal="center" vertical="center"/>
    </xf>
    <xf numFmtId="42" fontId="16" fillId="0" borderId="54" xfId="13" applyNumberFormat="1" applyBorder="1" applyAlignment="1">
      <alignment horizontal="center" vertical="center"/>
    </xf>
    <xf numFmtId="42" fontId="16" fillId="0" borderId="10" xfId="13" applyNumberFormat="1" applyFill="1" applyBorder="1" applyAlignment="1">
      <alignment horizontal="center" vertical="center"/>
    </xf>
    <xf numFmtId="42" fontId="16" fillId="0" borderId="184" xfId="13" applyNumberFormat="1" applyBorder="1" applyAlignment="1">
      <alignment horizontal="center" vertical="center"/>
    </xf>
    <xf numFmtId="42" fontId="16" fillId="0" borderId="154" xfId="13" applyNumberFormat="1" applyBorder="1" applyAlignment="1" applyProtection="1">
      <alignment horizontal="center" vertical="center"/>
      <protection locked="0"/>
    </xf>
    <xf numFmtId="42" fontId="16" fillId="0" borderId="51" xfId="13" applyNumberFormat="1" applyBorder="1" applyAlignment="1" applyProtection="1">
      <alignment horizontal="center" vertical="center"/>
      <protection locked="0"/>
    </xf>
    <xf numFmtId="42" fontId="16" fillId="0" borderId="12" xfId="13" applyNumberFormat="1" applyFill="1" applyBorder="1" applyAlignment="1" applyProtection="1">
      <alignment horizontal="center" vertical="center"/>
      <protection locked="0"/>
    </xf>
    <xf numFmtId="42" fontId="16" fillId="0" borderId="143" xfId="13" applyNumberFormat="1" applyBorder="1" applyAlignment="1" applyProtection="1">
      <alignment horizontal="center" vertical="center"/>
      <protection locked="0"/>
    </xf>
    <xf numFmtId="42" fontId="16" fillId="0" borderId="154" xfId="13" applyNumberFormat="1" applyBorder="1" applyAlignment="1">
      <alignment horizontal="center" vertical="center"/>
    </xf>
    <xf numFmtId="42" fontId="16" fillId="0" borderId="51" xfId="13" applyNumberFormat="1" applyBorder="1" applyAlignment="1">
      <alignment horizontal="center" vertical="center"/>
    </xf>
    <xf numFmtId="42" fontId="16" fillId="0" borderId="12" xfId="13" applyNumberFormat="1" applyFill="1" applyBorder="1" applyAlignment="1">
      <alignment horizontal="center" vertical="center"/>
    </xf>
    <xf numFmtId="42" fontId="16" fillId="0" borderId="143" xfId="13" applyNumberFormat="1" applyBorder="1" applyAlignment="1">
      <alignment horizontal="center" vertical="center"/>
    </xf>
    <xf numFmtId="42" fontId="16" fillId="0" borderId="155" xfId="13" applyNumberFormat="1" applyBorder="1" applyAlignment="1" applyProtection="1">
      <alignment horizontal="center" vertical="center"/>
      <protection locked="0"/>
    </xf>
    <xf numFmtId="42" fontId="16" fillId="0" borderId="148" xfId="13" applyNumberFormat="1" applyBorder="1" applyAlignment="1" applyProtection="1">
      <alignment horizontal="center" vertical="center"/>
      <protection locked="0"/>
    </xf>
    <xf numFmtId="42" fontId="16" fillId="0" borderId="144" xfId="13" applyNumberFormat="1" applyFill="1" applyBorder="1" applyAlignment="1" applyProtection="1">
      <alignment horizontal="center" vertical="center"/>
      <protection locked="0"/>
    </xf>
    <xf numFmtId="42" fontId="16" fillId="0" borderId="149" xfId="13" applyNumberFormat="1" applyBorder="1" applyAlignment="1" applyProtection="1">
      <alignment horizontal="center" vertical="center"/>
      <protection locked="0"/>
    </xf>
    <xf numFmtId="0" fontId="19" fillId="0" borderId="205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20" fillId="0" borderId="66" xfId="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75" xfId="0" applyNumberFormat="1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42" fontId="20" fillId="0" borderId="204" xfId="0" applyNumberFormat="1" applyFont="1" applyBorder="1" applyAlignment="1">
      <alignment horizontal="center" vertical="center"/>
    </xf>
    <xf numFmtId="42" fontId="19" fillId="0" borderId="90" xfId="0" applyNumberFormat="1" applyFont="1" applyBorder="1" applyAlignment="1">
      <alignment horizontal="center" vertical="center"/>
    </xf>
    <xf numFmtId="0" fontId="0" fillId="0" borderId="87" xfId="0" applyBorder="1" applyAlignment="1">
      <alignment horizontal="center"/>
    </xf>
    <xf numFmtId="0" fontId="0" fillId="0" borderId="95" xfId="0" applyBorder="1" applyAlignment="1">
      <alignment horizontal="center"/>
    </xf>
    <xf numFmtId="9" fontId="0" fillId="0" borderId="95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0" fontId="0" fillId="15" borderId="81" xfId="0" applyFill="1" applyBorder="1" applyAlignment="1">
      <alignment horizontal="center" vertical="center"/>
    </xf>
    <xf numFmtId="0" fontId="0" fillId="15" borderId="84" xfId="0" applyFill="1" applyBorder="1" applyAlignment="1">
      <alignment horizontal="center" vertical="center"/>
    </xf>
    <xf numFmtId="0" fontId="0" fillId="15" borderId="86" xfId="0" applyFill="1" applyBorder="1" applyAlignment="1">
      <alignment horizontal="center"/>
    </xf>
    <xf numFmtId="0" fontId="0" fillId="15" borderId="100" xfId="0" applyFill="1" applyBorder="1" applyAlignment="1">
      <alignment horizontal="center"/>
    </xf>
    <xf numFmtId="0" fontId="0" fillId="15" borderId="52" xfId="0" applyFill="1" applyBorder="1" applyAlignment="1">
      <alignment horizontal="center"/>
    </xf>
    <xf numFmtId="0" fontId="0" fillId="15" borderId="100" xfId="0" applyFill="1" applyBorder="1" applyAlignment="1">
      <alignment horizontal="center" wrapText="1"/>
    </xf>
    <xf numFmtId="0" fontId="0" fillId="15" borderId="52" xfId="0" applyFill="1" applyBorder="1" applyAlignment="1">
      <alignment horizontal="center" wrapText="1"/>
    </xf>
    <xf numFmtId="0" fontId="0" fillId="15" borderId="88" xfId="0" applyFill="1" applyBorder="1" applyAlignment="1">
      <alignment horizontal="center"/>
    </xf>
    <xf numFmtId="0" fontId="0" fillId="15" borderId="89" xfId="0" applyFill="1" applyBorder="1" applyAlignment="1">
      <alignment horizontal="center"/>
    </xf>
    <xf numFmtId="0" fontId="0" fillId="15" borderId="53" xfId="0" applyFill="1" applyBorder="1" applyAlignment="1">
      <alignment horizontal="center"/>
    </xf>
    <xf numFmtId="0" fontId="0" fillId="0" borderId="0" xfId="0" applyFill="1" applyBorder="1" applyAlignment="1"/>
    <xf numFmtId="0" fontId="0" fillId="15" borderId="209" xfId="0" applyFill="1" applyBorder="1" applyAlignment="1">
      <alignment horizontal="center"/>
    </xf>
    <xf numFmtId="0" fontId="0" fillId="15" borderId="210" xfId="0" applyFill="1" applyBorder="1" applyAlignment="1">
      <alignment horizontal="center"/>
    </xf>
    <xf numFmtId="0" fontId="0" fillId="15" borderId="211" xfId="0" applyFill="1" applyBorder="1" applyAlignment="1">
      <alignment horizontal="center"/>
    </xf>
    <xf numFmtId="0" fontId="0" fillId="15" borderId="203" xfId="0" applyFill="1" applyBorder="1" applyAlignment="1">
      <alignment horizontal="center"/>
    </xf>
    <xf numFmtId="0" fontId="0" fillId="0" borderId="204" xfId="0" applyBorder="1" applyAlignment="1">
      <alignment horizontal="center"/>
    </xf>
    <xf numFmtId="0" fontId="0" fillId="15" borderId="52" xfId="0" applyFill="1" applyBorder="1" applyAlignment="1">
      <alignment horizontal="center" vertical="center" wrapText="1"/>
    </xf>
    <xf numFmtId="0" fontId="0" fillId="15" borderId="52" xfId="0" applyFill="1" applyBorder="1"/>
    <xf numFmtId="0" fontId="22" fillId="15" borderId="52" xfId="0" applyFont="1" applyFill="1" applyBorder="1" applyAlignment="1">
      <alignment horizontal="center" vertical="center" wrapText="1"/>
    </xf>
    <xf numFmtId="0" fontId="22" fillId="22" borderId="69" xfId="0" applyFont="1" applyFill="1" applyBorder="1" applyAlignment="1">
      <alignment horizontal="center" vertical="center" wrapText="1"/>
    </xf>
    <xf numFmtId="0" fontId="22" fillId="22" borderId="0" xfId="0" applyFont="1" applyFill="1" applyAlignment="1">
      <alignment horizontal="center" vertical="center" wrapText="1"/>
    </xf>
    <xf numFmtId="0" fontId="19" fillId="0" borderId="76" xfId="0" applyFont="1" applyBorder="1" applyAlignment="1">
      <alignment horizontal="center"/>
    </xf>
    <xf numFmtId="0" fontId="19" fillId="0" borderId="70" xfId="0" applyFont="1" applyBorder="1" applyAlignment="1">
      <alignment horizontal="center" vertical="center"/>
    </xf>
    <xf numFmtId="42" fontId="19" fillId="0" borderId="52" xfId="0" applyNumberFormat="1" applyFont="1" applyBorder="1" applyAlignment="1">
      <alignment horizontal="center" vertical="center"/>
    </xf>
    <xf numFmtId="42" fontId="20" fillId="0" borderId="52" xfId="0" applyNumberFormat="1" applyFont="1" applyBorder="1" applyAlignment="1">
      <alignment horizontal="center" vertical="center"/>
    </xf>
    <xf numFmtId="42" fontId="0" fillId="0" borderId="52" xfId="0" applyNumberFormat="1" applyBorder="1" applyAlignment="1">
      <alignment horizontal="center" vertical="center"/>
    </xf>
    <xf numFmtId="42" fontId="16" fillId="0" borderId="52" xfId="0" applyNumberFormat="1" applyFont="1" applyBorder="1" applyAlignment="1">
      <alignment horizontal="center" vertical="center"/>
    </xf>
    <xf numFmtId="42" fontId="0" fillId="0" borderId="52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42" fontId="19" fillId="0" borderId="110" xfId="0" applyNumberFormat="1" applyFont="1" applyBorder="1" applyAlignment="1">
      <alignment horizontal="center"/>
    </xf>
    <xf numFmtId="42" fontId="20" fillId="0" borderId="110" xfId="0" applyNumberFormat="1" applyFont="1" applyBorder="1" applyAlignment="1">
      <alignment horizontal="center"/>
    </xf>
    <xf numFmtId="42" fontId="20" fillId="0" borderId="45" xfId="0" applyNumberFormat="1" applyFont="1" applyBorder="1" applyAlignment="1">
      <alignment horizontal="center"/>
    </xf>
    <xf numFmtId="0" fontId="0" fillId="0" borderId="130" xfId="0" applyBorder="1" applyAlignment="1">
      <alignment horizontal="center"/>
    </xf>
    <xf numFmtId="0" fontId="0" fillId="0" borderId="137" xfId="0" applyBorder="1" applyAlignment="1">
      <alignment horizontal="center"/>
    </xf>
    <xf numFmtId="42" fontId="20" fillId="0" borderId="45" xfId="0" applyNumberFormat="1" applyFont="1" applyBorder="1" applyAlignment="1">
      <alignment horizontal="center" vertical="center"/>
    </xf>
    <xf numFmtId="42" fontId="19" fillId="0" borderId="110" xfId="0" applyNumberFormat="1" applyFont="1" applyBorder="1" applyAlignment="1">
      <alignment horizontal="center" vertical="center"/>
    </xf>
    <xf numFmtId="42" fontId="20" fillId="0" borderId="110" xfId="0" applyNumberFormat="1" applyFont="1" applyBorder="1" applyAlignment="1">
      <alignment horizontal="center" vertical="center"/>
    </xf>
    <xf numFmtId="0" fontId="20" fillId="0" borderId="79" xfId="0" applyNumberFormat="1" applyFont="1" applyBorder="1" applyAlignment="1">
      <alignment horizontal="center" vertical="center"/>
    </xf>
    <xf numFmtId="0" fontId="20" fillId="0" borderId="53" xfId="0" applyNumberFormat="1" applyFon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110" xfId="0" applyNumberFormat="1" applyBorder="1" applyAlignment="1">
      <alignment horizontal="center" vertical="center"/>
    </xf>
    <xf numFmtId="0" fontId="19" fillId="0" borderId="214" xfId="0" applyFont="1" applyBorder="1"/>
    <xf numFmtId="0" fontId="0" fillId="0" borderId="116" xfId="0" applyFill="1" applyBorder="1"/>
    <xf numFmtId="0" fontId="0" fillId="15" borderId="215" xfId="0" applyFill="1" applyBorder="1" applyAlignment="1">
      <alignment horizontal="center" vertical="center"/>
    </xf>
    <xf numFmtId="0" fontId="0" fillId="15" borderId="216" xfId="0" applyFill="1" applyBorder="1" applyAlignment="1">
      <alignment horizontal="center"/>
    </xf>
    <xf numFmtId="0" fontId="0" fillId="15" borderId="217" xfId="0" applyFill="1" applyBorder="1" applyAlignment="1">
      <alignment horizontal="center"/>
    </xf>
    <xf numFmtId="0" fontId="0" fillId="15" borderId="217" xfId="0" applyFill="1" applyBorder="1" applyAlignment="1">
      <alignment horizontal="center" wrapText="1"/>
    </xf>
    <xf numFmtId="0" fontId="0" fillId="15" borderId="219" xfId="0" applyFill="1" applyBorder="1" applyAlignment="1">
      <alignment horizontal="center"/>
    </xf>
    <xf numFmtId="0" fontId="19" fillId="0" borderId="220" xfId="0" applyFont="1" applyBorder="1" applyAlignment="1">
      <alignment horizontal="center"/>
    </xf>
    <xf numFmtId="0" fontId="0" fillId="15" borderId="217" xfId="0" applyFill="1" applyBorder="1" applyAlignment="1">
      <alignment horizontal="center" vertical="center" wrapText="1"/>
    </xf>
    <xf numFmtId="42" fontId="0" fillId="0" borderId="0" xfId="0" applyNumberFormat="1" applyBorder="1"/>
    <xf numFmtId="0" fontId="22" fillId="22" borderId="116" xfId="0" applyFont="1" applyFill="1" applyBorder="1" applyAlignment="1">
      <alignment horizontal="center" vertical="center" wrapText="1"/>
    </xf>
    <xf numFmtId="0" fontId="22" fillId="22" borderId="0" xfId="0" applyFont="1" applyFill="1" applyBorder="1" applyAlignment="1">
      <alignment horizontal="center" vertical="center" wrapText="1"/>
    </xf>
    <xf numFmtId="42" fontId="0" fillId="0" borderId="221" xfId="0" applyNumberFormat="1" applyBorder="1" applyAlignment="1">
      <alignment horizontal="center" vertical="center"/>
    </xf>
    <xf numFmtId="9" fontId="0" fillId="0" borderId="0" xfId="0" applyNumberFormat="1" applyBorder="1"/>
    <xf numFmtId="0" fontId="0" fillId="0" borderId="0" xfId="0" applyFont="1" applyFill="1" applyBorder="1" applyAlignment="1">
      <alignment wrapText="1"/>
    </xf>
    <xf numFmtId="0" fontId="0" fillId="0" borderId="46" xfId="0" applyFont="1" applyFill="1" applyBorder="1" applyAlignment="1">
      <alignment wrapText="1"/>
    </xf>
    <xf numFmtId="0" fontId="19" fillId="0" borderId="161" xfId="0" applyFont="1" applyBorder="1" applyAlignment="1">
      <alignment horizontal="center" vertical="center"/>
    </xf>
    <xf numFmtId="0" fontId="0" fillId="0" borderId="158" xfId="0" applyBorder="1" applyAlignment="1">
      <alignment horizontal="center"/>
    </xf>
    <xf numFmtId="0" fontId="0" fillId="0" borderId="222" xfId="0" applyBorder="1" applyAlignment="1">
      <alignment horizontal="center"/>
    </xf>
    <xf numFmtId="0" fontId="19" fillId="0" borderId="223" xfId="0" applyFont="1" applyBorder="1" applyAlignment="1">
      <alignment horizontal="center" vertical="center"/>
    </xf>
    <xf numFmtId="0" fontId="19" fillId="0" borderId="160" xfId="0" applyFont="1" applyBorder="1" applyAlignment="1">
      <alignment horizontal="center"/>
    </xf>
    <xf numFmtId="0" fontId="19" fillId="0" borderId="161" xfId="0" applyFont="1" applyBorder="1" applyAlignment="1">
      <alignment horizontal="center"/>
    </xf>
    <xf numFmtId="0" fontId="0" fillId="15" borderId="45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wrapText="1"/>
    </xf>
    <xf numFmtId="0" fontId="0" fillId="15" borderId="45" xfId="0" applyFill="1" applyBorder="1" applyAlignment="1">
      <alignment horizontal="center" vertical="center" wrapText="1"/>
    </xf>
    <xf numFmtId="167" fontId="0" fillId="0" borderId="45" xfId="0" applyNumberFormat="1" applyBorder="1" applyAlignment="1">
      <alignment horizontal="center"/>
    </xf>
    <xf numFmtId="166" fontId="20" fillId="0" borderId="45" xfId="0" applyNumberFormat="1" applyFont="1" applyBorder="1" applyAlignment="1">
      <alignment horizontal="center" vertical="center"/>
    </xf>
    <xf numFmtId="166" fontId="19" fillId="0" borderId="45" xfId="0" applyNumberFormat="1" applyFont="1" applyBorder="1" applyAlignment="1">
      <alignment horizontal="center"/>
    </xf>
    <xf numFmtId="167" fontId="0" fillId="0" borderId="124" xfId="0" applyNumberFormat="1" applyBorder="1" applyAlignment="1">
      <alignment horizontal="center"/>
    </xf>
    <xf numFmtId="42" fontId="20" fillId="0" borderId="124" xfId="0" applyNumberFormat="1" applyFont="1" applyBorder="1" applyAlignment="1">
      <alignment horizontal="center"/>
    </xf>
    <xf numFmtId="166" fontId="20" fillId="0" borderId="124" xfId="0" applyNumberFormat="1" applyFont="1" applyBorder="1" applyAlignment="1">
      <alignment horizontal="center" vertical="center"/>
    </xf>
    <xf numFmtId="166" fontId="19" fillId="0" borderId="124" xfId="0" applyNumberFormat="1" applyFont="1" applyBorder="1" applyAlignment="1">
      <alignment horizontal="center"/>
    </xf>
    <xf numFmtId="0" fontId="0" fillId="15" borderId="136" xfId="0" applyFill="1" applyBorder="1" applyAlignment="1">
      <alignment horizontal="center" vertical="center"/>
    </xf>
    <xf numFmtId="0" fontId="0" fillId="15" borderId="128" xfId="0" applyFill="1" applyBorder="1" applyAlignment="1">
      <alignment horizontal="center" vertical="center"/>
    </xf>
    <xf numFmtId="0" fontId="0" fillId="15" borderId="128" xfId="0" applyFill="1" applyBorder="1" applyAlignment="1">
      <alignment horizontal="center" wrapText="1"/>
    </xf>
    <xf numFmtId="0" fontId="0" fillId="15" borderId="128" xfId="0" applyFill="1" applyBorder="1" applyAlignment="1">
      <alignment horizontal="center" vertical="center" wrapText="1"/>
    </xf>
    <xf numFmtId="0" fontId="0" fillId="15" borderId="129" xfId="0" applyFill="1" applyBorder="1" applyAlignment="1">
      <alignment horizontal="center" vertical="center" wrapText="1"/>
    </xf>
    <xf numFmtId="0" fontId="0" fillId="15" borderId="137" xfId="0" applyFill="1" applyBorder="1" applyAlignment="1">
      <alignment horizontal="center" vertical="center"/>
    </xf>
    <xf numFmtId="0" fontId="0" fillId="15" borderId="110" xfId="0" applyFill="1" applyBorder="1" applyAlignment="1">
      <alignment horizontal="center" vertical="center"/>
    </xf>
    <xf numFmtId="0" fontId="0" fillId="15" borderId="110" xfId="0" applyFill="1" applyBorder="1" applyAlignment="1">
      <alignment horizontal="center" wrapText="1"/>
    </xf>
    <xf numFmtId="0" fontId="0" fillId="15" borderId="110" xfId="0" applyFill="1" applyBorder="1" applyAlignment="1">
      <alignment horizontal="center" vertical="center" wrapText="1"/>
    </xf>
    <xf numFmtId="0" fontId="0" fillId="15" borderId="111" xfId="0" applyFill="1" applyBorder="1" applyAlignment="1">
      <alignment horizontal="center" vertical="center" wrapText="1"/>
    </xf>
    <xf numFmtId="0" fontId="0" fillId="0" borderId="171" xfId="0" applyBorder="1" applyAlignment="1">
      <alignment horizontal="center"/>
    </xf>
    <xf numFmtId="166" fontId="19" fillId="0" borderId="172" xfId="0" applyNumberFormat="1" applyFont="1" applyBorder="1" applyAlignment="1">
      <alignment horizontal="center"/>
    </xf>
    <xf numFmtId="166" fontId="19" fillId="0" borderId="109" xfId="0" applyNumberFormat="1" applyFont="1" applyBorder="1" applyAlignment="1">
      <alignment horizontal="center"/>
    </xf>
    <xf numFmtId="167" fontId="0" fillId="0" borderId="110" xfId="0" applyNumberFormat="1" applyBorder="1" applyAlignment="1">
      <alignment horizontal="center"/>
    </xf>
    <xf numFmtId="42" fontId="20" fillId="0" borderId="110" xfId="0" applyNumberFormat="1" applyFont="1" applyBorder="1" applyAlignment="1">
      <alignment horizontal="center" vertical="center"/>
    </xf>
    <xf numFmtId="42" fontId="19" fillId="0" borderId="111" xfId="0" applyNumberFormat="1" applyFont="1" applyBorder="1" applyAlignment="1">
      <alignment horizontal="center"/>
    </xf>
    <xf numFmtId="42" fontId="19" fillId="0" borderId="45" xfId="0" applyNumberFormat="1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15" borderId="130" xfId="0" applyFill="1" applyBorder="1" applyAlignment="1">
      <alignment horizontal="center" vertical="center"/>
    </xf>
    <xf numFmtId="0" fontId="0" fillId="15" borderId="109" xfId="0" applyFill="1" applyBorder="1" applyAlignment="1">
      <alignment horizontal="center" vertical="center" wrapText="1"/>
    </xf>
    <xf numFmtId="0" fontId="0" fillId="0" borderId="171" xfId="0" applyBorder="1" applyAlignment="1">
      <alignment horizontal="center" vertical="center"/>
    </xf>
    <xf numFmtId="0" fontId="0" fillId="0" borderId="124" xfId="0" applyNumberFormat="1" applyBorder="1" applyAlignment="1">
      <alignment horizontal="center" vertical="center"/>
    </xf>
    <xf numFmtId="42" fontId="20" fillId="0" borderId="124" xfId="0" applyNumberFormat="1" applyFont="1" applyBorder="1" applyAlignment="1">
      <alignment horizontal="center" vertical="center"/>
    </xf>
    <xf numFmtId="42" fontId="19" fillId="0" borderId="124" xfId="0" applyNumberFormat="1" applyFont="1" applyBorder="1" applyAlignment="1">
      <alignment horizontal="center" vertical="center"/>
    </xf>
    <xf numFmtId="0" fontId="19" fillId="0" borderId="192" xfId="0" applyFont="1" applyBorder="1" applyAlignment="1">
      <alignment horizontal="center"/>
    </xf>
    <xf numFmtId="0" fontId="19" fillId="0" borderId="193" xfId="0" applyFont="1" applyBorder="1" applyAlignment="1">
      <alignment horizontal="center"/>
    </xf>
    <xf numFmtId="0" fontId="0" fillId="15" borderId="62" xfId="0" applyFill="1" applyBorder="1"/>
    <xf numFmtId="0" fontId="0" fillId="15" borderId="212" xfId="0" applyFill="1" applyBorder="1" applyAlignment="1">
      <alignment horizontal="left"/>
    </xf>
    <xf numFmtId="0" fontId="0" fillId="15" borderId="225" xfId="0" applyFill="1" applyBorder="1" applyAlignment="1">
      <alignment horizontal="left"/>
    </xf>
    <xf numFmtId="0" fontId="0" fillId="15" borderId="75" xfId="0" applyFill="1" applyBorder="1" applyAlignment="1">
      <alignment horizontal="left"/>
    </xf>
    <xf numFmtId="0" fontId="0" fillId="15" borderId="213" xfId="0" applyFill="1" applyBorder="1" applyAlignment="1">
      <alignment horizontal="left"/>
    </xf>
    <xf numFmtId="0" fontId="0" fillId="15" borderId="226" xfId="0" applyFill="1" applyBorder="1" applyAlignment="1">
      <alignment horizontal="left"/>
    </xf>
    <xf numFmtId="0" fontId="0" fillId="15" borderId="227" xfId="0" applyFill="1" applyBorder="1" applyAlignment="1">
      <alignment horizontal="left"/>
    </xf>
    <xf numFmtId="0" fontId="0" fillId="15" borderId="45" xfId="0" applyFill="1" applyBorder="1" applyAlignment="1">
      <alignment horizontal="left" vertical="center"/>
    </xf>
    <xf numFmtId="0" fontId="0" fillId="15" borderId="128" xfId="0" applyFill="1" applyBorder="1" applyAlignment="1">
      <alignment horizontal="left" vertical="center"/>
    </xf>
    <xf numFmtId="0" fontId="0" fillId="15" borderId="110" xfId="0" applyFill="1" applyBorder="1" applyAlignment="1">
      <alignment horizontal="left" vertical="center"/>
    </xf>
    <xf numFmtId="0" fontId="0" fillId="15" borderId="45" xfId="0" applyFill="1" applyBorder="1" applyAlignment="1">
      <alignment horizontal="left"/>
    </xf>
    <xf numFmtId="0" fontId="0" fillId="15" borderId="136" xfId="0" applyFill="1" applyBorder="1" applyAlignment="1">
      <alignment horizontal="left"/>
    </xf>
    <xf numFmtId="0" fontId="0" fillId="15" borderId="128" xfId="0" applyFill="1" applyBorder="1" applyAlignment="1">
      <alignment horizontal="left"/>
    </xf>
    <xf numFmtId="0" fontId="0" fillId="15" borderId="137" xfId="0" applyFill="1" applyBorder="1" applyAlignment="1">
      <alignment horizontal="left"/>
    </xf>
    <xf numFmtId="0" fontId="0" fillId="15" borderId="110" xfId="0" applyFill="1" applyBorder="1" applyAlignment="1">
      <alignment horizontal="left"/>
    </xf>
    <xf numFmtId="0" fontId="0" fillId="15" borderId="169" xfId="0" applyFill="1" applyBorder="1" applyAlignment="1">
      <alignment horizontal="left"/>
    </xf>
    <xf numFmtId="0" fontId="0" fillId="15" borderId="170" xfId="0" applyFill="1" applyBorder="1" applyAlignment="1">
      <alignment horizontal="left"/>
    </xf>
    <xf numFmtId="0" fontId="0" fillId="0" borderId="52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6" fontId="19" fillId="0" borderId="45" xfId="0" applyNumberFormat="1" applyFont="1" applyBorder="1"/>
    <xf numFmtId="0" fontId="0" fillId="0" borderId="45" xfId="0" applyFill="1" applyBorder="1" applyAlignment="1">
      <alignment horizontal="center" vertical="center"/>
    </xf>
    <xf numFmtId="0" fontId="0" fillId="0" borderId="130" xfId="0" applyBorder="1" applyAlignment="1">
      <alignment horizontal="center"/>
    </xf>
    <xf numFmtId="0" fontId="13" fillId="0" borderId="137" xfId="0" applyFont="1" applyBorder="1" applyAlignment="1">
      <alignment horizontal="center"/>
    </xf>
    <xf numFmtId="0" fontId="13" fillId="0" borderId="110" xfId="0" applyFont="1" applyBorder="1" applyAlignment="1">
      <alignment horizontal="center"/>
    </xf>
    <xf numFmtId="176" fontId="20" fillId="0" borderId="110" xfId="0" applyNumberFormat="1" applyFont="1" applyBorder="1" applyAlignment="1">
      <alignment horizontal="center" vertical="center"/>
    </xf>
    <xf numFmtId="9" fontId="0" fillId="0" borderId="110" xfId="0" applyNumberForma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71" xfId="0" applyBorder="1" applyAlignment="1">
      <alignment horizontal="center" wrapText="1"/>
    </xf>
    <xf numFmtId="0" fontId="0" fillId="0" borderId="124" xfId="0" applyBorder="1" applyAlignment="1">
      <alignment horizontal="center" wrapText="1"/>
    </xf>
    <xf numFmtId="176" fontId="20" fillId="0" borderId="124" xfId="0" applyNumberFormat="1" applyFont="1" applyBorder="1" applyAlignment="1">
      <alignment horizontal="center" vertical="center"/>
    </xf>
    <xf numFmtId="9" fontId="0" fillId="0" borderId="124" xfId="0" applyNumberForma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15" borderId="136" xfId="0" applyFill="1" applyBorder="1" applyAlignment="1">
      <alignment horizontal="center" vertical="center" wrapText="1"/>
    </xf>
    <xf numFmtId="0" fontId="0" fillId="15" borderId="137" xfId="0" applyFill="1" applyBorder="1" applyAlignment="1">
      <alignment horizontal="center" vertical="center" wrapText="1"/>
    </xf>
    <xf numFmtId="0" fontId="0" fillId="15" borderId="127" xfId="0" applyFill="1" applyBorder="1" applyAlignment="1">
      <alignment horizontal="center" vertical="center"/>
    </xf>
    <xf numFmtId="0" fontId="0" fillId="15" borderId="169" xfId="0" applyFill="1" applyBorder="1" applyAlignment="1">
      <alignment horizontal="center" vertical="center"/>
    </xf>
    <xf numFmtId="0" fontId="0" fillId="15" borderId="170" xfId="0" applyFill="1" applyBorder="1" applyAlignment="1">
      <alignment horizontal="center" vertical="center"/>
    </xf>
    <xf numFmtId="0" fontId="0" fillId="0" borderId="169" xfId="0" applyFill="1" applyBorder="1" applyAlignment="1">
      <alignment horizontal="center" vertical="center"/>
    </xf>
    <xf numFmtId="0" fontId="0" fillId="0" borderId="170" xfId="0" applyFill="1" applyBorder="1" applyAlignment="1">
      <alignment horizontal="center" vertical="center"/>
    </xf>
    <xf numFmtId="0" fontId="0" fillId="0" borderId="126" xfId="0" applyFill="1" applyBorder="1" applyAlignment="1">
      <alignment horizontal="center" vertical="center"/>
    </xf>
    <xf numFmtId="9" fontId="0" fillId="0" borderId="126" xfId="0" applyNumberFormat="1" applyBorder="1" applyAlignment="1">
      <alignment horizontal="center"/>
    </xf>
    <xf numFmtId="42" fontId="20" fillId="0" borderId="172" xfId="0" applyNumberFormat="1" applyFont="1" applyBorder="1" applyAlignment="1">
      <alignment horizontal="center" vertical="center"/>
    </xf>
    <xf numFmtId="42" fontId="20" fillId="0" borderId="109" xfId="0" applyNumberFormat="1" applyFont="1" applyBorder="1" applyAlignment="1">
      <alignment horizontal="center" vertical="center"/>
    </xf>
    <xf numFmtId="42" fontId="19" fillId="0" borderId="111" xfId="0" applyNumberFormat="1" applyFont="1" applyBorder="1"/>
    <xf numFmtId="167" fontId="0" fillId="0" borderId="129" xfId="0" applyNumberFormat="1" applyBorder="1" applyAlignment="1">
      <alignment horizontal="center" vertical="center"/>
    </xf>
    <xf numFmtId="167" fontId="0" fillId="0" borderId="109" xfId="0" applyNumberFormat="1" applyBorder="1" applyAlignment="1">
      <alignment horizontal="center" vertical="center"/>
    </xf>
    <xf numFmtId="167" fontId="0" fillId="0" borderId="111" xfId="0" applyNumberFormat="1" applyBorder="1" applyAlignment="1">
      <alignment horizontal="center" vertical="center"/>
    </xf>
    <xf numFmtId="3" fontId="0" fillId="0" borderId="126" xfId="0" applyNumberFormat="1" applyBorder="1" applyAlignment="1">
      <alignment horizontal="center"/>
    </xf>
    <xf numFmtId="9" fontId="0" fillId="0" borderId="129" xfId="0" applyNumberFormat="1" applyBorder="1" applyAlignment="1">
      <alignment horizontal="center" vertical="top"/>
    </xf>
    <xf numFmtId="9" fontId="0" fillId="0" borderId="111" xfId="0" applyNumberFormat="1" applyBorder="1" applyAlignment="1">
      <alignment horizontal="center" vertical="top"/>
    </xf>
    <xf numFmtId="1" fontId="0" fillId="0" borderId="124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0" fillId="0" borderId="110" xfId="0" applyNumberFormat="1" applyBorder="1" applyAlignment="1">
      <alignment horizontal="center"/>
    </xf>
    <xf numFmtId="181" fontId="0" fillId="0" borderId="124" xfId="0" applyNumberFormat="1" applyBorder="1" applyAlignment="1">
      <alignment horizontal="center" vertical="center"/>
    </xf>
    <xf numFmtId="181" fontId="0" fillId="0" borderId="172" xfId="0" applyNumberFormat="1" applyBorder="1" applyAlignment="1">
      <alignment horizontal="center" vertical="center"/>
    </xf>
    <xf numFmtId="181" fontId="0" fillId="0" borderId="110" xfId="0" applyNumberFormat="1" applyBorder="1" applyAlignment="1">
      <alignment horizontal="center" vertical="center"/>
    </xf>
    <xf numFmtId="181" fontId="0" fillId="0" borderId="111" xfId="0" applyNumberFormat="1" applyBorder="1" applyAlignment="1">
      <alignment horizontal="center" vertical="center"/>
    </xf>
    <xf numFmtId="0" fontId="0" fillId="15" borderId="45" xfId="0" applyFill="1" applyBorder="1"/>
    <xf numFmtId="0" fontId="0" fillId="15" borderId="45" xfId="0" applyFill="1" applyBorder="1" applyAlignment="1">
      <alignment horizontal="center"/>
    </xf>
    <xf numFmtId="0" fontId="0" fillId="15" borderId="45" xfId="0" applyFill="1" applyBorder="1" applyAlignment="1">
      <alignment horizontal="center"/>
    </xf>
    <xf numFmtId="0" fontId="0" fillId="15" borderId="105" xfId="0" applyFill="1" applyBorder="1" applyAlignment="1">
      <alignment horizontal="center"/>
    </xf>
    <xf numFmtId="0" fontId="0" fillId="15" borderId="119" xfId="0" applyFill="1" applyBorder="1" applyAlignment="1">
      <alignment horizontal="center"/>
    </xf>
    <xf numFmtId="0" fontId="0" fillId="15" borderId="105" xfId="0" applyFill="1" applyBorder="1" applyAlignment="1">
      <alignment horizontal="left"/>
    </xf>
    <xf numFmtId="0" fontId="0" fillId="15" borderId="119" xfId="0" applyFill="1" applyBorder="1" applyAlignment="1">
      <alignment horizontal="left"/>
    </xf>
    <xf numFmtId="0" fontId="0" fillId="15" borderId="105" xfId="0" applyFill="1" applyBorder="1" applyAlignment="1">
      <alignment horizontal="left" vertical="center"/>
    </xf>
    <xf numFmtId="0" fontId="0" fillId="15" borderId="119" xfId="0" applyFill="1" applyBorder="1" applyAlignment="1">
      <alignment horizontal="left" vertical="center"/>
    </xf>
    <xf numFmtId="0" fontId="0" fillId="15" borderId="45" xfId="0" applyFill="1" applyBorder="1" applyAlignment="1">
      <alignment horizontal="left" wrapText="1"/>
    </xf>
    <xf numFmtId="0" fontId="0" fillId="15" borderId="157" xfId="0" applyFill="1" applyBorder="1" applyAlignment="1">
      <alignment horizontal="left"/>
    </xf>
    <xf numFmtId="0" fontId="0" fillId="15" borderId="131" xfId="0" applyFill="1" applyBorder="1" applyAlignment="1">
      <alignment horizontal="left"/>
    </xf>
    <xf numFmtId="0" fontId="0" fillId="15" borderId="228" xfId="0" applyFill="1" applyBorder="1" applyAlignment="1">
      <alignment horizontal="left"/>
    </xf>
    <xf numFmtId="176" fontId="13" fillId="0" borderId="109" xfId="0" applyNumberFormat="1" applyFont="1" applyBorder="1" applyAlignment="1">
      <alignment horizontal="center" vertical="center"/>
    </xf>
    <xf numFmtId="176" fontId="20" fillId="0" borderId="109" xfId="0" applyNumberFormat="1" applyFont="1" applyBorder="1" applyAlignment="1">
      <alignment horizontal="center" vertical="center"/>
    </xf>
    <xf numFmtId="194" fontId="0" fillId="0" borderId="109" xfId="0" applyNumberFormat="1" applyFont="1" applyBorder="1" applyAlignment="1">
      <alignment horizontal="center" vertical="center"/>
    </xf>
    <xf numFmtId="0" fontId="0" fillId="15" borderId="132" xfId="0" applyFill="1" applyBorder="1" applyAlignment="1">
      <alignment horizontal="left"/>
    </xf>
    <xf numFmtId="176" fontId="20" fillId="0" borderId="11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134" xfId="0" applyNumberFormat="1" applyFont="1" applyBorder="1" applyAlignment="1">
      <alignment horizontal="center" vertical="center"/>
    </xf>
    <xf numFmtId="176" fontId="0" fillId="0" borderId="105" xfId="0" applyNumberFormat="1" applyFont="1" applyBorder="1" applyAlignment="1">
      <alignment horizontal="center" vertical="center"/>
    </xf>
    <xf numFmtId="0" fontId="0" fillId="0" borderId="103" xfId="0" applyBorder="1" applyAlignment="1">
      <alignment horizontal="center" vertical="center" wrapText="1"/>
    </xf>
    <xf numFmtId="0" fontId="0" fillId="0" borderId="229" xfId="0" applyBorder="1" applyAlignment="1">
      <alignment horizontal="center" vertical="center" wrapText="1"/>
    </xf>
    <xf numFmtId="0" fontId="0" fillId="0" borderId="135" xfId="0" applyFont="1" applyBorder="1" applyAlignment="1">
      <alignment horizontal="left" vertical="center"/>
    </xf>
    <xf numFmtId="0" fontId="0" fillId="0" borderId="113" xfId="0" applyFont="1" applyBorder="1" applyAlignment="1">
      <alignment horizontal="center" vertical="center"/>
    </xf>
    <xf numFmtId="176" fontId="20" fillId="0" borderId="129" xfId="0" applyNumberFormat="1" applyFont="1" applyBorder="1"/>
    <xf numFmtId="0" fontId="0" fillId="15" borderId="130" xfId="0" applyFill="1" applyBorder="1"/>
    <xf numFmtId="176" fontId="20" fillId="0" borderId="109" xfId="0" applyNumberFormat="1" applyFont="1" applyBorder="1"/>
    <xf numFmtId="0" fontId="0" fillId="15" borderId="130" xfId="0" applyFill="1" applyBorder="1" applyAlignment="1">
      <alignment horizontal="left"/>
    </xf>
    <xf numFmtId="0" fontId="0" fillId="15" borderId="137" xfId="0" applyFill="1" applyBorder="1"/>
    <xf numFmtId="0" fontId="0" fillId="15" borderId="110" xfId="0" applyFill="1" applyBorder="1"/>
    <xf numFmtId="176" fontId="20" fillId="0" borderId="111" xfId="0" applyNumberFormat="1" applyFont="1" applyBorder="1"/>
    <xf numFmtId="0" fontId="0" fillId="15" borderId="136" xfId="0" applyFill="1" applyBorder="1" applyAlignment="1">
      <alignment horizontal="center"/>
    </xf>
    <xf numFmtId="0" fontId="0" fillId="15" borderId="130" xfId="0" applyFill="1" applyBorder="1" applyAlignment="1">
      <alignment horizontal="center"/>
    </xf>
    <xf numFmtId="194" fontId="0" fillId="0" borderId="109" xfId="0" applyNumberFormat="1" applyFont="1" applyBorder="1"/>
    <xf numFmtId="193" fontId="20" fillId="0" borderId="109" xfId="0" applyNumberFormat="1" applyFont="1" applyBorder="1"/>
    <xf numFmtId="176" fontId="20" fillId="0" borderId="228" xfId="0" applyNumberFormat="1" applyFont="1" applyBorder="1" applyAlignment="1">
      <alignment horizontal="center" vertical="center"/>
    </xf>
    <xf numFmtId="176" fontId="20" fillId="0" borderId="228" xfId="0" applyNumberFormat="1" applyFont="1" applyBorder="1" applyAlignment="1">
      <alignment horizontal="center" vertical="center" wrapText="1"/>
    </xf>
    <xf numFmtId="176" fontId="20" fillId="0" borderId="158" xfId="0" applyNumberFormat="1" applyFont="1" applyBorder="1" applyAlignment="1">
      <alignment horizontal="center" vertical="center" wrapText="1"/>
    </xf>
    <xf numFmtId="0" fontId="0" fillId="0" borderId="113" xfId="0" applyFill="1" applyBorder="1"/>
    <xf numFmtId="0" fontId="19" fillId="0" borderId="230" xfId="0" applyFont="1" applyBorder="1" applyAlignment="1">
      <alignment horizontal="center"/>
    </xf>
    <xf numFmtId="0" fontId="0" fillId="15" borderId="134" xfId="0" applyFill="1" applyBorder="1" applyAlignment="1">
      <alignment horizontal="left"/>
    </xf>
    <xf numFmtId="0" fontId="0" fillId="15" borderId="112" xfId="0" applyFill="1" applyBorder="1" applyAlignment="1">
      <alignment horizontal="left"/>
    </xf>
    <xf numFmtId="0" fontId="0" fillId="0" borderId="104" xfId="0" applyBorder="1" applyAlignment="1">
      <alignment horizontal="center"/>
    </xf>
    <xf numFmtId="0" fontId="0" fillId="22" borderId="0" xfId="0" applyFont="1" applyFill="1" applyBorder="1" applyAlignment="1">
      <alignment horizontal="center" wrapText="1"/>
    </xf>
    <xf numFmtId="0" fontId="0" fillId="9" borderId="231" xfId="0" applyFill="1" applyBorder="1" applyAlignment="1">
      <alignment horizontal="center"/>
    </xf>
    <xf numFmtId="0" fontId="0" fillId="9" borderId="232" xfId="0" applyFill="1" applyBorder="1" applyAlignment="1">
      <alignment horizontal="center"/>
    </xf>
    <xf numFmtId="0" fontId="19" fillId="0" borderId="223" xfId="0" applyFont="1" applyBorder="1" applyAlignment="1">
      <alignment horizontal="center"/>
    </xf>
    <xf numFmtId="0" fontId="0" fillId="15" borderId="124" xfId="0" applyFill="1" applyBorder="1" applyAlignment="1">
      <alignment horizontal="center" vertical="center"/>
    </xf>
    <xf numFmtId="0" fontId="0" fillId="15" borderId="124" xfId="0" applyFill="1" applyBorder="1" applyAlignment="1">
      <alignment horizontal="center" vertical="center"/>
    </xf>
    <xf numFmtId="0" fontId="0" fillId="15" borderId="127" xfId="0" applyFill="1" applyBorder="1" applyAlignment="1">
      <alignment vertical="center"/>
    </xf>
    <xf numFmtId="0" fontId="0" fillId="15" borderId="45" xfId="0" applyFill="1" applyBorder="1" applyAlignment="1">
      <alignment vertical="center"/>
    </xf>
    <xf numFmtId="180" fontId="18" fillId="0" borderId="118" xfId="0" applyNumberFormat="1" applyFont="1" applyBorder="1" applyAlignment="1">
      <alignment horizontal="center" vertical="center"/>
    </xf>
    <xf numFmtId="180" fontId="18" fillId="0" borderId="124" xfId="0" applyNumberFormat="1" applyFont="1" applyBorder="1" applyAlignment="1">
      <alignment horizontal="center" vertical="center"/>
    </xf>
    <xf numFmtId="180" fontId="0" fillId="0" borderId="117" xfId="0" applyNumberFormat="1" applyBorder="1"/>
    <xf numFmtId="180" fontId="0" fillId="0" borderId="45" xfId="0" applyNumberFormat="1" applyBorder="1"/>
    <xf numFmtId="180" fontId="22" fillId="0" borderId="45" xfId="0" applyNumberFormat="1" applyFont="1" applyBorder="1"/>
    <xf numFmtId="180" fontId="20" fillId="0" borderId="45" xfId="0" applyNumberFormat="1" applyFont="1" applyBorder="1"/>
    <xf numFmtId="166" fontId="22" fillId="0" borderId="119" xfId="0" applyNumberFormat="1" applyFont="1" applyBorder="1"/>
    <xf numFmtId="166" fontId="22" fillId="0" borderId="45" xfId="0" applyNumberFormat="1" applyFont="1" applyBorder="1"/>
    <xf numFmtId="166" fontId="22" fillId="0" borderId="105" xfId="0" applyNumberFormat="1" applyFont="1" applyBorder="1"/>
    <xf numFmtId="166" fontId="20" fillId="0" borderId="119" xfId="0" applyNumberFormat="1" applyFont="1" applyBorder="1"/>
    <xf numFmtId="166" fontId="20" fillId="0" borderId="105" xfId="0" applyNumberFormat="1" applyFont="1" applyBorder="1"/>
    <xf numFmtId="166" fontId="0" fillId="0" borderId="132" xfId="0" applyNumberFormat="1" applyBorder="1"/>
    <xf numFmtId="166" fontId="0" fillId="0" borderId="110" xfId="0" applyNumberFormat="1" applyBorder="1"/>
    <xf numFmtId="166" fontId="0" fillId="0" borderId="112" xfId="0" applyNumberFormat="1" applyBorder="1"/>
    <xf numFmtId="195" fontId="0" fillId="0" borderId="119" xfId="0" applyNumberFormat="1" applyBorder="1"/>
    <xf numFmtId="195" fontId="0" fillId="0" borderId="45" xfId="0" applyNumberFormat="1" applyBorder="1"/>
    <xf numFmtId="195" fontId="0" fillId="0" borderId="105" xfId="0" applyNumberFormat="1" applyBorder="1"/>
    <xf numFmtId="0" fontId="20" fillId="0" borderId="228" xfId="0" applyNumberFormat="1" applyFont="1" applyBorder="1" applyAlignment="1">
      <alignment horizontal="center" vertical="center" wrapText="1"/>
    </xf>
    <xf numFmtId="0" fontId="20" fillId="0" borderId="135" xfId="0" applyNumberFormat="1" applyFont="1" applyBorder="1" applyAlignment="1">
      <alignment horizontal="center" vertical="center" wrapText="1"/>
    </xf>
    <xf numFmtId="0" fontId="20" fillId="0" borderId="235" xfId="0" applyNumberFormat="1" applyFont="1" applyBorder="1" applyAlignment="1">
      <alignment horizontal="center" vertical="center" wrapText="1"/>
    </xf>
    <xf numFmtId="0" fontId="19" fillId="0" borderId="230" xfId="0" applyFont="1" applyBorder="1" applyAlignment="1">
      <alignment horizontal="center" vertical="center"/>
    </xf>
    <xf numFmtId="0" fontId="19" fillId="0" borderId="193" xfId="0" applyFont="1" applyBorder="1" applyAlignment="1">
      <alignment horizontal="center" vertical="center"/>
    </xf>
    <xf numFmtId="0" fontId="19" fillId="0" borderId="234" xfId="0" applyFont="1" applyBorder="1" applyAlignment="1">
      <alignment horizontal="center" vertical="center"/>
    </xf>
    <xf numFmtId="0" fontId="19" fillId="0" borderId="162" xfId="0" applyFont="1" applyBorder="1" applyAlignment="1">
      <alignment horizontal="center" vertical="center"/>
    </xf>
    <xf numFmtId="181" fontId="18" fillId="0" borderId="128" xfId="0" applyNumberFormat="1" applyFont="1" applyBorder="1" applyAlignment="1">
      <alignment horizontal="center" vertical="center"/>
    </xf>
    <xf numFmtId="181" fontId="18" fillId="0" borderId="134" xfId="0" applyNumberFormat="1" applyFont="1" applyBorder="1" applyAlignment="1">
      <alignment horizontal="center" vertical="center"/>
    </xf>
    <xf numFmtId="181" fontId="0" fillId="0" borderId="129" xfId="0" applyNumberFormat="1" applyBorder="1"/>
    <xf numFmtId="181" fontId="18" fillId="0" borderId="131" xfId="0" applyNumberFormat="1" applyFont="1" applyBorder="1" applyAlignment="1">
      <alignment horizontal="center" vertical="center"/>
    </xf>
    <xf numFmtId="181" fontId="0" fillId="0" borderId="75" xfId="0" applyNumberFormat="1" applyBorder="1" applyAlignment="1">
      <alignment horizontal="center" vertical="center"/>
    </xf>
    <xf numFmtId="181" fontId="18" fillId="0" borderId="119" xfId="0" applyNumberFormat="1" applyFont="1" applyBorder="1" applyAlignment="1">
      <alignment horizontal="center" vertical="center"/>
    </xf>
    <xf numFmtId="181" fontId="0" fillId="0" borderId="75" xfId="0" applyNumberFormat="1" applyBorder="1" applyAlignment="1">
      <alignment horizontal="center"/>
    </xf>
    <xf numFmtId="181" fontId="0" fillId="0" borderId="205" xfId="0" applyNumberFormat="1" applyBorder="1" applyAlignment="1">
      <alignment horizontal="center"/>
    </xf>
    <xf numFmtId="0" fontId="0" fillId="15" borderId="131" xfId="0" applyFill="1" applyBorder="1" applyAlignment="1">
      <alignment horizontal="center" vertical="center" wrapText="1"/>
    </xf>
    <xf numFmtId="0" fontId="0" fillId="15" borderId="134" xfId="0" applyFill="1" applyBorder="1" applyAlignment="1">
      <alignment horizontal="center" vertical="center" wrapText="1"/>
    </xf>
    <xf numFmtId="0" fontId="0" fillId="15" borderId="120" xfId="0" applyFill="1" applyBorder="1" applyAlignment="1">
      <alignment horizontal="center" vertical="center" wrapText="1"/>
    </xf>
    <xf numFmtId="0" fontId="0" fillId="15" borderId="132" xfId="0" applyFill="1" applyBorder="1" applyAlignment="1">
      <alignment horizontal="center" vertical="center" wrapText="1"/>
    </xf>
    <xf numFmtId="0" fontId="0" fillId="15" borderId="112" xfId="0" applyFill="1" applyBorder="1" applyAlignment="1">
      <alignment horizontal="center" vertical="center" wrapText="1"/>
    </xf>
    <xf numFmtId="0" fontId="0" fillId="15" borderId="122" xfId="0" applyFill="1" applyBorder="1" applyAlignment="1">
      <alignment horizontal="center" vertical="center" wrapText="1"/>
    </xf>
    <xf numFmtId="0" fontId="0" fillId="15" borderId="224" xfId="0" applyFill="1" applyBorder="1" applyAlignment="1">
      <alignment horizontal="center" vertical="center"/>
    </xf>
    <xf numFmtId="0" fontId="0" fillId="15" borderId="93" xfId="0" applyFill="1" applyBorder="1" applyAlignment="1">
      <alignment horizontal="center" vertical="center"/>
    </xf>
    <xf numFmtId="0" fontId="0" fillId="15" borderId="225" xfId="0" applyFill="1" applyBorder="1" applyAlignment="1">
      <alignment horizontal="center" vertical="center"/>
    </xf>
    <xf numFmtId="0" fontId="0" fillId="15" borderId="94" xfId="0" applyFill="1" applyBorder="1" applyAlignment="1">
      <alignment horizontal="center" vertical="center"/>
    </xf>
    <xf numFmtId="0" fontId="0" fillId="15" borderId="233" xfId="0" applyFill="1" applyBorder="1" applyAlignment="1">
      <alignment horizontal="center" vertical="center"/>
    </xf>
    <xf numFmtId="0" fontId="0" fillId="15" borderId="133" xfId="0" applyFill="1" applyBorder="1" applyAlignment="1">
      <alignment horizontal="center" vertical="center"/>
    </xf>
    <xf numFmtId="0" fontId="0" fillId="15" borderId="91" xfId="0" applyFill="1" applyBorder="1" applyAlignment="1">
      <alignment horizontal="center" vertical="center"/>
    </xf>
    <xf numFmtId="0" fontId="0" fillId="15" borderId="139" xfId="0" applyFill="1" applyBorder="1" applyAlignment="1">
      <alignment horizontal="center" vertical="center"/>
    </xf>
    <xf numFmtId="0" fontId="0" fillId="15" borderId="97" xfId="0" applyFill="1" applyBorder="1" applyAlignment="1">
      <alignment horizontal="center" vertical="center" wrapText="1"/>
    </xf>
    <xf numFmtId="0" fontId="0" fillId="15" borderId="236" xfId="0" applyFill="1" applyBorder="1" applyAlignment="1">
      <alignment horizontal="center" vertical="center" wrapText="1"/>
    </xf>
    <xf numFmtId="0" fontId="0" fillId="15" borderId="98" xfId="0" applyFill="1" applyBorder="1" applyAlignment="1">
      <alignment horizontal="center" vertical="center" wrapText="1"/>
    </xf>
    <xf numFmtId="0" fontId="0" fillId="15" borderId="93" xfId="0" applyFill="1" applyBorder="1" applyAlignment="1">
      <alignment horizontal="center" vertical="center" wrapText="1"/>
    </xf>
    <xf numFmtId="0" fontId="0" fillId="15" borderId="92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 wrapText="1"/>
    </xf>
    <xf numFmtId="0" fontId="0" fillId="15" borderId="162" xfId="0" applyFill="1" applyBorder="1" applyAlignment="1">
      <alignment horizontal="center" vertical="center" wrapText="1"/>
    </xf>
    <xf numFmtId="0" fontId="0" fillId="15" borderId="99" xfId="0" applyFill="1" applyBorder="1" applyAlignment="1">
      <alignment horizontal="center"/>
    </xf>
    <xf numFmtId="0" fontId="0" fillId="15" borderId="89" xfId="0" applyFill="1" applyBorder="1" applyAlignment="1">
      <alignment horizontal="center" vertical="center" wrapText="1"/>
    </xf>
    <xf numFmtId="0" fontId="19" fillId="0" borderId="134" xfId="0" applyFont="1" applyBorder="1" applyAlignment="1">
      <alignment horizontal="center"/>
    </xf>
    <xf numFmtId="0" fontId="19" fillId="0" borderId="237" xfId="0" applyFont="1" applyBorder="1" applyAlignment="1">
      <alignment horizontal="center"/>
    </xf>
    <xf numFmtId="0" fontId="19" fillId="0" borderId="238" xfId="0" applyFont="1" applyBorder="1" applyAlignment="1">
      <alignment horizontal="center"/>
    </xf>
    <xf numFmtId="0" fontId="19" fillId="0" borderId="226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0" fillId="15" borderId="60" xfId="0" applyFill="1" applyBorder="1" applyAlignment="1">
      <alignment horizontal="center"/>
    </xf>
    <xf numFmtId="0" fontId="0" fillId="15" borderId="60" xfId="0" applyFill="1" applyBorder="1" applyAlignment="1">
      <alignment horizontal="center" wrapText="1"/>
    </xf>
    <xf numFmtId="0" fontId="0" fillId="15" borderId="60" xfId="0" applyFill="1" applyBorder="1"/>
    <xf numFmtId="0" fontId="0" fillId="15" borderId="58" xfId="0" applyFill="1" applyBorder="1"/>
    <xf numFmtId="0" fontId="0" fillId="15" borderId="57" xfId="0" applyFill="1" applyBorder="1"/>
    <xf numFmtId="9" fontId="16" fillId="0" borderId="45" xfId="16" applyBorder="1" applyAlignment="1">
      <alignment horizontal="center" vertical="center"/>
    </xf>
    <xf numFmtId="0" fontId="0" fillId="15" borderId="91" xfId="0" applyFill="1" applyBorder="1" applyAlignment="1">
      <alignment horizontal="center"/>
    </xf>
    <xf numFmtId="0" fontId="0" fillId="15" borderId="100" xfId="0" applyFill="1" applyBorder="1" applyAlignment="1">
      <alignment horizontal="center" vertical="center" wrapText="1"/>
    </xf>
    <xf numFmtId="0" fontId="0" fillId="15" borderId="88" xfId="0" applyFill="1" applyBorder="1" applyAlignment="1">
      <alignment horizontal="center" vertical="center" wrapText="1"/>
    </xf>
    <xf numFmtId="0" fontId="0" fillId="22" borderId="0" xfId="0" applyFill="1" applyAlignment="1">
      <alignment horizontal="center" vertical="center" wrapText="1"/>
    </xf>
    <xf numFmtId="0" fontId="0" fillId="15" borderId="73" xfId="0" applyFill="1" applyBorder="1" applyAlignment="1">
      <alignment horizontal="center"/>
    </xf>
    <xf numFmtId="0" fontId="0" fillId="15" borderId="53" xfId="0" applyFill="1" applyBorder="1"/>
    <xf numFmtId="0" fontId="0" fillId="15" borderId="239" xfId="0" applyFill="1" applyBorder="1" applyAlignment="1">
      <alignment horizontal="left"/>
    </xf>
    <xf numFmtId="0" fontId="0" fillId="15" borderId="240" xfId="0" applyFill="1" applyBorder="1" applyAlignment="1">
      <alignment horizontal="left"/>
    </xf>
    <xf numFmtId="4" fontId="0" fillId="0" borderId="218" xfId="0" applyNumberFormat="1" applyBorder="1" applyAlignment="1">
      <alignment horizontal="center"/>
    </xf>
    <xf numFmtId="0" fontId="0" fillId="15" borderId="242" xfId="0" applyFill="1" applyBorder="1" applyAlignment="1">
      <alignment horizontal="left"/>
    </xf>
    <xf numFmtId="0" fontId="0" fillId="15" borderId="243" xfId="0" applyFill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75" xfId="0" applyBorder="1" applyAlignment="1">
      <alignment horizontal="left"/>
    </xf>
    <xf numFmtId="180" fontId="16" fillId="0" borderId="241" xfId="13" applyNumberFormat="1" applyBorder="1" applyAlignment="1">
      <alignment horizontal="center"/>
    </xf>
    <xf numFmtId="180" fontId="19" fillId="0" borderId="244" xfId="0" applyNumberFormat="1" applyFont="1" applyBorder="1" applyAlignment="1">
      <alignment horizontal="center"/>
    </xf>
    <xf numFmtId="0" fontId="0" fillId="15" borderId="52" xfId="0" applyFill="1" applyBorder="1" applyAlignment="1">
      <alignment horizontal="center" vertical="center"/>
    </xf>
    <xf numFmtId="0" fontId="0" fillId="15" borderId="85" xfId="0" applyFill="1" applyBorder="1" applyAlignment="1">
      <alignment horizontal="center" vertical="center"/>
    </xf>
    <xf numFmtId="0" fontId="0" fillId="15" borderId="86" xfId="0" applyFill="1" applyBorder="1" applyAlignment="1">
      <alignment horizontal="center" vertical="center"/>
    </xf>
    <xf numFmtId="0" fontId="0" fillId="15" borderId="100" xfId="0" applyFill="1" applyBorder="1" applyAlignment="1">
      <alignment horizontal="center" vertical="center"/>
    </xf>
    <xf numFmtId="0" fontId="0" fillId="15" borderId="88" xfId="0" applyFill="1" applyBorder="1" applyAlignment="1">
      <alignment horizontal="center" vertical="center"/>
    </xf>
    <xf numFmtId="0" fontId="0" fillId="15" borderId="89" xfId="0" applyFill="1" applyBorder="1" applyAlignment="1">
      <alignment horizontal="center" vertical="center"/>
    </xf>
    <xf numFmtId="0" fontId="0" fillId="0" borderId="245" xfId="0" applyBorder="1" applyAlignment="1">
      <alignment horizontal="center" vertical="center"/>
    </xf>
    <xf numFmtId="9" fontId="22" fillId="0" borderId="109" xfId="0" applyNumberFormat="1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0" fillId="0" borderId="246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10" fontId="22" fillId="0" borderId="245" xfId="0" applyNumberFormat="1" applyFont="1" applyBorder="1" applyAlignment="1">
      <alignment horizontal="center" vertical="center"/>
    </xf>
    <xf numFmtId="10" fontId="22" fillId="0" borderId="73" xfId="0" applyNumberFormat="1" applyFont="1" applyBorder="1" applyAlignment="1">
      <alignment horizontal="center" vertical="center"/>
    </xf>
    <xf numFmtId="177" fontId="22" fillId="0" borderId="73" xfId="0" applyNumberFormat="1" applyFont="1" applyBorder="1" applyAlignment="1">
      <alignment horizontal="center" vertical="center"/>
    </xf>
    <xf numFmtId="9" fontId="22" fillId="0" borderId="73" xfId="0" applyNumberFormat="1" applyFont="1" applyBorder="1" applyAlignment="1">
      <alignment horizontal="center" vertical="center"/>
    </xf>
    <xf numFmtId="9" fontId="22" fillId="0" borderId="107" xfId="0" applyNumberFormat="1" applyFont="1" applyBorder="1" applyAlignment="1">
      <alignment horizontal="center" vertical="center"/>
    </xf>
    <xf numFmtId="172" fontId="0" fillId="0" borderId="247" xfId="0" applyNumberFormat="1" applyBorder="1" applyAlignment="1">
      <alignment horizontal="center"/>
    </xf>
    <xf numFmtId="9" fontId="22" fillId="0" borderId="129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248" xfId="0" applyBorder="1" applyAlignment="1">
      <alignment horizontal="center" vertical="center" wrapText="1"/>
    </xf>
    <xf numFmtId="0" fontId="22" fillId="0" borderId="11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7" fillId="0" borderId="0" xfId="0" applyFont="1" applyBorder="1" applyAlignment="1">
      <alignment horizontal="left"/>
    </xf>
    <xf numFmtId="0" fontId="0" fillId="0" borderId="105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15" borderId="63" xfId="0" applyFill="1" applyBorder="1"/>
    <xf numFmtId="0" fontId="0" fillId="15" borderId="249" xfId="0" applyFill="1" applyBorder="1" applyAlignment="1">
      <alignment horizontal="left"/>
    </xf>
    <xf numFmtId="0" fontId="0" fillId="15" borderId="249" xfId="0" applyFill="1" applyBorder="1" applyAlignment="1"/>
    <xf numFmtId="0" fontId="0" fillId="15" borderId="75" xfId="0" applyFill="1" applyBorder="1" applyAlignment="1"/>
    <xf numFmtId="0" fontId="0" fillId="0" borderId="119" xfId="0" applyFont="1" applyFill="1" applyBorder="1" applyAlignment="1">
      <alignment horizontal="center"/>
    </xf>
    <xf numFmtId="0" fontId="0" fillId="0" borderId="117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13" fillId="0" borderId="160" xfId="0" applyFont="1" applyBorder="1" applyAlignment="1">
      <alignment horizontal="center" vertical="center"/>
    </xf>
    <xf numFmtId="0" fontId="13" fillId="0" borderId="161" xfId="0" applyFont="1" applyBorder="1" applyAlignment="1">
      <alignment horizontal="center" vertical="center"/>
    </xf>
    <xf numFmtId="0" fontId="0" fillId="15" borderId="45" xfId="0" applyFont="1" applyFill="1" applyBorder="1" applyAlignment="1">
      <alignment horizontal="center"/>
    </xf>
    <xf numFmtId="0" fontId="0" fillId="15" borderId="45" xfId="0" applyFont="1" applyFill="1" applyBorder="1"/>
    <xf numFmtId="0" fontId="0" fillId="15" borderId="45" xfId="0" applyFont="1" applyFill="1" applyBorder="1" applyAlignment="1">
      <alignment horizontal="center" vertical="center"/>
    </xf>
    <xf numFmtId="0" fontId="0" fillId="15" borderId="45" xfId="0" applyFont="1" applyFill="1" applyBorder="1" applyAlignment="1">
      <alignment horizontal="center" vertical="center" wrapText="1"/>
    </xf>
    <xf numFmtId="166" fontId="16" fillId="0" borderId="45" xfId="13" applyBorder="1"/>
    <xf numFmtId="180" fontId="16" fillId="0" borderId="45" xfId="13" applyNumberFormat="1" applyBorder="1" applyAlignment="1">
      <alignment horizontal="center"/>
    </xf>
    <xf numFmtId="180" fontId="16" fillId="0" borderId="45" xfId="13" applyNumberFormat="1" applyBorder="1"/>
    <xf numFmtId="166" fontId="16" fillId="0" borderId="45" xfId="13" applyNumberFormat="1" applyBorder="1"/>
    <xf numFmtId="180" fontId="16" fillId="0" borderId="45" xfId="13" applyNumberFormat="1" applyBorder="1" applyAlignment="1">
      <alignment horizontal="center"/>
    </xf>
    <xf numFmtId="0" fontId="0" fillId="15" borderId="45" xfId="0" applyFont="1" applyFill="1" applyBorder="1" applyAlignment="1">
      <alignment horizontal="center"/>
    </xf>
    <xf numFmtId="0" fontId="0" fillId="15" borderId="105" xfId="0" applyFont="1" applyFill="1" applyBorder="1" applyAlignment="1">
      <alignment horizontal="center"/>
    </xf>
    <xf numFmtId="0" fontId="0" fillId="15" borderId="119" xfId="0" applyFont="1" applyFill="1" applyBorder="1" applyAlignment="1">
      <alignment horizontal="center"/>
    </xf>
    <xf numFmtId="177" fontId="0" fillId="0" borderId="0" xfId="16" applyNumberFormat="1" applyFont="1" applyAlignment="1">
      <alignment horizontal="center"/>
    </xf>
    <xf numFmtId="9" fontId="0" fillId="0" borderId="0" xfId="16" applyFont="1" applyAlignment="1">
      <alignment horizontal="center"/>
    </xf>
    <xf numFmtId="0" fontId="0" fillId="22" borderId="0" xfId="0" applyFont="1" applyFill="1" applyAlignment="1">
      <alignment horizontal="center" wrapText="1"/>
    </xf>
    <xf numFmtId="0" fontId="37" fillId="0" borderId="0" xfId="0" applyFont="1" applyAlignment="1">
      <alignment horizontal="center"/>
    </xf>
    <xf numFmtId="180" fontId="0" fillId="0" borderId="45" xfId="13" applyNumberFormat="1" applyFont="1" applyBorder="1"/>
    <xf numFmtId="180" fontId="0" fillId="0" borderId="45" xfId="13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22" fillId="15" borderId="52" xfId="0" applyFont="1" applyFill="1" applyBorder="1" applyAlignment="1">
      <alignment horizontal="center" vertical="center"/>
    </xf>
    <xf numFmtId="0" fontId="22" fillId="15" borderId="221" xfId="0" applyFont="1" applyFill="1" applyBorder="1" applyAlignment="1">
      <alignment horizontal="center" vertical="center" wrapText="1"/>
    </xf>
    <xf numFmtId="0" fontId="0" fillId="15" borderId="217" xfId="0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183" fontId="0" fillId="0" borderId="95" xfId="0" applyNumberFormat="1" applyBorder="1" applyAlignment="1">
      <alignment horizontal="center" vertical="center"/>
    </xf>
    <xf numFmtId="182" fontId="0" fillId="0" borderId="89" xfId="0" applyNumberFormat="1" applyBorder="1" applyAlignment="1">
      <alignment horizontal="center" vertical="center"/>
    </xf>
    <xf numFmtId="9" fontId="0" fillId="0" borderId="89" xfId="0" applyNumberFormat="1" applyBorder="1" applyAlignment="1">
      <alignment horizontal="center" vertical="center"/>
    </xf>
    <xf numFmtId="183" fontId="0" fillId="0" borderId="90" xfId="0" applyNumberFormat="1" applyBorder="1" applyAlignment="1">
      <alignment horizontal="center" vertical="center"/>
    </xf>
    <xf numFmtId="0" fontId="0" fillId="15" borderId="75" xfId="0" applyFill="1" applyBorder="1" applyAlignment="1">
      <alignment horizontal="center" vertical="center"/>
    </xf>
    <xf numFmtId="0" fontId="0" fillId="15" borderId="96" xfId="0" applyFill="1" applyBorder="1" applyAlignment="1">
      <alignment horizontal="center" vertical="center"/>
    </xf>
    <xf numFmtId="0" fontId="0" fillId="15" borderId="205" xfId="0" applyFill="1" applyBorder="1" applyAlignment="1">
      <alignment horizontal="center" vertical="center"/>
    </xf>
    <xf numFmtId="0" fontId="0" fillId="15" borderId="86" xfId="0" applyFill="1" applyBorder="1" applyAlignment="1">
      <alignment horizontal="center" vertical="center"/>
    </xf>
    <xf numFmtId="0" fontId="0" fillId="15" borderId="87" xfId="0" applyFill="1" applyBorder="1" applyAlignment="1">
      <alignment horizontal="center" vertical="center"/>
    </xf>
    <xf numFmtId="183" fontId="19" fillId="0" borderId="45" xfId="0" applyNumberFormat="1" applyFont="1" applyBorder="1"/>
    <xf numFmtId="0" fontId="0" fillId="15" borderId="124" xfId="0" applyFill="1" applyBorder="1" applyAlignment="1">
      <alignment horizontal="left"/>
    </xf>
    <xf numFmtId="0" fontId="0" fillId="0" borderId="124" xfId="0" applyBorder="1" applyAlignment="1">
      <alignment horizontal="center"/>
    </xf>
    <xf numFmtId="0" fontId="35" fillId="0" borderId="0" xfId="0" applyFont="1" applyFill="1" applyAlignment="1">
      <alignment horizontal="center" vertical="center" wrapText="1"/>
    </xf>
    <xf numFmtId="180" fontId="16" fillId="0" borderId="45" xfId="13" applyNumberFormat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 wrapText="1"/>
    </xf>
    <xf numFmtId="0" fontId="0" fillId="15" borderId="105" xfId="0" applyFill="1" applyBorder="1" applyAlignment="1">
      <alignment horizontal="center" vertical="center"/>
    </xf>
    <xf numFmtId="0" fontId="0" fillId="15" borderId="119" xfId="0" applyFill="1" applyBorder="1" applyAlignment="1">
      <alignment horizontal="center" vertical="center"/>
    </xf>
    <xf numFmtId="180" fontId="0" fillId="0" borderId="45" xfId="0" applyNumberFormat="1" applyBorder="1" applyAlignment="1">
      <alignment horizontal="center" vertical="center"/>
    </xf>
    <xf numFmtId="180" fontId="0" fillId="0" borderId="45" xfId="0" applyNumberFormat="1" applyBorder="1" applyAlignment="1">
      <alignment horizontal="center"/>
    </xf>
    <xf numFmtId="177" fontId="16" fillId="0" borderId="0" xfId="16" applyNumberFormat="1" applyAlignment="1">
      <alignment horizontal="center"/>
    </xf>
    <xf numFmtId="9" fontId="16" fillId="0" borderId="0" xfId="16" applyAlignment="1">
      <alignment horizontal="center"/>
    </xf>
    <xf numFmtId="182" fontId="0" fillId="15" borderId="45" xfId="0" applyNumberFormat="1" applyFill="1" applyBorder="1" applyAlignment="1">
      <alignment horizontal="center" vertical="center"/>
    </xf>
    <xf numFmtId="0" fontId="0" fillId="15" borderId="105" xfId="0" applyFill="1" applyBorder="1" applyAlignment="1">
      <alignment horizontal="left"/>
    </xf>
    <xf numFmtId="0" fontId="0" fillId="15" borderId="45" xfId="0" applyFill="1" applyBorder="1" applyAlignment="1">
      <alignment horizontal="left"/>
    </xf>
    <xf numFmtId="0" fontId="0" fillId="15" borderId="117" xfId="0" applyFill="1" applyBorder="1" applyAlignment="1">
      <alignment horizontal="left"/>
    </xf>
    <xf numFmtId="0" fontId="0" fillId="15" borderId="118" xfId="0" applyFill="1" applyBorder="1" applyAlignment="1">
      <alignment horizontal="left"/>
    </xf>
    <xf numFmtId="180" fontId="16" fillId="0" borderId="45" xfId="13" applyNumberFormat="1" applyFill="1" applyBorder="1" applyAlignment="1">
      <alignment horizontal="center" vertical="center" wrapText="1"/>
    </xf>
    <xf numFmtId="180" fontId="19" fillId="0" borderId="45" xfId="0" applyNumberFormat="1" applyFont="1" applyBorder="1"/>
    <xf numFmtId="0" fontId="0" fillId="0" borderId="208" xfId="0" applyBorder="1"/>
    <xf numFmtId="10" fontId="0" fillId="0" borderId="45" xfId="0" applyNumberFormat="1" applyBorder="1"/>
    <xf numFmtId="0" fontId="0" fillId="15" borderId="45" xfId="0" applyFont="1" applyFill="1" applyBorder="1" applyAlignment="1">
      <alignment horizontal="left"/>
    </xf>
    <xf numFmtId="0" fontId="0" fillId="15" borderId="135" xfId="0" applyFill="1" applyBorder="1" applyAlignment="1">
      <alignment horizontal="center"/>
    </xf>
    <xf numFmtId="174" fontId="19" fillId="0" borderId="45" xfId="0" applyNumberFormat="1" applyFont="1" applyBorder="1"/>
    <xf numFmtId="0" fontId="0" fillId="15" borderId="45" xfId="0" applyFill="1" applyBorder="1" applyAlignment="1">
      <alignment horizontal="center" vertical="center"/>
    </xf>
    <xf numFmtId="180" fontId="20" fillId="0" borderId="45" xfId="0" applyNumberFormat="1" applyFont="1" applyBorder="1" applyAlignment="1">
      <alignment horizontal="center" vertical="center"/>
    </xf>
    <xf numFmtId="180" fontId="19" fillId="0" borderId="45" xfId="0" applyNumberFormat="1" applyFont="1" applyBorder="1" applyAlignment="1">
      <alignment horizontal="center" vertical="center"/>
    </xf>
    <xf numFmtId="0" fontId="0" fillId="0" borderId="250" xfId="0" applyBorder="1" applyAlignment="1">
      <alignment horizontal="right" vertical="center"/>
    </xf>
    <xf numFmtId="0" fontId="0" fillId="0" borderId="135" xfId="0" applyBorder="1" applyAlignment="1">
      <alignment horizontal="right" vertical="center"/>
    </xf>
    <xf numFmtId="0" fontId="22" fillId="22" borderId="0" xfId="0" applyFont="1" applyFill="1" applyAlignment="1">
      <alignment horizontal="center" wrapText="1"/>
    </xf>
    <xf numFmtId="0" fontId="0" fillId="0" borderId="251" xfId="0" applyBorder="1" applyAlignment="1">
      <alignment horizontal="right"/>
    </xf>
    <xf numFmtId="0" fontId="0" fillId="0" borderId="113" xfId="0" applyBorder="1" applyAlignment="1">
      <alignment horizontal="right"/>
    </xf>
    <xf numFmtId="0" fontId="0" fillId="0" borderId="6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17" xfId="0" applyBorder="1" applyAlignment="1">
      <alignment horizontal="center"/>
    </xf>
    <xf numFmtId="0" fontId="0" fillId="15" borderId="128" xfId="0" applyFill="1" applyBorder="1" applyAlignment="1">
      <alignment horizontal="center"/>
    </xf>
    <xf numFmtId="0" fontId="0" fillId="0" borderId="228" xfId="0" applyBorder="1" applyAlignment="1">
      <alignment horizontal="center"/>
    </xf>
    <xf numFmtId="0" fontId="0" fillId="15" borderId="137" xfId="0" applyFill="1" applyBorder="1" applyAlignment="1">
      <alignment horizontal="center"/>
    </xf>
    <xf numFmtId="0" fontId="0" fillId="15" borderId="110" xfId="0" applyFill="1" applyBorder="1" applyAlignment="1">
      <alignment horizontal="center"/>
    </xf>
    <xf numFmtId="10" fontId="0" fillId="0" borderId="0" xfId="0" applyNumberFormat="1" applyAlignment="1">
      <alignment horizontal="center"/>
    </xf>
    <xf numFmtId="180" fontId="20" fillId="0" borderId="129" xfId="0" applyNumberFormat="1" applyFont="1" applyBorder="1"/>
    <xf numFmtId="180" fontId="20" fillId="0" borderId="109" xfId="0" applyNumberFormat="1" applyFont="1" applyBorder="1"/>
    <xf numFmtId="180" fontId="0" fillId="0" borderId="109" xfId="0" applyNumberFormat="1" applyBorder="1"/>
    <xf numFmtId="180" fontId="19" fillId="0" borderId="111" xfId="0" applyNumberFormat="1" applyFont="1" applyBorder="1"/>
    <xf numFmtId="168" fontId="0" fillId="0" borderId="45" xfId="0" applyNumberFormat="1" applyBorder="1"/>
    <xf numFmtId="0" fontId="28" fillId="0" borderId="0" xfId="0" applyFont="1" applyFill="1"/>
    <xf numFmtId="0" fontId="28" fillId="0" borderId="45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 wrapText="1"/>
    </xf>
    <xf numFmtId="9" fontId="28" fillId="0" borderId="45" xfId="0" applyNumberFormat="1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/>
    </xf>
    <xf numFmtId="0" fontId="0" fillId="0" borderId="45" xfId="0" applyFill="1" applyBorder="1"/>
    <xf numFmtId="0" fontId="29" fillId="0" borderId="0" xfId="0" applyFont="1" applyFill="1"/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0" borderId="104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vertical="center" wrapText="1"/>
    </xf>
    <xf numFmtId="9" fontId="28" fillId="0" borderId="0" xfId="0" applyNumberFormat="1" applyFont="1" applyFill="1" applyBorder="1"/>
    <xf numFmtId="0" fontId="28" fillId="0" borderId="113" xfId="0" applyFont="1" applyFill="1" applyBorder="1" applyAlignment="1">
      <alignment vertical="center"/>
    </xf>
    <xf numFmtId="0" fontId="28" fillId="0" borderId="46" xfId="0" applyFont="1" applyFill="1" applyBorder="1"/>
    <xf numFmtId="0" fontId="28" fillId="15" borderId="45" xfId="0" applyFont="1" applyFill="1" applyBorder="1" applyAlignment="1">
      <alignment horizontal="left"/>
    </xf>
    <xf numFmtId="0" fontId="28" fillId="15" borderId="45" xfId="0" applyFont="1" applyFill="1" applyBorder="1" applyAlignment="1">
      <alignment horizontal="left"/>
    </xf>
    <xf numFmtId="0" fontId="28" fillId="15" borderId="45" xfId="0" applyFont="1" applyFill="1" applyBorder="1" applyAlignment="1">
      <alignment horizontal="center" vertical="center" wrapText="1"/>
    </xf>
    <xf numFmtId="0" fontId="28" fillId="15" borderId="45" xfId="0" applyFont="1" applyFill="1" applyBorder="1" applyAlignment="1">
      <alignment horizontal="center" vertical="center"/>
    </xf>
    <xf numFmtId="9" fontId="28" fillId="0" borderId="45" xfId="0" applyNumberFormat="1" applyFont="1" applyFill="1" applyBorder="1" applyAlignment="1">
      <alignment horizontal="center"/>
    </xf>
    <xf numFmtId="0" fontId="0" fillId="15" borderId="45" xfId="0" applyFill="1" applyBorder="1" applyAlignment="1">
      <alignment horizontal="center" vertical="center" wrapText="1"/>
    </xf>
    <xf numFmtId="3" fontId="0" fillId="15" borderId="45" xfId="0" applyNumberForma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9" fillId="0" borderId="105" xfId="0" applyFont="1" applyFill="1" applyBorder="1" applyAlignment="1">
      <alignment horizontal="center"/>
    </xf>
    <xf numFmtId="0" fontId="29" fillId="0" borderId="135" xfId="0" applyFont="1" applyFill="1" applyBorder="1" applyAlignment="1">
      <alignment horizontal="center"/>
    </xf>
    <xf numFmtId="0" fontId="29" fillId="0" borderId="119" xfId="0" applyFont="1" applyFill="1" applyBorder="1" applyAlignment="1">
      <alignment horizontal="center"/>
    </xf>
    <xf numFmtId="0" fontId="28" fillId="15" borderId="45" xfId="0" applyFont="1" applyFill="1" applyBorder="1" applyAlignment="1">
      <alignment horizontal="center"/>
    </xf>
    <xf numFmtId="0" fontId="28" fillId="15" borderId="45" xfId="0" applyFont="1" applyFill="1" applyBorder="1" applyAlignment="1">
      <alignment horizontal="center"/>
    </xf>
    <xf numFmtId="0" fontId="28" fillId="15" borderId="105" xfId="0" applyFont="1" applyFill="1" applyBorder="1" applyAlignment="1">
      <alignment horizontal="center"/>
    </xf>
    <xf numFmtId="0" fontId="28" fillId="15" borderId="119" xfId="0" applyFont="1" applyFill="1" applyBorder="1" applyAlignment="1">
      <alignment horizontal="center"/>
    </xf>
    <xf numFmtId="9" fontId="16" fillId="0" borderId="45" xfId="16" applyFill="1" applyBorder="1" applyAlignment="1">
      <alignment horizontal="center" vertical="center"/>
    </xf>
    <xf numFmtId="9" fontId="16" fillId="0" borderId="127" xfId="16" applyFill="1" applyBorder="1" applyAlignment="1">
      <alignment horizontal="center" vertical="center"/>
    </xf>
    <xf numFmtId="9" fontId="16" fillId="0" borderId="124" xfId="16" applyFill="1" applyBorder="1" applyAlignment="1">
      <alignment horizontal="center" vertical="center"/>
    </xf>
    <xf numFmtId="0" fontId="28" fillId="15" borderId="45" xfId="0" applyFont="1" applyFill="1" applyBorder="1"/>
    <xf numFmtId="0" fontId="28" fillId="0" borderId="45" xfId="0" applyFont="1" applyFill="1" applyBorder="1" applyAlignment="1">
      <alignment horizontal="center" vertical="center"/>
    </xf>
    <xf numFmtId="0" fontId="29" fillId="0" borderId="117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8" fillId="15" borderId="45" xfId="0" applyFont="1" applyFill="1" applyBorder="1" applyAlignment="1">
      <alignment horizontal="center" vertical="center"/>
    </xf>
    <xf numFmtId="0" fontId="28" fillId="15" borderId="45" xfId="0" applyFont="1" applyFill="1" applyBorder="1" applyAlignment="1">
      <alignment horizontal="center" vertical="center" wrapText="1"/>
    </xf>
    <xf numFmtId="166" fontId="28" fillId="0" borderId="0" xfId="0" applyNumberFormat="1" applyFont="1" applyFill="1" applyBorder="1"/>
    <xf numFmtId="0" fontId="28" fillId="15" borderId="124" xfId="0" applyFont="1" applyFill="1" applyBorder="1"/>
    <xf numFmtId="175" fontId="28" fillId="0" borderId="45" xfId="0" applyNumberFormat="1" applyFont="1" applyFill="1" applyBorder="1" applyAlignment="1">
      <alignment horizontal="center" vertical="center" wrapText="1"/>
    </xf>
    <xf numFmtId="175" fontId="28" fillId="0" borderId="45" xfId="0" applyNumberFormat="1" applyFont="1" applyFill="1" applyBorder="1" applyAlignment="1">
      <alignment horizontal="center" vertical="center"/>
    </xf>
    <xf numFmtId="180" fontId="28" fillId="0" borderId="45" xfId="0" applyNumberFormat="1" applyFont="1" applyFill="1" applyBorder="1" applyAlignment="1">
      <alignment horizontal="center" vertical="center"/>
    </xf>
    <xf numFmtId="180" fontId="28" fillId="0" borderId="45" xfId="0" applyNumberFormat="1" applyFont="1" applyFill="1" applyBorder="1"/>
    <xf numFmtId="180" fontId="29" fillId="0" borderId="45" xfId="0" applyNumberFormat="1" applyFont="1" applyFill="1" applyBorder="1" applyAlignment="1">
      <alignment horizontal="center" vertical="center"/>
    </xf>
    <xf numFmtId="180" fontId="28" fillId="0" borderId="105" xfId="0" applyNumberFormat="1" applyFont="1" applyFill="1" applyBorder="1" applyAlignment="1">
      <alignment horizontal="center"/>
    </xf>
    <xf numFmtId="180" fontId="28" fillId="0" borderId="119" xfId="0" applyNumberFormat="1" applyFont="1" applyFill="1" applyBorder="1" applyAlignment="1">
      <alignment horizontal="center"/>
    </xf>
    <xf numFmtId="180" fontId="0" fillId="0" borderId="45" xfId="0" applyNumberFormat="1" applyFont="1" applyBorder="1"/>
    <xf numFmtId="0" fontId="0" fillId="0" borderId="0" xfId="0" applyFont="1" applyFill="1" applyBorder="1" applyAlignment="1">
      <alignment horizontal="center" vertical="center" wrapText="1"/>
    </xf>
    <xf numFmtId="180" fontId="0" fillId="0" borderId="45" xfId="0" applyNumberFormat="1" applyFill="1" applyBorder="1" applyAlignment="1">
      <alignment horizontal="center" vertical="center"/>
    </xf>
    <xf numFmtId="180" fontId="30" fillId="0" borderId="45" xfId="0" applyNumberFormat="1" applyFont="1" applyFill="1" applyBorder="1" applyAlignment="1">
      <alignment horizontal="center" vertical="center"/>
    </xf>
    <xf numFmtId="175" fontId="30" fillId="0" borderId="45" xfId="0" applyNumberFormat="1" applyFont="1" applyFill="1" applyBorder="1" applyAlignment="1">
      <alignment horizontal="center" vertical="center"/>
    </xf>
    <xf numFmtId="0" fontId="0" fillId="0" borderId="11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169" fontId="16" fillId="0" borderId="45" xfId="12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6" fillId="0" borderId="0" xfId="16" applyFill="1" applyBorder="1" applyAlignment="1">
      <alignment horizontal="center" vertical="center"/>
    </xf>
    <xf numFmtId="164" fontId="0" fillId="0" borderId="45" xfId="0" applyNumberForma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0" fillId="0" borderId="45" xfId="0" applyFont="1" applyFill="1" applyBorder="1"/>
    <xf numFmtId="0" fontId="13" fillId="0" borderId="45" xfId="0" applyFont="1" applyFill="1" applyBorder="1"/>
    <xf numFmtId="0" fontId="13" fillId="15" borderId="45" xfId="0" applyFont="1" applyFill="1" applyBorder="1" applyAlignment="1">
      <alignment horizontal="center"/>
    </xf>
    <xf numFmtId="0" fontId="13" fillId="15" borderId="45" xfId="0" applyFont="1" applyFill="1" applyBorder="1"/>
    <xf numFmtId="0" fontId="13" fillId="19" borderId="3" xfId="0" applyFont="1" applyFill="1" applyBorder="1" applyAlignment="1">
      <alignment horizontal="center"/>
    </xf>
    <xf numFmtId="9" fontId="24" fillId="0" borderId="45" xfId="16" applyNumberFormat="1" applyFont="1" applyFill="1" applyBorder="1" applyAlignment="1" applyProtection="1">
      <alignment horizontal="center"/>
      <protection locked="0"/>
    </xf>
    <xf numFmtId="180" fontId="24" fillId="0" borderId="45" xfId="0" applyNumberFormat="1" applyFont="1" applyFill="1" applyBorder="1" applyAlignment="1"/>
    <xf numFmtId="0" fontId="13" fillId="0" borderId="136" xfId="0" applyFont="1" applyFill="1" applyBorder="1" applyAlignment="1">
      <alignment horizontal="center"/>
    </xf>
    <xf numFmtId="0" fontId="13" fillId="0" borderId="128" xfId="0" applyFont="1" applyFill="1" applyBorder="1" applyAlignment="1">
      <alignment horizontal="center"/>
    </xf>
    <xf numFmtId="0" fontId="13" fillId="0" borderId="129" xfId="0" applyFont="1" applyFill="1" applyBorder="1" applyAlignment="1">
      <alignment horizontal="center"/>
    </xf>
    <xf numFmtId="0" fontId="13" fillId="0" borderId="130" xfId="0" applyFont="1" applyFill="1" applyBorder="1" applyAlignment="1">
      <alignment horizontal="center"/>
    </xf>
    <xf numFmtId="0" fontId="13" fillId="15" borderId="109" xfId="0" applyFont="1" applyFill="1" applyBorder="1" applyAlignment="1">
      <alignment horizontal="center"/>
    </xf>
    <xf numFmtId="0" fontId="13" fillId="15" borderId="130" xfId="0" applyFont="1" applyFill="1" applyBorder="1" applyAlignment="1">
      <alignment horizontal="center"/>
    </xf>
    <xf numFmtId="0" fontId="0" fillId="15" borderId="109" xfId="0" applyFont="1" applyFill="1" applyBorder="1" applyAlignment="1">
      <alignment horizontal="center"/>
    </xf>
    <xf numFmtId="0" fontId="0" fillId="15" borderId="130" xfId="0" applyFont="1" applyFill="1" applyBorder="1"/>
    <xf numFmtId="0" fontId="0" fillId="15" borderId="130" xfId="0" applyFont="1" applyFill="1" applyBorder="1" applyAlignment="1"/>
    <xf numFmtId="180" fontId="24" fillId="0" borderId="109" xfId="0" applyNumberFormat="1" applyFont="1" applyFill="1" applyBorder="1" applyAlignment="1"/>
    <xf numFmtId="0" fontId="13" fillId="15" borderId="137" xfId="0" applyFont="1" applyFill="1" applyBorder="1"/>
    <xf numFmtId="180" fontId="26" fillId="11" borderId="110" xfId="0" applyNumberFormat="1" applyFont="1" applyFill="1" applyBorder="1" applyAlignment="1" applyProtection="1">
      <alignment horizontal="center"/>
      <protection locked="0"/>
    </xf>
    <xf numFmtId="180" fontId="26" fillId="11" borderId="111" xfId="0" applyNumberFormat="1" applyFont="1" applyFill="1" applyBorder="1" applyAlignment="1" applyProtection="1">
      <alignment horizontal="center"/>
      <protection locked="0"/>
    </xf>
    <xf numFmtId="0" fontId="14" fillId="0" borderId="157" xfId="0" applyFont="1" applyFill="1" applyBorder="1" applyAlignment="1">
      <alignment horizontal="center"/>
    </xf>
    <xf numFmtId="0" fontId="14" fillId="0" borderId="237" xfId="0" applyFont="1" applyFill="1" applyBorder="1" applyAlignment="1">
      <alignment horizontal="center"/>
    </xf>
    <xf numFmtId="0" fontId="14" fillId="0" borderId="238" xfId="0" applyFont="1" applyFill="1" applyBorder="1" applyAlignment="1">
      <alignment horizontal="center"/>
    </xf>
    <xf numFmtId="0" fontId="13" fillId="0" borderId="130" xfId="0" applyFont="1" applyFill="1" applyBorder="1" applyAlignment="1">
      <alignment horizontal="center"/>
    </xf>
    <xf numFmtId="0" fontId="13" fillId="0" borderId="109" xfId="0" applyFont="1" applyFill="1" applyBorder="1" applyAlignment="1">
      <alignment horizontal="center"/>
    </xf>
    <xf numFmtId="0" fontId="13" fillId="15" borderId="130" xfId="0" applyFont="1" applyFill="1" applyBorder="1"/>
    <xf numFmtId="0" fontId="0" fillId="0" borderId="130" xfId="0" applyFill="1" applyBorder="1" applyAlignment="1"/>
    <xf numFmtId="9" fontId="24" fillId="0" borderId="109" xfId="16" applyNumberFormat="1" applyFont="1" applyFill="1" applyBorder="1" applyAlignment="1" applyProtection="1">
      <alignment horizontal="center"/>
      <protection locked="0"/>
    </xf>
    <xf numFmtId="0" fontId="0" fillId="0" borderId="47" xfId="0" applyFill="1" applyBorder="1"/>
    <xf numFmtId="9" fontId="0" fillId="0" borderId="48" xfId="0" applyNumberFormat="1" applyFill="1" applyBorder="1"/>
    <xf numFmtId="9" fontId="0" fillId="0" borderId="162" xfId="0" applyNumberFormat="1" applyFill="1" applyBorder="1"/>
    <xf numFmtId="180" fontId="25" fillId="11" borderId="45" xfId="0" applyNumberFormat="1" applyFont="1" applyFill="1" applyBorder="1" applyAlignment="1" applyProtection="1">
      <alignment horizontal="center" vertical="center"/>
      <protection locked="0"/>
    </xf>
    <xf numFmtId="180" fontId="24" fillId="0" borderId="45" xfId="13" applyNumberFormat="1" applyFont="1" applyFill="1" applyBorder="1" applyAlignment="1" applyProtection="1">
      <alignment horizontal="center" vertical="center"/>
      <protection locked="0"/>
    </xf>
    <xf numFmtId="166" fontId="24" fillId="0" borderId="45" xfId="13" applyFont="1" applyFill="1" applyBorder="1" applyAlignment="1" applyProtection="1">
      <alignment horizontal="center" vertical="center"/>
      <protection locked="0"/>
    </xf>
    <xf numFmtId="9" fontId="24" fillId="0" borderId="45" xfId="16" applyNumberFormat="1" applyFont="1" applyFill="1" applyBorder="1" applyAlignment="1" applyProtection="1">
      <alignment horizontal="center" vertical="center"/>
      <protection locked="0"/>
    </xf>
    <xf numFmtId="0" fontId="13" fillId="0" borderId="136" xfId="0" applyFont="1" applyFill="1" applyBorder="1"/>
    <xf numFmtId="168" fontId="13" fillId="0" borderId="128" xfId="0" applyNumberFormat="1" applyFont="1" applyFill="1" applyBorder="1" applyAlignment="1">
      <alignment horizontal="center"/>
    </xf>
    <xf numFmtId="168" fontId="13" fillId="0" borderId="129" xfId="0" applyNumberFormat="1" applyFont="1" applyFill="1" applyBorder="1" applyAlignment="1">
      <alignment horizontal="center"/>
    </xf>
    <xf numFmtId="180" fontId="25" fillId="11" borderId="109" xfId="0" applyNumberFormat="1" applyFont="1" applyFill="1" applyBorder="1" applyAlignment="1" applyProtection="1">
      <alignment horizontal="center" vertical="center"/>
      <protection locked="0"/>
    </xf>
    <xf numFmtId="180" fontId="24" fillId="0" borderId="109" xfId="13" applyNumberFormat="1" applyFont="1" applyFill="1" applyBorder="1" applyAlignment="1" applyProtection="1">
      <alignment vertical="center"/>
      <protection locked="0"/>
    </xf>
    <xf numFmtId="0" fontId="13" fillId="0" borderId="130" xfId="0" applyFont="1" applyFill="1" applyBorder="1"/>
    <xf numFmtId="166" fontId="24" fillId="0" borderId="109" xfId="13" applyFont="1" applyFill="1" applyBorder="1" applyAlignment="1" applyProtection="1">
      <alignment horizontal="center" vertical="center"/>
      <protection locked="0"/>
    </xf>
    <xf numFmtId="9" fontId="24" fillId="0" borderId="109" xfId="16" applyNumberFormat="1" applyFont="1" applyFill="1" applyBorder="1" applyAlignment="1" applyProtection="1">
      <alignment horizontal="center" vertical="center"/>
      <protection locked="0"/>
    </xf>
    <xf numFmtId="9" fontId="24" fillId="0" borderId="110" xfId="16" applyNumberFormat="1" applyFont="1" applyFill="1" applyBorder="1" applyAlignment="1" applyProtection="1">
      <alignment horizontal="center" vertical="center"/>
      <protection locked="0"/>
    </xf>
    <xf numFmtId="9" fontId="24" fillId="0" borderId="111" xfId="16" applyNumberFormat="1" applyFont="1" applyFill="1" applyBorder="1" applyAlignment="1" applyProtection="1">
      <alignment horizontal="center" vertical="center"/>
      <protection locked="0"/>
    </xf>
    <xf numFmtId="166" fontId="28" fillId="11" borderId="45" xfId="0" applyNumberFormat="1" applyFont="1" applyFill="1" applyBorder="1" applyAlignment="1" applyProtection="1">
      <alignment horizontal="center"/>
      <protection locked="0"/>
    </xf>
    <xf numFmtId="167" fontId="28" fillId="11" borderId="45" xfId="0" applyNumberFormat="1" applyFont="1" applyFill="1" applyBorder="1" applyAlignment="1">
      <alignment horizontal="center"/>
    </xf>
    <xf numFmtId="166" fontId="29" fillId="11" borderId="45" xfId="0" applyNumberFormat="1" applyFont="1" applyFill="1" applyBorder="1" applyAlignment="1" applyProtection="1">
      <alignment horizontal="center"/>
      <protection locked="0"/>
    </xf>
    <xf numFmtId="166" fontId="0" fillId="0" borderId="45" xfId="13" applyFont="1" applyFill="1" applyBorder="1" applyAlignment="1" applyProtection="1">
      <alignment horizontal="center"/>
    </xf>
    <xf numFmtId="9" fontId="16" fillId="0" borderId="45" xfId="16" applyFill="1" applyBorder="1" applyAlignment="1" applyProtection="1">
      <alignment horizontal="center"/>
      <protection locked="0"/>
    </xf>
    <xf numFmtId="0" fontId="13" fillId="0" borderId="136" xfId="0" applyFont="1" applyFill="1" applyBorder="1" applyAlignment="1">
      <alignment horizontal="center"/>
    </xf>
    <xf numFmtId="0" fontId="13" fillId="0" borderId="128" xfId="0" applyFont="1" applyFill="1" applyBorder="1" applyAlignment="1">
      <alignment horizontal="center"/>
    </xf>
    <xf numFmtId="0" fontId="13" fillId="0" borderId="129" xfId="0" applyFont="1" applyFill="1" applyBorder="1" applyAlignment="1">
      <alignment horizontal="center"/>
    </xf>
    <xf numFmtId="166" fontId="28" fillId="11" borderId="109" xfId="0" applyNumberFormat="1" applyFont="1" applyFill="1" applyBorder="1" applyProtection="1">
      <protection locked="0"/>
    </xf>
    <xf numFmtId="166" fontId="28" fillId="11" borderId="109" xfId="0" applyNumberFormat="1" applyFont="1" applyFill="1" applyBorder="1" applyAlignment="1" applyProtection="1">
      <alignment horizontal="center"/>
      <protection locked="0"/>
    </xf>
    <xf numFmtId="0" fontId="0" fillId="0" borderId="130" xfId="0" applyFont="1" applyFill="1" applyBorder="1"/>
    <xf numFmtId="167" fontId="28" fillId="11" borderId="109" xfId="0" applyNumberFormat="1" applyFont="1" applyFill="1" applyBorder="1"/>
    <xf numFmtId="166" fontId="29" fillId="11" borderId="109" xfId="0" applyNumberFormat="1" applyFont="1" applyFill="1" applyBorder="1" applyAlignment="1" applyProtection="1">
      <alignment horizontal="center"/>
      <protection locked="0"/>
    </xf>
    <xf numFmtId="166" fontId="0" fillId="0" borderId="109" xfId="13" applyFont="1" applyFill="1" applyBorder="1" applyAlignment="1" applyProtection="1">
      <alignment horizontal="center"/>
    </xf>
    <xf numFmtId="9" fontId="16" fillId="0" borderId="109" xfId="16" applyFill="1" applyBorder="1" applyAlignment="1" applyProtection="1">
      <alignment horizontal="center"/>
      <protection locked="0"/>
    </xf>
    <xf numFmtId="9" fontId="16" fillId="0" borderId="110" xfId="16" applyFill="1" applyBorder="1" applyAlignment="1" applyProtection="1">
      <alignment horizontal="center"/>
      <protection locked="0"/>
    </xf>
    <xf numFmtId="9" fontId="16" fillId="0" borderId="111" xfId="16" applyFill="1" applyBorder="1" applyAlignment="1" applyProtection="1">
      <alignment horizontal="center"/>
      <protection locked="0"/>
    </xf>
    <xf numFmtId="166" fontId="28" fillId="11" borderId="0" xfId="0" applyNumberFormat="1" applyFont="1" applyFill="1" applyBorder="1" applyAlignment="1" applyProtection="1">
      <alignment horizontal="center"/>
      <protection locked="0"/>
    </xf>
    <xf numFmtId="166" fontId="28" fillId="11" borderId="45" xfId="0" applyNumberFormat="1" applyFont="1" applyFill="1" applyBorder="1" applyAlignment="1">
      <alignment horizontal="center"/>
    </xf>
    <xf numFmtId="9" fontId="0" fillId="0" borderId="45" xfId="16" applyFont="1" applyFill="1" applyBorder="1" applyAlignment="1" applyProtection="1">
      <alignment horizontal="center"/>
      <protection locked="0"/>
    </xf>
    <xf numFmtId="166" fontId="28" fillId="11" borderId="109" xfId="0" applyNumberFormat="1" applyFont="1" applyFill="1" applyBorder="1" applyAlignment="1">
      <alignment horizontal="center"/>
    </xf>
    <xf numFmtId="9" fontId="0" fillId="0" borderId="109" xfId="16" applyFont="1" applyFill="1" applyBorder="1" applyAlignment="1" applyProtection="1">
      <alignment horizontal="center"/>
      <protection locked="0"/>
    </xf>
    <xf numFmtId="9" fontId="0" fillId="0" borderId="110" xfId="16" applyFont="1" applyFill="1" applyBorder="1" applyAlignment="1" applyProtection="1">
      <alignment horizontal="center"/>
      <protection locked="0"/>
    </xf>
    <xf numFmtId="9" fontId="0" fillId="0" borderId="111" xfId="16" applyFont="1" applyFill="1" applyBorder="1" applyAlignment="1" applyProtection="1">
      <alignment horizontal="center"/>
      <protection locked="0"/>
    </xf>
    <xf numFmtId="180" fontId="28" fillId="11" borderId="45" xfId="0" applyNumberFormat="1" applyFont="1" applyFill="1" applyBorder="1" applyAlignment="1" applyProtection="1">
      <alignment horizontal="center"/>
      <protection locked="0"/>
    </xf>
    <xf numFmtId="180" fontId="28" fillId="11" borderId="109" xfId="0" applyNumberFormat="1" applyFont="1" applyFill="1" applyBorder="1" applyAlignment="1" applyProtection="1">
      <alignment horizontal="center"/>
      <protection locked="0"/>
    </xf>
    <xf numFmtId="180" fontId="28" fillId="11" borderId="45" xfId="0" applyNumberFormat="1" applyFont="1" applyFill="1" applyBorder="1" applyAlignment="1" applyProtection="1">
      <alignment horizontal="center"/>
    </xf>
    <xf numFmtId="180" fontId="28" fillId="11" borderId="45" xfId="0" applyNumberFormat="1" applyFont="1" applyFill="1" applyBorder="1" applyAlignment="1">
      <alignment horizontal="center"/>
    </xf>
    <xf numFmtId="180" fontId="28" fillId="11" borderId="109" xfId="0" applyNumberFormat="1" applyFont="1" applyFill="1" applyBorder="1"/>
    <xf numFmtId="180" fontId="29" fillId="11" borderId="45" xfId="0" applyNumberFormat="1" applyFont="1" applyFill="1" applyBorder="1" applyAlignment="1" applyProtection="1">
      <alignment horizontal="center"/>
      <protection locked="0"/>
    </xf>
    <xf numFmtId="180" fontId="29" fillId="11" borderId="109" xfId="0" applyNumberFormat="1" applyFont="1" applyFill="1" applyBorder="1" applyAlignment="1" applyProtection="1">
      <alignment horizontal="center"/>
      <protection locked="0"/>
    </xf>
    <xf numFmtId="180" fontId="28" fillId="11" borderId="109" xfId="0" applyNumberFormat="1" applyFont="1" applyFill="1" applyBorder="1" applyAlignment="1">
      <alignment horizontal="center"/>
    </xf>
    <xf numFmtId="0" fontId="13" fillId="0" borderId="134" xfId="0" applyFont="1" applyFill="1" applyBorder="1" applyAlignment="1">
      <alignment horizontal="center"/>
    </xf>
    <xf numFmtId="0" fontId="13" fillId="0" borderId="237" xfId="0" applyFont="1" applyFill="1" applyBorder="1" applyAlignment="1">
      <alignment horizontal="center"/>
    </xf>
    <xf numFmtId="0" fontId="13" fillId="0" borderId="238" xfId="0" applyFont="1" applyFill="1" applyBorder="1" applyAlignment="1">
      <alignment horizontal="center"/>
    </xf>
    <xf numFmtId="175" fontId="28" fillId="11" borderId="45" xfId="0" applyNumberFormat="1" applyFont="1" applyFill="1" applyBorder="1" applyAlignment="1" applyProtection="1">
      <alignment horizontal="center"/>
      <protection locked="0"/>
    </xf>
    <xf numFmtId="166" fontId="29" fillId="11" borderId="45" xfId="0" applyNumberFormat="1" applyFont="1" applyFill="1" applyBorder="1" applyAlignment="1">
      <alignment horizontal="center"/>
    </xf>
    <xf numFmtId="9" fontId="28" fillId="11" borderId="45" xfId="0" applyNumberFormat="1" applyFont="1" applyFill="1" applyBorder="1" applyProtection="1">
      <protection locked="0"/>
    </xf>
    <xf numFmtId="9" fontId="28" fillId="11" borderId="45" xfId="0" applyNumberFormat="1" applyFont="1" applyFill="1" applyBorder="1"/>
    <xf numFmtId="0" fontId="14" fillId="0" borderId="136" xfId="0" applyFont="1" applyFill="1" applyBorder="1" applyAlignment="1">
      <alignment horizontal="center"/>
    </xf>
    <xf numFmtId="0" fontId="14" fillId="0" borderId="128" xfId="0" applyFont="1" applyFill="1" applyBorder="1" applyAlignment="1">
      <alignment horizontal="center"/>
    </xf>
    <xf numFmtId="0" fontId="14" fillId="0" borderId="129" xfId="0" applyFont="1" applyFill="1" applyBorder="1" applyAlignment="1">
      <alignment horizontal="center"/>
    </xf>
    <xf numFmtId="175" fontId="28" fillId="11" borderId="109" xfId="0" applyNumberFormat="1" applyFont="1" applyFill="1" applyBorder="1" applyAlignment="1" applyProtection="1">
      <alignment horizontal="center"/>
      <protection locked="0"/>
    </xf>
    <xf numFmtId="166" fontId="29" fillId="11" borderId="109" xfId="0" applyNumberFormat="1" applyFont="1" applyFill="1" applyBorder="1" applyAlignment="1">
      <alignment horizontal="center"/>
    </xf>
    <xf numFmtId="9" fontId="28" fillId="11" borderId="109" xfId="0" applyNumberFormat="1" applyFont="1" applyFill="1" applyBorder="1" applyProtection="1">
      <protection locked="0"/>
    </xf>
    <xf numFmtId="9" fontId="28" fillId="11" borderId="109" xfId="0" applyNumberFormat="1" applyFont="1" applyFill="1" applyBorder="1"/>
    <xf numFmtId="0" fontId="28" fillId="15" borderId="45" xfId="0" applyFont="1" applyFill="1" applyBorder="1" applyAlignment="1">
      <alignment horizontal="center" wrapText="1"/>
    </xf>
    <xf numFmtId="0" fontId="13" fillId="15" borderId="130" xfId="0" applyFont="1" applyFill="1" applyBorder="1" applyAlignment="1">
      <alignment horizontal="left"/>
    </xf>
    <xf numFmtId="0" fontId="0" fillId="15" borderId="130" xfId="0" applyFont="1" applyFill="1" applyBorder="1" applyAlignment="1">
      <alignment horizontal="left"/>
    </xf>
    <xf numFmtId="180" fontId="28" fillId="11" borderId="45" xfId="0" applyNumberFormat="1" applyFont="1" applyFill="1" applyBorder="1" applyProtection="1">
      <protection locked="0"/>
    </xf>
    <xf numFmtId="180" fontId="28" fillId="11" borderId="109" xfId="0" applyNumberFormat="1" applyFont="1" applyFill="1" applyBorder="1" applyProtection="1">
      <protection locked="0"/>
    </xf>
    <xf numFmtId="180" fontId="29" fillId="11" borderId="45" xfId="0" applyNumberFormat="1" applyFont="1" applyFill="1" applyBorder="1" applyProtection="1">
      <protection locked="0"/>
    </xf>
    <xf numFmtId="180" fontId="29" fillId="11" borderId="109" xfId="0" applyNumberFormat="1" applyFont="1" applyFill="1" applyBorder="1" applyProtection="1">
      <protection locked="0"/>
    </xf>
    <xf numFmtId="180" fontId="28" fillId="11" borderId="45" xfId="0" applyNumberFormat="1" applyFont="1" applyFill="1" applyBorder="1"/>
    <xf numFmtId="177" fontId="28" fillId="11" borderId="110" xfId="0" applyNumberFormat="1" applyFont="1" applyFill="1" applyBorder="1" applyProtection="1">
      <protection locked="0"/>
    </xf>
    <xf numFmtId="177" fontId="28" fillId="11" borderId="111" xfId="0" applyNumberFormat="1" applyFont="1" applyFill="1" applyBorder="1" applyProtection="1">
      <protection locked="0"/>
    </xf>
    <xf numFmtId="180" fontId="28" fillId="11" borderId="45" xfId="13" applyNumberFormat="1" applyFont="1" applyFill="1" applyBorder="1"/>
    <xf numFmtId="180" fontId="28" fillId="11" borderId="0" xfId="13" applyNumberFormat="1" applyFont="1" applyFill="1"/>
    <xf numFmtId="0" fontId="29" fillId="11" borderId="45" xfId="0" applyFont="1" applyFill="1" applyBorder="1" applyAlignment="1">
      <alignment horizontal="center" vertical="center"/>
    </xf>
    <xf numFmtId="0" fontId="29" fillId="15" borderId="45" xfId="0" applyFont="1" applyFill="1" applyBorder="1" applyAlignment="1">
      <alignment horizontal="center" vertical="center"/>
    </xf>
    <xf numFmtId="174" fontId="28" fillId="15" borderId="169" xfId="0" applyNumberFormat="1" applyFont="1" applyFill="1" applyBorder="1" applyAlignment="1">
      <alignment horizontal="center" vertical="center"/>
    </xf>
    <xf numFmtId="174" fontId="28" fillId="15" borderId="170" xfId="0" applyNumberFormat="1" applyFont="1" applyFill="1" applyBorder="1" applyAlignment="1">
      <alignment horizontal="center" vertical="center"/>
    </xf>
    <xf numFmtId="0" fontId="28" fillId="15" borderId="170" xfId="0" applyFont="1" applyFill="1" applyBorder="1" applyAlignment="1">
      <alignment horizontal="center" vertical="center"/>
    </xf>
    <xf numFmtId="0" fontId="28" fillId="15" borderId="126" xfId="0" applyFont="1" applyFill="1" applyBorder="1" applyAlignment="1">
      <alignment horizontal="center" vertical="center"/>
    </xf>
    <xf numFmtId="0" fontId="36" fillId="15" borderId="45" xfId="0" applyFont="1" applyFill="1" applyBorder="1"/>
    <xf numFmtId="0" fontId="13" fillId="15" borderId="45" xfId="0" applyFont="1" applyFill="1" applyBorder="1" applyAlignment="1">
      <alignment horizontal="center" wrapText="1"/>
    </xf>
    <xf numFmtId="180" fontId="32" fillId="0" borderId="45" xfId="13" applyNumberFormat="1" applyFont="1" applyFill="1" applyBorder="1" applyAlignment="1" applyProtection="1">
      <alignment horizontal="center"/>
    </xf>
    <xf numFmtId="180" fontId="32" fillId="0" borderId="45" xfId="13" applyNumberFormat="1" applyFont="1" applyFill="1" applyBorder="1" applyAlignment="1" applyProtection="1">
      <alignment horizontal="center"/>
      <protection locked="0"/>
    </xf>
    <xf numFmtId="180" fontId="14" fillId="0" borderId="45" xfId="13" applyNumberFormat="1" applyFont="1" applyFill="1" applyBorder="1" applyAlignment="1" applyProtection="1">
      <alignment horizontal="center"/>
      <protection locked="0"/>
    </xf>
    <xf numFmtId="166" fontId="28" fillId="0" borderId="45" xfId="0" applyNumberFormat="1" applyFont="1" applyBorder="1" applyAlignment="1">
      <alignment horizontal="center"/>
    </xf>
    <xf numFmtId="180" fontId="29" fillId="0" borderId="45" xfId="0" applyNumberFormat="1" applyFont="1" applyBorder="1" applyAlignment="1" applyProtection="1">
      <alignment horizontal="center"/>
      <protection locked="0"/>
    </xf>
    <xf numFmtId="180" fontId="28" fillId="0" borderId="45" xfId="0" applyNumberFormat="1" applyFont="1" applyBorder="1" applyAlignment="1">
      <alignment horizontal="center"/>
    </xf>
    <xf numFmtId="180" fontId="29" fillId="12" borderId="45" xfId="0" applyNumberFormat="1" applyFont="1" applyFill="1" applyBorder="1" applyAlignment="1">
      <alignment horizontal="center"/>
    </xf>
    <xf numFmtId="180" fontId="28" fillId="0" borderId="45" xfId="0" applyNumberFormat="1" applyFont="1" applyBorder="1" applyAlignment="1" applyProtection="1">
      <alignment horizontal="center"/>
      <protection locked="0"/>
    </xf>
    <xf numFmtId="180" fontId="29" fillId="0" borderId="45" xfId="0" applyNumberFormat="1" applyFont="1" applyBorder="1" applyAlignment="1">
      <alignment horizontal="center"/>
    </xf>
    <xf numFmtId="180" fontId="28" fillId="0" borderId="45" xfId="0" applyNumberFormat="1" applyFont="1" applyBorder="1"/>
    <xf numFmtId="0" fontId="14" fillId="0" borderId="45" xfId="0" applyFont="1" applyFill="1" applyBorder="1" applyAlignment="1">
      <alignment horizontal="left"/>
    </xf>
    <xf numFmtId="0" fontId="13" fillId="15" borderId="45" xfId="0" applyFont="1" applyFill="1" applyBorder="1" applyAlignment="1">
      <alignment horizontal="left"/>
    </xf>
    <xf numFmtId="0" fontId="14" fillId="15" borderId="175" xfId="0" applyFont="1" applyFill="1" applyBorder="1" applyAlignment="1">
      <alignment horizontal="center"/>
    </xf>
    <xf numFmtId="0" fontId="14" fillId="15" borderId="180" xfId="0" applyFont="1" applyFill="1" applyBorder="1" applyAlignment="1">
      <alignment horizontal="center"/>
    </xf>
    <xf numFmtId="0" fontId="14" fillId="15" borderId="185" xfId="0" applyFont="1" applyFill="1" applyBorder="1" applyAlignment="1">
      <alignment horizontal="center"/>
    </xf>
    <xf numFmtId="0" fontId="14" fillId="15" borderId="187" xfId="0" applyFont="1" applyFill="1" applyBorder="1" applyAlignment="1">
      <alignment horizontal="center"/>
    </xf>
    <xf numFmtId="0" fontId="14" fillId="15" borderId="176" xfId="0" applyFont="1" applyFill="1" applyBorder="1" applyAlignment="1">
      <alignment horizontal="center" wrapText="1"/>
    </xf>
    <xf numFmtId="0" fontId="14" fillId="15" borderId="177" xfId="0" applyFont="1" applyFill="1" applyBorder="1" applyAlignment="1">
      <alignment horizontal="center" wrapText="1"/>
    </xf>
    <xf numFmtId="0" fontId="14" fillId="15" borderId="104" xfId="0" applyFont="1" applyFill="1" applyBorder="1" applyAlignment="1">
      <alignment horizontal="center" wrapText="1"/>
    </xf>
    <xf numFmtId="0" fontId="14" fillId="15" borderId="178" xfId="0" applyFont="1" applyFill="1" applyBorder="1" applyAlignment="1">
      <alignment horizontal="center" wrapText="1"/>
    </xf>
    <xf numFmtId="0" fontId="14" fillId="15" borderId="156" xfId="0" applyFont="1" applyFill="1" applyBorder="1" applyAlignment="1">
      <alignment horizontal="center" wrapText="1"/>
    </xf>
    <xf numFmtId="0" fontId="14" fillId="15" borderId="179" xfId="0" applyFont="1" applyFill="1" applyBorder="1" applyAlignment="1">
      <alignment horizontal="center" wrapText="1"/>
    </xf>
    <xf numFmtId="0" fontId="14" fillId="13" borderId="49" xfId="0" applyFont="1" applyFill="1" applyBorder="1" applyAlignment="1">
      <alignment horizontal="center"/>
    </xf>
    <xf numFmtId="180" fontId="32" fillId="11" borderId="165" xfId="0" applyNumberFormat="1" applyFont="1" applyFill="1" applyBorder="1" applyAlignment="1" applyProtection="1">
      <alignment horizontal="center"/>
      <protection locked="0"/>
    </xf>
    <xf numFmtId="180" fontId="32" fillId="11" borderId="54" xfId="0" applyNumberFormat="1" applyFont="1" applyFill="1" applyBorder="1" applyAlignment="1" applyProtection="1">
      <alignment horizontal="center"/>
      <protection locked="0"/>
    </xf>
    <xf numFmtId="180" fontId="32" fillId="11" borderId="181" xfId="0" applyNumberFormat="1" applyFont="1" applyFill="1" applyBorder="1" applyAlignment="1" applyProtection="1">
      <alignment horizontal="center"/>
      <protection locked="0"/>
    </xf>
    <xf numFmtId="180" fontId="14" fillId="11" borderId="182" xfId="0" applyNumberFormat="1" applyFont="1" applyFill="1" applyBorder="1" applyAlignment="1" applyProtection="1">
      <alignment horizontal="center"/>
      <protection locked="0"/>
    </xf>
    <xf numFmtId="180" fontId="32" fillId="11" borderId="183" xfId="0" applyNumberFormat="1" applyFont="1" applyFill="1" applyBorder="1" applyAlignment="1" applyProtection="1">
      <alignment horizontal="center"/>
      <protection locked="0"/>
    </xf>
    <xf numFmtId="180" fontId="32" fillId="11" borderId="184" xfId="0" applyNumberFormat="1" applyFont="1" applyFill="1" applyBorder="1" applyAlignment="1" applyProtection="1">
      <alignment horizontal="center"/>
      <protection locked="0"/>
    </xf>
    <xf numFmtId="180" fontId="32" fillId="11" borderId="166" xfId="0" applyNumberFormat="1" applyFont="1" applyFill="1" applyBorder="1" applyAlignment="1" applyProtection="1">
      <alignment horizontal="center"/>
      <protection locked="0"/>
    </xf>
    <xf numFmtId="180" fontId="32" fillId="11" borderId="51" xfId="0" applyNumberFormat="1" applyFont="1" applyFill="1" applyBorder="1" applyAlignment="1" applyProtection="1">
      <alignment horizontal="center"/>
      <protection locked="0"/>
    </xf>
    <xf numFmtId="180" fontId="32" fillId="11" borderId="186" xfId="0" applyNumberFormat="1" applyFont="1" applyFill="1" applyBorder="1" applyAlignment="1" applyProtection="1">
      <alignment horizontal="center"/>
      <protection locked="0"/>
    </xf>
    <xf numFmtId="180" fontId="32" fillId="11" borderId="143" xfId="0" applyNumberFormat="1" applyFont="1" applyFill="1" applyBorder="1" applyAlignment="1" applyProtection="1">
      <alignment horizontal="center"/>
      <protection locked="0"/>
    </xf>
    <xf numFmtId="180" fontId="32" fillId="11" borderId="167" xfId="0" applyNumberFormat="1" applyFont="1" applyFill="1" applyBorder="1" applyAlignment="1" applyProtection="1">
      <alignment horizontal="center"/>
      <protection locked="0"/>
    </xf>
    <xf numFmtId="180" fontId="32" fillId="11" borderId="168" xfId="0" applyNumberFormat="1" applyFont="1" applyFill="1" applyBorder="1" applyAlignment="1" applyProtection="1">
      <alignment horizontal="center"/>
      <protection locked="0"/>
    </xf>
    <xf numFmtId="180" fontId="32" fillId="11" borderId="188" xfId="0" applyNumberFormat="1" applyFont="1" applyFill="1" applyBorder="1" applyAlignment="1" applyProtection="1">
      <alignment horizontal="center"/>
      <protection locked="0"/>
    </xf>
    <xf numFmtId="180" fontId="14" fillId="11" borderId="189" xfId="0" applyNumberFormat="1" applyFont="1" applyFill="1" applyBorder="1" applyAlignment="1" applyProtection="1">
      <alignment horizontal="center"/>
      <protection locked="0"/>
    </xf>
    <xf numFmtId="180" fontId="32" fillId="11" borderId="48" xfId="0" applyNumberFormat="1" applyFont="1" applyFill="1" applyBorder="1" applyAlignment="1" applyProtection="1">
      <alignment horizontal="center"/>
      <protection locked="0"/>
    </xf>
    <xf numFmtId="180" fontId="14" fillId="11" borderId="149" xfId="0" applyNumberFormat="1" applyFont="1" applyFill="1" applyBorder="1" applyAlignment="1" applyProtection="1">
      <alignment horizontal="center"/>
      <protection locked="0"/>
    </xf>
    <xf numFmtId="180" fontId="32" fillId="14" borderId="163" xfId="0" applyNumberFormat="1" applyFont="1" applyFill="1" applyBorder="1" applyAlignment="1" applyProtection="1">
      <alignment horizontal="center"/>
      <protection locked="0"/>
    </xf>
    <xf numFmtId="180" fontId="32" fillId="11" borderId="164" xfId="0" applyNumberFormat="1" applyFont="1" applyFill="1" applyBorder="1" applyAlignment="1" applyProtection="1">
      <alignment horizontal="center"/>
      <protection locked="0"/>
    </xf>
    <xf numFmtId="180" fontId="32" fillId="21" borderId="164" xfId="0" applyNumberFormat="1" applyFont="1" applyFill="1" applyBorder="1" applyAlignment="1" applyProtection="1">
      <alignment horizontal="center"/>
      <protection locked="0"/>
    </xf>
    <xf numFmtId="180" fontId="32" fillId="11" borderId="190" xfId="0" applyNumberFormat="1" applyFont="1" applyFill="1" applyBorder="1" applyAlignment="1" applyProtection="1">
      <alignment horizontal="center"/>
      <protection locked="0"/>
    </xf>
    <xf numFmtId="180" fontId="14" fillId="11" borderId="191" xfId="0" applyNumberFormat="1" applyFont="1" applyFill="1" applyBorder="1" applyAlignment="1" applyProtection="1">
      <alignment horizontal="center"/>
      <protection locked="0"/>
    </xf>
    <xf numFmtId="180" fontId="32" fillId="11" borderId="163" xfId="0" applyNumberFormat="1" applyFont="1" applyFill="1" applyBorder="1" applyAlignment="1" applyProtection="1">
      <alignment horizontal="center"/>
      <protection locked="0"/>
    </xf>
    <xf numFmtId="180" fontId="32" fillId="14" borderId="164" xfId="0" applyNumberFormat="1" applyFont="1" applyFill="1" applyBorder="1" applyAlignment="1" applyProtection="1">
      <alignment horizontal="center"/>
      <protection locked="0"/>
    </xf>
    <xf numFmtId="180" fontId="32" fillId="21" borderId="190" xfId="0" applyNumberFormat="1" applyFont="1" applyFill="1" applyBorder="1" applyAlignment="1" applyProtection="1">
      <alignment horizontal="center"/>
      <protection locked="0"/>
    </xf>
    <xf numFmtId="180" fontId="32" fillId="11" borderId="161" xfId="0" applyNumberFormat="1" applyFont="1" applyFill="1" applyBorder="1" applyAlignment="1" applyProtection="1">
      <alignment horizontal="center"/>
      <protection locked="0"/>
    </xf>
    <xf numFmtId="180" fontId="32" fillId="11" borderId="0" xfId="0" applyNumberFormat="1" applyFont="1" applyFill="1" applyBorder="1" applyAlignment="1" applyProtection="1">
      <alignment horizontal="center"/>
      <protection locked="0"/>
    </xf>
    <xf numFmtId="180" fontId="14" fillId="11" borderId="193" xfId="0" applyNumberFormat="1" applyFont="1" applyFill="1" applyBorder="1" applyProtection="1">
      <protection locked="0"/>
    </xf>
    <xf numFmtId="0" fontId="32" fillId="16" borderId="156" xfId="0" applyFont="1" applyFill="1" applyBorder="1" applyAlignment="1">
      <alignment horizontal="center"/>
    </xf>
    <xf numFmtId="1" fontId="32" fillId="16" borderId="156" xfId="0" applyNumberFormat="1" applyFont="1" applyFill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Millares" xfId="12" builtinId="3"/>
    <cellStyle name="Moneda" xfId="13" builtinId="4"/>
    <cellStyle name="Neutral" xfId="14" builtinId="28" customBuiltin="1"/>
    <cellStyle name="Normal" xfId="0" builtinId="0"/>
    <cellStyle name="Note" xfId="15"/>
    <cellStyle name="Porcentaje" xfId="16" builtinId="5"/>
    <cellStyle name="Status" xfId="17"/>
    <cellStyle name="Text" xfId="18"/>
    <cellStyle name="Warning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679690775713E-2"/>
          <c:y val="1.2630874998030946E-2"/>
          <c:w val="0.90515272547453307"/>
          <c:h val="0.93258065312368865"/>
        </c:manualLayout>
      </c:layout>
      <c:lineChart>
        <c:grouping val="standard"/>
        <c:varyColors val="0"/>
        <c:ser>
          <c:idx val="0"/>
          <c:order val="0"/>
          <c:tx>
            <c:v>Ventas Año 5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'E-Costos'!$H$144:$H$244</c:f>
              <c:numCache>
                <c:formatCode>_(\$* #,##0.00_);_(\$* \(#,##0.00\);_(\$* \-??_);_(@_)</c:formatCode>
                <c:ptCount val="101"/>
                <c:pt idx="0">
                  <c:v>30000000</c:v>
                </c:pt>
                <c:pt idx="1">
                  <c:v>30000000</c:v>
                </c:pt>
                <c:pt idx="2">
                  <c:v>30000000</c:v>
                </c:pt>
                <c:pt idx="3">
                  <c:v>30000000</c:v>
                </c:pt>
                <c:pt idx="4">
                  <c:v>30000000</c:v>
                </c:pt>
                <c:pt idx="5">
                  <c:v>30000000</c:v>
                </c:pt>
                <c:pt idx="6">
                  <c:v>30000000</c:v>
                </c:pt>
                <c:pt idx="7">
                  <c:v>30000000</c:v>
                </c:pt>
                <c:pt idx="8">
                  <c:v>30000000</c:v>
                </c:pt>
                <c:pt idx="9">
                  <c:v>30000000</c:v>
                </c:pt>
                <c:pt idx="10">
                  <c:v>30000000</c:v>
                </c:pt>
                <c:pt idx="11">
                  <c:v>30000000</c:v>
                </c:pt>
                <c:pt idx="12">
                  <c:v>30000000</c:v>
                </c:pt>
                <c:pt idx="13">
                  <c:v>30000000</c:v>
                </c:pt>
                <c:pt idx="14">
                  <c:v>30000000</c:v>
                </c:pt>
                <c:pt idx="15">
                  <c:v>30000000</c:v>
                </c:pt>
                <c:pt idx="16">
                  <c:v>30000000</c:v>
                </c:pt>
                <c:pt idx="17">
                  <c:v>30000000</c:v>
                </c:pt>
                <c:pt idx="18">
                  <c:v>30000000</c:v>
                </c:pt>
                <c:pt idx="19">
                  <c:v>30000000</c:v>
                </c:pt>
                <c:pt idx="20">
                  <c:v>30000000</c:v>
                </c:pt>
                <c:pt idx="21">
                  <c:v>30000000</c:v>
                </c:pt>
                <c:pt idx="22">
                  <c:v>30000000</c:v>
                </c:pt>
                <c:pt idx="23">
                  <c:v>30000000</c:v>
                </c:pt>
                <c:pt idx="24">
                  <c:v>30000000</c:v>
                </c:pt>
                <c:pt idx="25">
                  <c:v>30000000</c:v>
                </c:pt>
                <c:pt idx="26">
                  <c:v>30000000</c:v>
                </c:pt>
                <c:pt idx="27">
                  <c:v>30000000</c:v>
                </c:pt>
                <c:pt idx="28">
                  <c:v>30000000</c:v>
                </c:pt>
                <c:pt idx="29">
                  <c:v>30000000</c:v>
                </c:pt>
                <c:pt idx="30">
                  <c:v>30000000</c:v>
                </c:pt>
                <c:pt idx="31">
                  <c:v>30000000</c:v>
                </c:pt>
                <c:pt idx="32">
                  <c:v>30000000</c:v>
                </c:pt>
                <c:pt idx="33">
                  <c:v>30000000</c:v>
                </c:pt>
                <c:pt idx="34">
                  <c:v>30000000</c:v>
                </c:pt>
                <c:pt idx="35">
                  <c:v>30000000</c:v>
                </c:pt>
                <c:pt idx="36">
                  <c:v>30000000</c:v>
                </c:pt>
                <c:pt idx="37">
                  <c:v>30000000</c:v>
                </c:pt>
                <c:pt idx="38">
                  <c:v>30000000</c:v>
                </c:pt>
                <c:pt idx="39">
                  <c:v>30000000</c:v>
                </c:pt>
                <c:pt idx="40">
                  <c:v>30000000</c:v>
                </c:pt>
                <c:pt idx="41">
                  <c:v>30000000</c:v>
                </c:pt>
                <c:pt idx="42">
                  <c:v>30000000</c:v>
                </c:pt>
                <c:pt idx="43">
                  <c:v>30000000</c:v>
                </c:pt>
                <c:pt idx="44">
                  <c:v>30000000</c:v>
                </c:pt>
                <c:pt idx="45">
                  <c:v>30000000</c:v>
                </c:pt>
                <c:pt idx="46">
                  <c:v>30000000</c:v>
                </c:pt>
                <c:pt idx="47">
                  <c:v>30000000</c:v>
                </c:pt>
                <c:pt idx="48">
                  <c:v>30000000</c:v>
                </c:pt>
                <c:pt idx="49">
                  <c:v>30000000</c:v>
                </c:pt>
                <c:pt idx="50">
                  <c:v>30000000</c:v>
                </c:pt>
                <c:pt idx="51">
                  <c:v>30000000</c:v>
                </c:pt>
                <c:pt idx="52">
                  <c:v>30000000</c:v>
                </c:pt>
                <c:pt idx="53">
                  <c:v>30000000</c:v>
                </c:pt>
                <c:pt idx="54">
                  <c:v>30000000</c:v>
                </c:pt>
                <c:pt idx="55">
                  <c:v>30000000</c:v>
                </c:pt>
                <c:pt idx="56">
                  <c:v>30000000</c:v>
                </c:pt>
                <c:pt idx="57">
                  <c:v>30000000</c:v>
                </c:pt>
                <c:pt idx="58">
                  <c:v>30000000</c:v>
                </c:pt>
                <c:pt idx="59">
                  <c:v>30000000</c:v>
                </c:pt>
                <c:pt idx="60">
                  <c:v>30000000</c:v>
                </c:pt>
                <c:pt idx="61">
                  <c:v>30000000</c:v>
                </c:pt>
                <c:pt idx="62">
                  <c:v>30000000</c:v>
                </c:pt>
                <c:pt idx="63">
                  <c:v>30000000</c:v>
                </c:pt>
                <c:pt idx="64">
                  <c:v>30000000</c:v>
                </c:pt>
                <c:pt idx="65">
                  <c:v>30000000</c:v>
                </c:pt>
                <c:pt idx="66">
                  <c:v>30000000</c:v>
                </c:pt>
                <c:pt idx="67">
                  <c:v>30000000</c:v>
                </c:pt>
                <c:pt idx="68">
                  <c:v>30000000</c:v>
                </c:pt>
                <c:pt idx="69">
                  <c:v>30000000</c:v>
                </c:pt>
                <c:pt idx="70">
                  <c:v>30000000</c:v>
                </c:pt>
                <c:pt idx="71">
                  <c:v>30000000</c:v>
                </c:pt>
                <c:pt idx="72">
                  <c:v>30000000</c:v>
                </c:pt>
                <c:pt idx="73">
                  <c:v>30000000</c:v>
                </c:pt>
                <c:pt idx="74">
                  <c:v>30000000</c:v>
                </c:pt>
                <c:pt idx="75">
                  <c:v>30000000</c:v>
                </c:pt>
                <c:pt idx="76">
                  <c:v>30000000</c:v>
                </c:pt>
                <c:pt idx="77">
                  <c:v>30000000</c:v>
                </c:pt>
                <c:pt idx="78">
                  <c:v>30000000</c:v>
                </c:pt>
                <c:pt idx="79">
                  <c:v>30000000</c:v>
                </c:pt>
                <c:pt idx="80">
                  <c:v>30000000</c:v>
                </c:pt>
                <c:pt idx="81">
                  <c:v>30000000</c:v>
                </c:pt>
                <c:pt idx="82">
                  <c:v>30000000</c:v>
                </c:pt>
                <c:pt idx="83">
                  <c:v>30000000</c:v>
                </c:pt>
                <c:pt idx="84">
                  <c:v>30000000</c:v>
                </c:pt>
                <c:pt idx="85">
                  <c:v>30000000</c:v>
                </c:pt>
                <c:pt idx="86">
                  <c:v>30000000</c:v>
                </c:pt>
                <c:pt idx="87">
                  <c:v>30000000</c:v>
                </c:pt>
                <c:pt idx="88">
                  <c:v>30000000</c:v>
                </c:pt>
                <c:pt idx="89">
                  <c:v>30000000</c:v>
                </c:pt>
                <c:pt idx="90">
                  <c:v>30000000</c:v>
                </c:pt>
                <c:pt idx="91">
                  <c:v>30000000</c:v>
                </c:pt>
                <c:pt idx="92">
                  <c:v>30000000</c:v>
                </c:pt>
                <c:pt idx="93">
                  <c:v>30000000</c:v>
                </c:pt>
                <c:pt idx="94">
                  <c:v>30000000</c:v>
                </c:pt>
                <c:pt idx="95">
                  <c:v>30000000</c:v>
                </c:pt>
                <c:pt idx="96">
                  <c:v>30000000</c:v>
                </c:pt>
                <c:pt idx="97">
                  <c:v>30000000</c:v>
                </c:pt>
                <c:pt idx="98">
                  <c:v>30000000</c:v>
                </c:pt>
                <c:pt idx="99">
                  <c:v>30000000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F7-4447-98E4-EFDD330BCE12}"/>
            </c:ext>
          </c:extLst>
        </c:ser>
        <c:ser>
          <c:idx val="2"/>
          <c:order val="1"/>
          <c:tx>
            <c:v>CFT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'E-Costos'!$I$144:$I$244</c:f>
              <c:numCache>
                <c:formatCode>_(\$* #,##0.00_);_(\$* \(#,##0.00\);_(\$* \-??_);_(@_)</c:formatCode>
                <c:ptCount val="101"/>
                <c:pt idx="0">
                  <c:v>7556679.2002747087</c:v>
                </c:pt>
                <c:pt idx="1">
                  <c:v>7556679.2002747087</c:v>
                </c:pt>
                <c:pt idx="2">
                  <c:v>7556679.2002747087</c:v>
                </c:pt>
                <c:pt idx="3">
                  <c:v>7556679.2002747087</c:v>
                </c:pt>
                <c:pt idx="4">
                  <c:v>7556679.2002747087</c:v>
                </c:pt>
                <c:pt idx="5">
                  <c:v>7556679.2002747087</c:v>
                </c:pt>
                <c:pt idx="6">
                  <c:v>7556679.2002747087</c:v>
                </c:pt>
                <c:pt idx="7">
                  <c:v>7556679.2002747087</c:v>
                </c:pt>
                <c:pt idx="8">
                  <c:v>7556679.2002747087</c:v>
                </c:pt>
                <c:pt idx="9">
                  <c:v>7556679.2002747087</c:v>
                </c:pt>
                <c:pt idx="10">
                  <c:v>7556679.2002747087</c:v>
                </c:pt>
                <c:pt idx="11">
                  <c:v>7556679.2002747087</c:v>
                </c:pt>
                <c:pt idx="12">
                  <c:v>7556679.2002747087</c:v>
                </c:pt>
                <c:pt idx="13">
                  <c:v>7556679.2002747087</c:v>
                </c:pt>
                <c:pt idx="14">
                  <c:v>7556679.2002747087</c:v>
                </c:pt>
                <c:pt idx="15">
                  <c:v>7556679.2002747087</c:v>
                </c:pt>
                <c:pt idx="16">
                  <c:v>7556679.2002747087</c:v>
                </c:pt>
                <c:pt idx="17">
                  <c:v>7556679.2002747087</c:v>
                </c:pt>
                <c:pt idx="18">
                  <c:v>7556679.2002747087</c:v>
                </c:pt>
                <c:pt idx="19">
                  <c:v>7556679.2002747087</c:v>
                </c:pt>
                <c:pt idx="20">
                  <c:v>7556679.2002747087</c:v>
                </c:pt>
                <c:pt idx="21">
                  <c:v>7556679.2002747087</c:v>
                </c:pt>
                <c:pt idx="22">
                  <c:v>7556679.2002747087</c:v>
                </c:pt>
                <c:pt idx="23">
                  <c:v>7556679.2002747087</c:v>
                </c:pt>
                <c:pt idx="24">
                  <c:v>7556679.2002747087</c:v>
                </c:pt>
                <c:pt idx="25">
                  <c:v>7556679.2002747087</c:v>
                </c:pt>
                <c:pt idx="26">
                  <c:v>7556679.2002747087</c:v>
                </c:pt>
                <c:pt idx="27">
                  <c:v>7556679.2002747087</c:v>
                </c:pt>
                <c:pt idx="28">
                  <c:v>7556679.2002747087</c:v>
                </c:pt>
                <c:pt idx="29">
                  <c:v>7556679.2002747087</c:v>
                </c:pt>
                <c:pt idx="30">
                  <c:v>7556679.2002747087</c:v>
                </c:pt>
                <c:pt idx="31">
                  <c:v>7556679.2002747087</c:v>
                </c:pt>
                <c:pt idx="32">
                  <c:v>7556679.2002747087</c:v>
                </c:pt>
                <c:pt idx="33">
                  <c:v>7556679.2002747087</c:v>
                </c:pt>
                <c:pt idx="34">
                  <c:v>7556679.2002747087</c:v>
                </c:pt>
                <c:pt idx="35">
                  <c:v>7556679.2002747087</c:v>
                </c:pt>
                <c:pt idx="36">
                  <c:v>7556679.2002747087</c:v>
                </c:pt>
                <c:pt idx="37">
                  <c:v>7556679.2002747087</c:v>
                </c:pt>
                <c:pt idx="38">
                  <c:v>7556679.2002747087</c:v>
                </c:pt>
                <c:pt idx="39">
                  <c:v>7556679.2002747087</c:v>
                </c:pt>
                <c:pt idx="40">
                  <c:v>7556679.2002747087</c:v>
                </c:pt>
                <c:pt idx="41">
                  <c:v>7556679.2002747087</c:v>
                </c:pt>
                <c:pt idx="42">
                  <c:v>7556679.2002747087</c:v>
                </c:pt>
                <c:pt idx="43">
                  <c:v>7556679.2002747087</c:v>
                </c:pt>
                <c:pt idx="44">
                  <c:v>7556679.2002747087</c:v>
                </c:pt>
                <c:pt idx="45">
                  <c:v>7556679.2002747087</c:v>
                </c:pt>
                <c:pt idx="46">
                  <c:v>7556679.2002747087</c:v>
                </c:pt>
                <c:pt idx="47">
                  <c:v>7556679.2002747087</c:v>
                </c:pt>
                <c:pt idx="48">
                  <c:v>7556679.2002747087</c:v>
                </c:pt>
                <c:pt idx="49">
                  <c:v>7556679.2002747087</c:v>
                </c:pt>
                <c:pt idx="50">
                  <c:v>7556679.2002747087</c:v>
                </c:pt>
                <c:pt idx="51">
                  <c:v>7556679.2002747087</c:v>
                </c:pt>
                <c:pt idx="52">
                  <c:v>7556679.2002747087</c:v>
                </c:pt>
                <c:pt idx="53">
                  <c:v>7556679.2002747087</c:v>
                </c:pt>
                <c:pt idx="54">
                  <c:v>7556679.2002747087</c:v>
                </c:pt>
                <c:pt idx="55">
                  <c:v>7556679.2002747087</c:v>
                </c:pt>
                <c:pt idx="56">
                  <c:v>7556679.2002747087</c:v>
                </c:pt>
                <c:pt idx="57">
                  <c:v>7556679.2002747087</c:v>
                </c:pt>
                <c:pt idx="58">
                  <c:v>7556679.2002747087</c:v>
                </c:pt>
                <c:pt idx="59">
                  <c:v>7556679.2002747087</c:v>
                </c:pt>
                <c:pt idx="60">
                  <c:v>7556679.2002747087</c:v>
                </c:pt>
                <c:pt idx="61">
                  <c:v>7556679.2002747087</c:v>
                </c:pt>
                <c:pt idx="62">
                  <c:v>7556679.2002747087</c:v>
                </c:pt>
                <c:pt idx="63">
                  <c:v>7556679.2002747087</c:v>
                </c:pt>
                <c:pt idx="64">
                  <c:v>7556679.2002747087</c:v>
                </c:pt>
                <c:pt idx="65">
                  <c:v>7556679.2002747087</c:v>
                </c:pt>
                <c:pt idx="66">
                  <c:v>7556679.2002747087</c:v>
                </c:pt>
                <c:pt idx="67">
                  <c:v>7556679.2002747087</c:v>
                </c:pt>
                <c:pt idx="68">
                  <c:v>7556679.2002747087</c:v>
                </c:pt>
                <c:pt idx="69">
                  <c:v>7556679.2002747087</c:v>
                </c:pt>
                <c:pt idx="70">
                  <c:v>7556679.2002747087</c:v>
                </c:pt>
                <c:pt idx="71">
                  <c:v>7556679.2002747087</c:v>
                </c:pt>
                <c:pt idx="72">
                  <c:v>7556679.2002747087</c:v>
                </c:pt>
                <c:pt idx="73">
                  <c:v>7556679.2002747087</c:v>
                </c:pt>
                <c:pt idx="74">
                  <c:v>7556679.2002747087</c:v>
                </c:pt>
                <c:pt idx="75">
                  <c:v>7556679.2002747087</c:v>
                </c:pt>
                <c:pt idx="76">
                  <c:v>7556679.2002747087</c:v>
                </c:pt>
                <c:pt idx="77">
                  <c:v>7556679.2002747087</c:v>
                </c:pt>
                <c:pt idx="78">
                  <c:v>7556679.2002747087</c:v>
                </c:pt>
                <c:pt idx="79">
                  <c:v>7556679.2002747087</c:v>
                </c:pt>
                <c:pt idx="80">
                  <c:v>7556679.2002747087</c:v>
                </c:pt>
                <c:pt idx="81">
                  <c:v>7556679.2002747087</c:v>
                </c:pt>
                <c:pt idx="82">
                  <c:v>7556679.2002747087</c:v>
                </c:pt>
                <c:pt idx="83">
                  <c:v>7556679.2002747087</c:v>
                </c:pt>
                <c:pt idx="84">
                  <c:v>7556679.2002747087</c:v>
                </c:pt>
                <c:pt idx="85">
                  <c:v>7556679.2002747087</c:v>
                </c:pt>
                <c:pt idx="86">
                  <c:v>7556679.2002747087</c:v>
                </c:pt>
                <c:pt idx="87">
                  <c:v>7556679.2002747087</c:v>
                </c:pt>
                <c:pt idx="88">
                  <c:v>7556679.2002747087</c:v>
                </c:pt>
                <c:pt idx="89">
                  <c:v>7556679.2002747087</c:v>
                </c:pt>
                <c:pt idx="90">
                  <c:v>7556679.2002747087</c:v>
                </c:pt>
                <c:pt idx="91">
                  <c:v>7556679.2002747087</c:v>
                </c:pt>
                <c:pt idx="92">
                  <c:v>7556679.2002747087</c:v>
                </c:pt>
                <c:pt idx="93">
                  <c:v>7556679.2002747087</c:v>
                </c:pt>
                <c:pt idx="94">
                  <c:v>7556679.2002747087</c:v>
                </c:pt>
                <c:pt idx="95">
                  <c:v>7556679.2002747087</c:v>
                </c:pt>
                <c:pt idx="96">
                  <c:v>7556679.2002747087</c:v>
                </c:pt>
                <c:pt idx="97">
                  <c:v>7556679.2002747087</c:v>
                </c:pt>
                <c:pt idx="98">
                  <c:v>7556679.2002747087</c:v>
                </c:pt>
                <c:pt idx="99">
                  <c:v>7556679.2002747087</c:v>
                </c:pt>
                <c:pt idx="100">
                  <c:v>7556679.2002747087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F7-4447-98E4-EFDD330BCE12}"/>
            </c:ext>
          </c:extLst>
        </c:ser>
        <c:ser>
          <c:idx val="3"/>
          <c:order val="2"/>
          <c:tx>
            <c:v>Ing Año 5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'E-Costos'!$J$144:$J$244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300000</c:v>
                </c:pt>
                <c:pt idx="2">
                  <c:v>600000</c:v>
                </c:pt>
                <c:pt idx="3">
                  <c:v>900000</c:v>
                </c:pt>
                <c:pt idx="4">
                  <c:v>1200000</c:v>
                </c:pt>
                <c:pt idx="5">
                  <c:v>1500000</c:v>
                </c:pt>
                <c:pt idx="6">
                  <c:v>1800000</c:v>
                </c:pt>
                <c:pt idx="7">
                  <c:v>2100000</c:v>
                </c:pt>
                <c:pt idx="8">
                  <c:v>2400000</c:v>
                </c:pt>
                <c:pt idx="9">
                  <c:v>2700000</c:v>
                </c:pt>
                <c:pt idx="10">
                  <c:v>3000000</c:v>
                </c:pt>
                <c:pt idx="11">
                  <c:v>3300000</c:v>
                </c:pt>
                <c:pt idx="12">
                  <c:v>3600000</c:v>
                </c:pt>
                <c:pt idx="13">
                  <c:v>3900000</c:v>
                </c:pt>
                <c:pt idx="14">
                  <c:v>4200000</c:v>
                </c:pt>
                <c:pt idx="15">
                  <c:v>4500000</c:v>
                </c:pt>
                <c:pt idx="16">
                  <c:v>4800000</c:v>
                </c:pt>
                <c:pt idx="17">
                  <c:v>5100000</c:v>
                </c:pt>
                <c:pt idx="18">
                  <c:v>5400000</c:v>
                </c:pt>
                <c:pt idx="19">
                  <c:v>5700000</c:v>
                </c:pt>
                <c:pt idx="20">
                  <c:v>6000000</c:v>
                </c:pt>
                <c:pt idx="21">
                  <c:v>6300000</c:v>
                </c:pt>
                <c:pt idx="22">
                  <c:v>6600000</c:v>
                </c:pt>
                <c:pt idx="23">
                  <c:v>6900000</c:v>
                </c:pt>
                <c:pt idx="24">
                  <c:v>7200000</c:v>
                </c:pt>
                <c:pt idx="25">
                  <c:v>7500000</c:v>
                </c:pt>
                <c:pt idx="26">
                  <c:v>7800000</c:v>
                </c:pt>
                <c:pt idx="27">
                  <c:v>8100000</c:v>
                </c:pt>
                <c:pt idx="28">
                  <c:v>8400000</c:v>
                </c:pt>
                <c:pt idx="29">
                  <c:v>8700000</c:v>
                </c:pt>
                <c:pt idx="30">
                  <c:v>9000000</c:v>
                </c:pt>
                <c:pt idx="31">
                  <c:v>9300000</c:v>
                </c:pt>
                <c:pt idx="32">
                  <c:v>9600000</c:v>
                </c:pt>
                <c:pt idx="33">
                  <c:v>9900000</c:v>
                </c:pt>
                <c:pt idx="34">
                  <c:v>10200000</c:v>
                </c:pt>
                <c:pt idx="35">
                  <c:v>10500000</c:v>
                </c:pt>
                <c:pt idx="36">
                  <c:v>10800000</c:v>
                </c:pt>
                <c:pt idx="37">
                  <c:v>11100000</c:v>
                </c:pt>
                <c:pt idx="38">
                  <c:v>11400000</c:v>
                </c:pt>
                <c:pt idx="39">
                  <c:v>11700000</c:v>
                </c:pt>
                <c:pt idx="40">
                  <c:v>12000000</c:v>
                </c:pt>
                <c:pt idx="41">
                  <c:v>12300000</c:v>
                </c:pt>
                <c:pt idx="42">
                  <c:v>12600000</c:v>
                </c:pt>
                <c:pt idx="43">
                  <c:v>12900000</c:v>
                </c:pt>
                <c:pt idx="44">
                  <c:v>13200000</c:v>
                </c:pt>
                <c:pt idx="45">
                  <c:v>13500000</c:v>
                </c:pt>
                <c:pt idx="46">
                  <c:v>13800000</c:v>
                </c:pt>
                <c:pt idx="47">
                  <c:v>14100000</c:v>
                </c:pt>
                <c:pt idx="48">
                  <c:v>14400000</c:v>
                </c:pt>
                <c:pt idx="49">
                  <c:v>14700000</c:v>
                </c:pt>
                <c:pt idx="50">
                  <c:v>15000000</c:v>
                </c:pt>
                <c:pt idx="51">
                  <c:v>15300000</c:v>
                </c:pt>
                <c:pt idx="52">
                  <c:v>15600000</c:v>
                </c:pt>
                <c:pt idx="53">
                  <c:v>15900000</c:v>
                </c:pt>
                <c:pt idx="54">
                  <c:v>16200000</c:v>
                </c:pt>
                <c:pt idx="55">
                  <c:v>16500000</c:v>
                </c:pt>
                <c:pt idx="56">
                  <c:v>16800000</c:v>
                </c:pt>
                <c:pt idx="57">
                  <c:v>17100000</c:v>
                </c:pt>
                <c:pt idx="58">
                  <c:v>17400000</c:v>
                </c:pt>
                <c:pt idx="59">
                  <c:v>17700000</c:v>
                </c:pt>
                <c:pt idx="60">
                  <c:v>18000000</c:v>
                </c:pt>
                <c:pt idx="61">
                  <c:v>18300000</c:v>
                </c:pt>
                <c:pt idx="62">
                  <c:v>18600000</c:v>
                </c:pt>
                <c:pt idx="63">
                  <c:v>18900000</c:v>
                </c:pt>
                <c:pt idx="64">
                  <c:v>19200000</c:v>
                </c:pt>
                <c:pt idx="65">
                  <c:v>19500000</c:v>
                </c:pt>
                <c:pt idx="66">
                  <c:v>19800000</c:v>
                </c:pt>
                <c:pt idx="67">
                  <c:v>20100000</c:v>
                </c:pt>
                <c:pt idx="68">
                  <c:v>20400000</c:v>
                </c:pt>
                <c:pt idx="69">
                  <c:v>20700000</c:v>
                </c:pt>
                <c:pt idx="70">
                  <c:v>21000000</c:v>
                </c:pt>
                <c:pt idx="71">
                  <c:v>21300000</c:v>
                </c:pt>
                <c:pt idx="72">
                  <c:v>21600000</c:v>
                </c:pt>
                <c:pt idx="73">
                  <c:v>21900000</c:v>
                </c:pt>
                <c:pt idx="74">
                  <c:v>22200000</c:v>
                </c:pt>
                <c:pt idx="75">
                  <c:v>22500000</c:v>
                </c:pt>
                <c:pt idx="76">
                  <c:v>22800000</c:v>
                </c:pt>
                <c:pt idx="77">
                  <c:v>23100000</c:v>
                </c:pt>
                <c:pt idx="78">
                  <c:v>23400000</c:v>
                </c:pt>
                <c:pt idx="79">
                  <c:v>23700000</c:v>
                </c:pt>
                <c:pt idx="80">
                  <c:v>24000000</c:v>
                </c:pt>
                <c:pt idx="81">
                  <c:v>24300000</c:v>
                </c:pt>
                <c:pt idx="82">
                  <c:v>24600000</c:v>
                </c:pt>
                <c:pt idx="83">
                  <c:v>24900000</c:v>
                </c:pt>
                <c:pt idx="84">
                  <c:v>25200000</c:v>
                </c:pt>
                <c:pt idx="85">
                  <c:v>25500000</c:v>
                </c:pt>
                <c:pt idx="86">
                  <c:v>25800000</c:v>
                </c:pt>
                <c:pt idx="87">
                  <c:v>26100000</c:v>
                </c:pt>
                <c:pt idx="88">
                  <c:v>26400000</c:v>
                </c:pt>
                <c:pt idx="89">
                  <c:v>26700000</c:v>
                </c:pt>
                <c:pt idx="90">
                  <c:v>27000000</c:v>
                </c:pt>
                <c:pt idx="91">
                  <c:v>27300000</c:v>
                </c:pt>
                <c:pt idx="92">
                  <c:v>27600000</c:v>
                </c:pt>
                <c:pt idx="93">
                  <c:v>27900000</c:v>
                </c:pt>
                <c:pt idx="94">
                  <c:v>28200000</c:v>
                </c:pt>
                <c:pt idx="95">
                  <c:v>28500000</c:v>
                </c:pt>
                <c:pt idx="96">
                  <c:v>28800000</c:v>
                </c:pt>
                <c:pt idx="97">
                  <c:v>29100000</c:v>
                </c:pt>
                <c:pt idx="98">
                  <c:v>29400000</c:v>
                </c:pt>
                <c:pt idx="99">
                  <c:v>29700000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F7-4447-98E4-EFDD330BCE12}"/>
            </c:ext>
          </c:extLst>
        </c:ser>
        <c:ser>
          <c:idx val="1"/>
          <c:order val="3"/>
          <c:tx>
            <c:v>CV Año 5</c:v>
          </c:tx>
          <c:spPr>
            <a:ln w="28575"/>
          </c:spPr>
          <c:marker>
            <c:symbol val="none"/>
          </c:marker>
          <c:val>
            <c:numRef>
              <c:f>'E-Costos'!$L$144:$L$244</c:f>
              <c:numCache>
                <c:formatCode>_("$"* #,##0.00_);_("$"* \(#,##0.00\);_("$"* "-"??_);_(@_)</c:formatCode>
                <c:ptCount val="101"/>
                <c:pt idx="0" formatCode="_-&quot;$&quot;* #,##0.00_-;\-&quot;$&quot;* #,##0.00_-;_-&quot;$&quot;* &quot;-&quot;??_-;_-@_-">
                  <c:v>7556679.2002747087</c:v>
                </c:pt>
                <c:pt idx="1">
                  <c:v>7658851.3861947088</c:v>
                </c:pt>
                <c:pt idx="2">
                  <c:v>7761023.5721147088</c:v>
                </c:pt>
                <c:pt idx="3">
                  <c:v>7863195.7580347089</c:v>
                </c:pt>
                <c:pt idx="4">
                  <c:v>7965367.943954709</c:v>
                </c:pt>
                <c:pt idx="5">
                  <c:v>8067540.1298747091</c:v>
                </c:pt>
                <c:pt idx="6">
                  <c:v>8169712.3157947091</c:v>
                </c:pt>
                <c:pt idx="7">
                  <c:v>8271884.5017147092</c:v>
                </c:pt>
                <c:pt idx="8">
                  <c:v>8374056.6876347093</c:v>
                </c:pt>
                <c:pt idx="9">
                  <c:v>8476228.8735547084</c:v>
                </c:pt>
                <c:pt idx="10">
                  <c:v>8578401.0594747085</c:v>
                </c:pt>
                <c:pt idx="11">
                  <c:v>8680573.2453947086</c:v>
                </c:pt>
                <c:pt idx="12">
                  <c:v>8782745.4313147087</c:v>
                </c:pt>
                <c:pt idx="13">
                  <c:v>8884917.6172347087</c:v>
                </c:pt>
                <c:pt idx="14">
                  <c:v>8987089.8031547088</c:v>
                </c:pt>
                <c:pt idx="15">
                  <c:v>9089261.9890747089</c:v>
                </c:pt>
                <c:pt idx="16">
                  <c:v>9191434.174994709</c:v>
                </c:pt>
                <c:pt idx="17">
                  <c:v>9293606.360914709</c:v>
                </c:pt>
                <c:pt idx="18">
                  <c:v>9395778.5468347091</c:v>
                </c:pt>
                <c:pt idx="19">
                  <c:v>9497950.7327547092</c:v>
                </c:pt>
                <c:pt idx="20">
                  <c:v>9600122.9186747093</c:v>
                </c:pt>
                <c:pt idx="21">
                  <c:v>9702295.1045947094</c:v>
                </c:pt>
                <c:pt idx="22">
                  <c:v>9804467.2905147094</c:v>
                </c:pt>
                <c:pt idx="23">
                  <c:v>9906639.4764347095</c:v>
                </c:pt>
                <c:pt idx="24">
                  <c:v>10008811.66235471</c:v>
                </c:pt>
                <c:pt idx="25">
                  <c:v>10110983.84827471</c:v>
                </c:pt>
                <c:pt idx="26">
                  <c:v>10213156.03419471</c:v>
                </c:pt>
                <c:pt idx="27">
                  <c:v>10315328.22011471</c:v>
                </c:pt>
                <c:pt idx="28">
                  <c:v>10417500.40603471</c:v>
                </c:pt>
                <c:pt idx="29">
                  <c:v>10519672.59195471</c:v>
                </c:pt>
                <c:pt idx="30">
                  <c:v>10621844.77787471</c:v>
                </c:pt>
                <c:pt idx="31">
                  <c:v>10724016.96379471</c:v>
                </c:pt>
                <c:pt idx="32">
                  <c:v>10826189.14971471</c:v>
                </c:pt>
                <c:pt idx="33">
                  <c:v>10928361.33563471</c:v>
                </c:pt>
                <c:pt idx="34">
                  <c:v>11030533.52155471</c:v>
                </c:pt>
                <c:pt idx="35">
                  <c:v>11132705.70747471</c:v>
                </c:pt>
                <c:pt idx="36">
                  <c:v>11234877.89339471</c:v>
                </c:pt>
                <c:pt idx="37">
                  <c:v>11337050.079314711</c:v>
                </c:pt>
                <c:pt idx="38">
                  <c:v>11439222.265234711</c:v>
                </c:pt>
                <c:pt idx="39">
                  <c:v>11541394.451154711</c:v>
                </c:pt>
                <c:pt idx="40">
                  <c:v>11643566.637074711</c:v>
                </c:pt>
                <c:pt idx="41">
                  <c:v>11745738.822994711</c:v>
                </c:pt>
                <c:pt idx="42">
                  <c:v>11847911.008914711</c:v>
                </c:pt>
                <c:pt idx="43">
                  <c:v>11950083.194834711</c:v>
                </c:pt>
                <c:pt idx="44">
                  <c:v>12052255.380754711</c:v>
                </c:pt>
                <c:pt idx="45">
                  <c:v>12154427.566674711</c:v>
                </c:pt>
                <c:pt idx="46">
                  <c:v>12256599.752594711</c:v>
                </c:pt>
                <c:pt idx="47">
                  <c:v>12358771.938514711</c:v>
                </c:pt>
                <c:pt idx="48">
                  <c:v>12460944.124434711</c:v>
                </c:pt>
                <c:pt idx="49">
                  <c:v>12563116.310354711</c:v>
                </c:pt>
                <c:pt idx="50">
                  <c:v>12665288.496274712</c:v>
                </c:pt>
                <c:pt idx="51">
                  <c:v>12767460.682194712</c:v>
                </c:pt>
                <c:pt idx="52">
                  <c:v>12869632.868114712</c:v>
                </c:pt>
                <c:pt idx="53">
                  <c:v>12971805.054034712</c:v>
                </c:pt>
                <c:pt idx="54">
                  <c:v>13073977.239954712</c:v>
                </c:pt>
                <c:pt idx="55">
                  <c:v>13176149.425874712</c:v>
                </c:pt>
                <c:pt idx="56">
                  <c:v>13278321.611794712</c:v>
                </c:pt>
                <c:pt idx="57">
                  <c:v>13380493.797714712</c:v>
                </c:pt>
                <c:pt idx="58">
                  <c:v>13482665.983634712</c:v>
                </c:pt>
                <c:pt idx="59">
                  <c:v>13584838.169554712</c:v>
                </c:pt>
                <c:pt idx="60">
                  <c:v>13687010.355474712</c:v>
                </c:pt>
                <c:pt idx="61">
                  <c:v>13789182.541394712</c:v>
                </c:pt>
                <c:pt idx="62">
                  <c:v>13891354.727314712</c:v>
                </c:pt>
                <c:pt idx="63">
                  <c:v>13993526.913234713</c:v>
                </c:pt>
                <c:pt idx="64">
                  <c:v>14095699.099154713</c:v>
                </c:pt>
                <c:pt idx="65">
                  <c:v>14197871.285074713</c:v>
                </c:pt>
                <c:pt idx="66">
                  <c:v>14300043.470994713</c:v>
                </c:pt>
                <c:pt idx="67">
                  <c:v>14402215.656914713</c:v>
                </c:pt>
                <c:pt idx="68">
                  <c:v>14504387.842834713</c:v>
                </c:pt>
                <c:pt idx="69">
                  <c:v>14606560.028754713</c:v>
                </c:pt>
                <c:pt idx="70">
                  <c:v>14708732.214674713</c:v>
                </c:pt>
                <c:pt idx="71">
                  <c:v>14810904.400594713</c:v>
                </c:pt>
                <c:pt idx="72">
                  <c:v>14913076.586514713</c:v>
                </c:pt>
                <c:pt idx="73">
                  <c:v>15015248.772434713</c:v>
                </c:pt>
                <c:pt idx="74">
                  <c:v>15117420.958354713</c:v>
                </c:pt>
                <c:pt idx="75">
                  <c:v>15219593.144274713</c:v>
                </c:pt>
                <c:pt idx="76">
                  <c:v>15321765.330194714</c:v>
                </c:pt>
                <c:pt idx="77">
                  <c:v>15423937.516114714</c:v>
                </c:pt>
                <c:pt idx="78">
                  <c:v>15526109.702034714</c:v>
                </c:pt>
                <c:pt idx="79">
                  <c:v>15628281.887954714</c:v>
                </c:pt>
                <c:pt idx="80">
                  <c:v>15730454.073874714</c:v>
                </c:pt>
                <c:pt idx="81">
                  <c:v>15832626.259794714</c:v>
                </c:pt>
                <c:pt idx="82">
                  <c:v>15934798.445714714</c:v>
                </c:pt>
                <c:pt idx="83">
                  <c:v>16036970.631634714</c:v>
                </c:pt>
                <c:pt idx="84">
                  <c:v>16139142.817554714</c:v>
                </c:pt>
                <c:pt idx="85">
                  <c:v>16241315.003474714</c:v>
                </c:pt>
                <c:pt idx="86">
                  <c:v>16343487.189394714</c:v>
                </c:pt>
                <c:pt idx="87">
                  <c:v>16445659.375314714</c:v>
                </c:pt>
                <c:pt idx="88">
                  <c:v>16547831.561234714</c:v>
                </c:pt>
                <c:pt idx="89">
                  <c:v>16650003.747154715</c:v>
                </c:pt>
                <c:pt idx="90">
                  <c:v>16752175.933074715</c:v>
                </c:pt>
                <c:pt idx="91">
                  <c:v>16854348.118994713</c:v>
                </c:pt>
                <c:pt idx="92">
                  <c:v>16956520.304914713</c:v>
                </c:pt>
                <c:pt idx="93">
                  <c:v>17058692.490834713</c:v>
                </c:pt>
                <c:pt idx="94">
                  <c:v>17160864.676754713</c:v>
                </c:pt>
                <c:pt idx="95">
                  <c:v>17263036.862674713</c:v>
                </c:pt>
                <c:pt idx="96">
                  <c:v>17365209.048594713</c:v>
                </c:pt>
                <c:pt idx="97">
                  <c:v>17467381.234514713</c:v>
                </c:pt>
                <c:pt idx="98">
                  <c:v>17569553.420434713</c:v>
                </c:pt>
                <c:pt idx="99">
                  <c:v>17671725.606354713</c:v>
                </c:pt>
                <c:pt idx="100">
                  <c:v>17773897.792274714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F7-4447-98E4-EFDD330BCE12}"/>
            </c:ext>
          </c:extLst>
        </c:ser>
        <c:ser>
          <c:idx val="4"/>
          <c:order val="4"/>
          <c:tx>
            <c:v>CT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'E-Costos'!$K$144:$K$244</c:f>
              <c:numCache>
                <c:formatCode>_(\$* #,##0.00_);_(\$* \(#,##0.00\);_(\$* \-??_);_(@_)</c:formatCode>
                <c:ptCount val="101"/>
                <c:pt idx="0">
                  <c:v>17773897.79227471</c:v>
                </c:pt>
                <c:pt idx="1">
                  <c:v>17773897.79227471</c:v>
                </c:pt>
                <c:pt idx="2">
                  <c:v>17773897.79227471</c:v>
                </c:pt>
                <c:pt idx="3">
                  <c:v>17773897.79227471</c:v>
                </c:pt>
                <c:pt idx="4">
                  <c:v>17773897.79227471</c:v>
                </c:pt>
                <c:pt idx="5">
                  <c:v>17773897.79227471</c:v>
                </c:pt>
                <c:pt idx="6">
                  <c:v>17773897.79227471</c:v>
                </c:pt>
                <c:pt idx="7">
                  <c:v>17773897.79227471</c:v>
                </c:pt>
                <c:pt idx="8">
                  <c:v>17773897.79227471</c:v>
                </c:pt>
                <c:pt idx="9">
                  <c:v>17773897.79227471</c:v>
                </c:pt>
                <c:pt idx="10">
                  <c:v>17773897.79227471</c:v>
                </c:pt>
                <c:pt idx="11">
                  <c:v>17773897.79227471</c:v>
                </c:pt>
                <c:pt idx="12">
                  <c:v>17773897.79227471</c:v>
                </c:pt>
                <c:pt idx="13">
                  <c:v>17773897.79227471</c:v>
                </c:pt>
                <c:pt idx="14">
                  <c:v>17773897.79227471</c:v>
                </c:pt>
                <c:pt idx="15">
                  <c:v>17773897.79227471</c:v>
                </c:pt>
                <c:pt idx="16">
                  <c:v>17773897.79227471</c:v>
                </c:pt>
                <c:pt idx="17">
                  <c:v>17773897.79227471</c:v>
                </c:pt>
                <c:pt idx="18">
                  <c:v>17773897.79227471</c:v>
                </c:pt>
                <c:pt idx="19">
                  <c:v>17773897.79227471</c:v>
                </c:pt>
                <c:pt idx="20">
                  <c:v>17773897.79227471</c:v>
                </c:pt>
                <c:pt idx="21">
                  <c:v>17773897.79227471</c:v>
                </c:pt>
                <c:pt idx="22">
                  <c:v>17773897.79227471</c:v>
                </c:pt>
                <c:pt idx="23">
                  <c:v>17773897.79227471</c:v>
                </c:pt>
                <c:pt idx="24">
                  <c:v>17773897.79227471</c:v>
                </c:pt>
                <c:pt idx="25">
                  <c:v>17773897.79227471</c:v>
                </c:pt>
                <c:pt idx="26">
                  <c:v>17773897.79227471</c:v>
                </c:pt>
                <c:pt idx="27">
                  <c:v>17773897.79227471</c:v>
                </c:pt>
                <c:pt idx="28">
                  <c:v>17773897.79227471</c:v>
                </c:pt>
                <c:pt idx="29">
                  <c:v>17773897.79227471</c:v>
                </c:pt>
                <c:pt idx="30">
                  <c:v>17773897.79227471</c:v>
                </c:pt>
                <c:pt idx="31">
                  <c:v>17773897.79227471</c:v>
                </c:pt>
                <c:pt idx="32">
                  <c:v>17773897.79227471</c:v>
                </c:pt>
                <c:pt idx="33">
                  <c:v>17773897.79227471</c:v>
                </c:pt>
                <c:pt idx="34">
                  <c:v>17773897.79227471</c:v>
                </c:pt>
                <c:pt idx="35">
                  <c:v>17773897.79227471</c:v>
                </c:pt>
                <c:pt idx="36">
                  <c:v>17773897.79227471</c:v>
                </c:pt>
                <c:pt idx="37">
                  <c:v>17773897.79227471</c:v>
                </c:pt>
                <c:pt idx="38">
                  <c:v>17773897.79227471</c:v>
                </c:pt>
                <c:pt idx="39">
                  <c:v>17773897.79227471</c:v>
                </c:pt>
                <c:pt idx="40">
                  <c:v>17773897.79227471</c:v>
                </c:pt>
                <c:pt idx="41">
                  <c:v>17773897.79227471</c:v>
                </c:pt>
                <c:pt idx="42">
                  <c:v>17773897.79227471</c:v>
                </c:pt>
                <c:pt idx="43">
                  <c:v>17773897.79227471</c:v>
                </c:pt>
                <c:pt idx="44">
                  <c:v>17773897.79227471</c:v>
                </c:pt>
                <c:pt idx="45">
                  <c:v>17773897.79227471</c:v>
                </c:pt>
                <c:pt idx="46">
                  <c:v>17773897.79227471</c:v>
                </c:pt>
                <c:pt idx="47">
                  <c:v>17773897.79227471</c:v>
                </c:pt>
                <c:pt idx="48">
                  <c:v>17773897.79227471</c:v>
                </c:pt>
                <c:pt idx="49">
                  <c:v>17773897.79227471</c:v>
                </c:pt>
                <c:pt idx="50">
                  <c:v>17773897.79227471</c:v>
                </c:pt>
                <c:pt idx="51">
                  <c:v>17773897.79227471</c:v>
                </c:pt>
                <c:pt idx="52">
                  <c:v>17773897.79227471</c:v>
                </c:pt>
                <c:pt idx="53">
                  <c:v>17773897.79227471</c:v>
                </c:pt>
                <c:pt idx="54">
                  <c:v>17773897.79227471</c:v>
                </c:pt>
                <c:pt idx="55">
                  <c:v>17773897.79227471</c:v>
                </c:pt>
                <c:pt idx="56">
                  <c:v>17773897.79227471</c:v>
                </c:pt>
                <c:pt idx="57">
                  <c:v>17773897.79227471</c:v>
                </c:pt>
                <c:pt idx="58">
                  <c:v>17773897.79227471</c:v>
                </c:pt>
                <c:pt idx="59">
                  <c:v>17773897.79227471</c:v>
                </c:pt>
                <c:pt idx="60">
                  <c:v>17773897.79227471</c:v>
                </c:pt>
                <c:pt idx="61">
                  <c:v>17773897.79227471</c:v>
                </c:pt>
                <c:pt idx="62">
                  <c:v>17773897.79227471</c:v>
                </c:pt>
                <c:pt idx="63">
                  <c:v>17773897.79227471</c:v>
                </c:pt>
                <c:pt idx="64">
                  <c:v>17773897.79227471</c:v>
                </c:pt>
                <c:pt idx="65">
                  <c:v>17773897.79227471</c:v>
                </c:pt>
                <c:pt idx="66">
                  <c:v>17773897.79227471</c:v>
                </c:pt>
                <c:pt idx="67">
                  <c:v>17773897.79227471</c:v>
                </c:pt>
                <c:pt idx="68">
                  <c:v>17773897.79227471</c:v>
                </c:pt>
                <c:pt idx="69">
                  <c:v>17773897.79227471</c:v>
                </c:pt>
                <c:pt idx="70">
                  <c:v>17773897.79227471</c:v>
                </c:pt>
                <c:pt idx="71">
                  <c:v>17773897.79227471</c:v>
                </c:pt>
                <c:pt idx="72">
                  <c:v>17773897.79227471</c:v>
                </c:pt>
                <c:pt idx="73">
                  <c:v>17773897.79227471</c:v>
                </c:pt>
                <c:pt idx="74">
                  <c:v>17773897.79227471</c:v>
                </c:pt>
                <c:pt idx="75">
                  <c:v>17773897.79227471</c:v>
                </c:pt>
                <c:pt idx="76">
                  <c:v>17773897.79227471</c:v>
                </c:pt>
                <c:pt idx="77">
                  <c:v>17773897.79227471</c:v>
                </c:pt>
                <c:pt idx="78">
                  <c:v>17773897.79227471</c:v>
                </c:pt>
                <c:pt idx="79">
                  <c:v>17773897.79227471</c:v>
                </c:pt>
                <c:pt idx="80">
                  <c:v>17773897.79227471</c:v>
                </c:pt>
                <c:pt idx="81">
                  <c:v>17773897.79227471</c:v>
                </c:pt>
                <c:pt idx="82">
                  <c:v>17773897.79227471</c:v>
                </c:pt>
                <c:pt idx="83">
                  <c:v>17773897.79227471</c:v>
                </c:pt>
                <c:pt idx="84">
                  <c:v>17773897.79227471</c:v>
                </c:pt>
                <c:pt idx="85">
                  <c:v>17773897.79227471</c:v>
                </c:pt>
                <c:pt idx="86">
                  <c:v>17773897.79227471</c:v>
                </c:pt>
                <c:pt idx="87">
                  <c:v>17773897.79227471</c:v>
                </c:pt>
                <c:pt idx="88">
                  <c:v>17773897.79227471</c:v>
                </c:pt>
                <c:pt idx="89">
                  <c:v>17773897.79227471</c:v>
                </c:pt>
                <c:pt idx="90">
                  <c:v>17773897.79227471</c:v>
                </c:pt>
                <c:pt idx="91">
                  <c:v>17773897.79227471</c:v>
                </c:pt>
                <c:pt idx="92">
                  <c:v>17773897.79227471</c:v>
                </c:pt>
                <c:pt idx="93">
                  <c:v>17773897.79227471</c:v>
                </c:pt>
                <c:pt idx="94">
                  <c:v>17773897.79227471</c:v>
                </c:pt>
                <c:pt idx="95">
                  <c:v>17773897.79227471</c:v>
                </c:pt>
                <c:pt idx="96">
                  <c:v>17773897.79227471</c:v>
                </c:pt>
                <c:pt idx="97">
                  <c:v>17773897.79227471</c:v>
                </c:pt>
                <c:pt idx="98">
                  <c:v>17773897.79227471</c:v>
                </c:pt>
                <c:pt idx="99">
                  <c:v>17773897.79227471</c:v>
                </c:pt>
                <c:pt idx="100">
                  <c:v>17773897.79227471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F7-4447-98E4-EFDD330BCE12}"/>
            </c:ext>
          </c:extLst>
        </c:ser>
        <c:ser>
          <c:idx val="8"/>
          <c:order val="5"/>
          <c:tx>
            <c:v>Ventas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'E-Costos'!$B$144:$B$244</c:f>
              <c:numCache>
                <c:formatCode>_(\$* #,##0.00_);_(\$* \(#,##0.00\);_(\$* \-??_);_(@_)</c:formatCode>
                <c:ptCount val="101"/>
                <c:pt idx="0">
                  <c:v>25937500</c:v>
                </c:pt>
                <c:pt idx="1">
                  <c:v>25937500</c:v>
                </c:pt>
                <c:pt idx="2">
                  <c:v>25937500</c:v>
                </c:pt>
                <c:pt idx="3">
                  <c:v>25937500</c:v>
                </c:pt>
                <c:pt idx="4">
                  <c:v>25937500</c:v>
                </c:pt>
                <c:pt idx="5">
                  <c:v>25937500</c:v>
                </c:pt>
                <c:pt idx="6">
                  <c:v>25937500</c:v>
                </c:pt>
                <c:pt idx="7">
                  <c:v>25937500</c:v>
                </c:pt>
                <c:pt idx="8">
                  <c:v>25937500</c:v>
                </c:pt>
                <c:pt idx="9">
                  <c:v>25937500</c:v>
                </c:pt>
                <c:pt idx="10">
                  <c:v>25937500</c:v>
                </c:pt>
                <c:pt idx="11">
                  <c:v>25937500</c:v>
                </c:pt>
                <c:pt idx="12">
                  <c:v>25937500</c:v>
                </c:pt>
                <c:pt idx="13">
                  <c:v>25937500</c:v>
                </c:pt>
                <c:pt idx="14">
                  <c:v>25937500</c:v>
                </c:pt>
                <c:pt idx="15">
                  <c:v>25937500</c:v>
                </c:pt>
                <c:pt idx="16">
                  <c:v>25937500</c:v>
                </c:pt>
                <c:pt idx="17">
                  <c:v>25937500</c:v>
                </c:pt>
                <c:pt idx="18">
                  <c:v>25937500</c:v>
                </c:pt>
                <c:pt idx="19">
                  <c:v>25937500</c:v>
                </c:pt>
                <c:pt idx="20">
                  <c:v>25937500</c:v>
                </c:pt>
                <c:pt idx="21">
                  <c:v>25937500</c:v>
                </c:pt>
                <c:pt idx="22">
                  <c:v>25937500</c:v>
                </c:pt>
                <c:pt idx="23">
                  <c:v>25937500</c:v>
                </c:pt>
                <c:pt idx="24">
                  <c:v>25937500</c:v>
                </c:pt>
                <c:pt idx="25">
                  <c:v>25937500</c:v>
                </c:pt>
                <c:pt idx="26">
                  <c:v>25937500</c:v>
                </c:pt>
                <c:pt idx="27">
                  <c:v>25937500</c:v>
                </c:pt>
                <c:pt idx="28">
                  <c:v>25937500</c:v>
                </c:pt>
                <c:pt idx="29">
                  <c:v>25937500</c:v>
                </c:pt>
                <c:pt idx="30">
                  <c:v>25937500</c:v>
                </c:pt>
                <c:pt idx="31">
                  <c:v>25937500</c:v>
                </c:pt>
                <c:pt idx="32">
                  <c:v>25937500</c:v>
                </c:pt>
                <c:pt idx="33">
                  <c:v>25937500</c:v>
                </c:pt>
                <c:pt idx="34">
                  <c:v>25937500</c:v>
                </c:pt>
                <c:pt idx="35">
                  <c:v>25937500</c:v>
                </c:pt>
                <c:pt idx="36">
                  <c:v>25937500</c:v>
                </c:pt>
                <c:pt idx="37">
                  <c:v>25937500</c:v>
                </c:pt>
                <c:pt idx="38">
                  <c:v>25937500</c:v>
                </c:pt>
                <c:pt idx="39">
                  <c:v>25937500</c:v>
                </c:pt>
                <c:pt idx="40">
                  <c:v>25937500</c:v>
                </c:pt>
                <c:pt idx="41">
                  <c:v>25937500</c:v>
                </c:pt>
                <c:pt idx="42">
                  <c:v>25937500</c:v>
                </c:pt>
                <c:pt idx="43">
                  <c:v>25937500</c:v>
                </c:pt>
                <c:pt idx="44">
                  <c:v>25937500</c:v>
                </c:pt>
                <c:pt idx="45">
                  <c:v>25937500</c:v>
                </c:pt>
                <c:pt idx="46">
                  <c:v>25937500</c:v>
                </c:pt>
                <c:pt idx="47">
                  <c:v>25937500</c:v>
                </c:pt>
                <c:pt idx="48">
                  <c:v>25937500</c:v>
                </c:pt>
                <c:pt idx="49">
                  <c:v>25937500</c:v>
                </c:pt>
                <c:pt idx="50">
                  <c:v>25937500</c:v>
                </c:pt>
                <c:pt idx="51">
                  <c:v>25937500</c:v>
                </c:pt>
                <c:pt idx="52">
                  <c:v>25937500</c:v>
                </c:pt>
                <c:pt idx="53">
                  <c:v>25937500</c:v>
                </c:pt>
                <c:pt idx="54">
                  <c:v>25937500</c:v>
                </c:pt>
                <c:pt idx="55">
                  <c:v>25937500</c:v>
                </c:pt>
                <c:pt idx="56">
                  <c:v>25937500</c:v>
                </c:pt>
                <c:pt idx="57">
                  <c:v>25937500</c:v>
                </c:pt>
                <c:pt idx="58">
                  <c:v>25937500</c:v>
                </c:pt>
                <c:pt idx="59">
                  <c:v>25937500</c:v>
                </c:pt>
                <c:pt idx="60">
                  <c:v>25937500</c:v>
                </c:pt>
                <c:pt idx="61">
                  <c:v>25937500</c:v>
                </c:pt>
                <c:pt idx="62">
                  <c:v>25937500</c:v>
                </c:pt>
                <c:pt idx="63">
                  <c:v>25937500</c:v>
                </c:pt>
                <c:pt idx="64">
                  <c:v>25937500</c:v>
                </c:pt>
                <c:pt idx="65">
                  <c:v>25937500</c:v>
                </c:pt>
                <c:pt idx="66">
                  <c:v>25937500</c:v>
                </c:pt>
                <c:pt idx="67">
                  <c:v>25937500</c:v>
                </c:pt>
                <c:pt idx="68">
                  <c:v>25937500</c:v>
                </c:pt>
                <c:pt idx="69">
                  <c:v>25937500</c:v>
                </c:pt>
                <c:pt idx="70">
                  <c:v>25937500</c:v>
                </c:pt>
                <c:pt idx="71">
                  <c:v>25937500</c:v>
                </c:pt>
                <c:pt idx="72">
                  <c:v>25937500</c:v>
                </c:pt>
                <c:pt idx="73">
                  <c:v>25937500</c:v>
                </c:pt>
                <c:pt idx="74">
                  <c:v>25937500</c:v>
                </c:pt>
                <c:pt idx="75">
                  <c:v>25937500</c:v>
                </c:pt>
                <c:pt idx="76">
                  <c:v>25937500</c:v>
                </c:pt>
                <c:pt idx="77">
                  <c:v>25937500</c:v>
                </c:pt>
                <c:pt idx="78">
                  <c:v>25937500</c:v>
                </c:pt>
                <c:pt idx="79">
                  <c:v>25937500</c:v>
                </c:pt>
                <c:pt idx="80">
                  <c:v>25937500</c:v>
                </c:pt>
                <c:pt idx="81">
                  <c:v>25937500</c:v>
                </c:pt>
                <c:pt idx="82">
                  <c:v>25937500</c:v>
                </c:pt>
                <c:pt idx="83">
                  <c:v>25937500</c:v>
                </c:pt>
                <c:pt idx="84">
                  <c:v>25937500</c:v>
                </c:pt>
                <c:pt idx="85">
                  <c:v>25937500</c:v>
                </c:pt>
                <c:pt idx="86">
                  <c:v>25937500</c:v>
                </c:pt>
                <c:pt idx="87">
                  <c:v>25937500</c:v>
                </c:pt>
                <c:pt idx="88">
                  <c:v>25937500</c:v>
                </c:pt>
                <c:pt idx="89">
                  <c:v>25937500</c:v>
                </c:pt>
                <c:pt idx="90">
                  <c:v>25937500</c:v>
                </c:pt>
                <c:pt idx="91">
                  <c:v>25937500</c:v>
                </c:pt>
                <c:pt idx="92">
                  <c:v>25937500</c:v>
                </c:pt>
                <c:pt idx="93">
                  <c:v>25937500</c:v>
                </c:pt>
                <c:pt idx="94">
                  <c:v>25937500</c:v>
                </c:pt>
                <c:pt idx="95">
                  <c:v>25937500</c:v>
                </c:pt>
                <c:pt idx="96">
                  <c:v>25937500</c:v>
                </c:pt>
                <c:pt idx="97">
                  <c:v>25937500</c:v>
                </c:pt>
                <c:pt idx="98">
                  <c:v>25937500</c:v>
                </c:pt>
                <c:pt idx="99">
                  <c:v>25937500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8F7-4447-98E4-EFDD330BCE12}"/>
            </c:ext>
          </c:extLst>
        </c:ser>
        <c:ser>
          <c:idx val="5"/>
          <c:order val="6"/>
          <c:tx>
            <c:v>CFT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'E-Costos'!$C$144:$C$244</c:f>
              <c:numCache>
                <c:formatCode>_(\$* #,##0.00_);_(\$* \(#,##0.00\);_(\$* \-??_);_(@_)</c:formatCode>
                <c:ptCount val="101"/>
                <c:pt idx="0">
                  <c:v>7032367.5233235899</c:v>
                </c:pt>
                <c:pt idx="1">
                  <c:v>7032367.5233235899</c:v>
                </c:pt>
                <c:pt idx="2">
                  <c:v>7032367.5233235899</c:v>
                </c:pt>
                <c:pt idx="3">
                  <c:v>7032367.5233235899</c:v>
                </c:pt>
                <c:pt idx="4">
                  <c:v>7032367.5233235899</c:v>
                </c:pt>
                <c:pt idx="5">
                  <c:v>7032367.5233235899</c:v>
                </c:pt>
                <c:pt idx="6">
                  <c:v>7032367.5233235899</c:v>
                </c:pt>
                <c:pt idx="7">
                  <c:v>7032367.5233235899</c:v>
                </c:pt>
                <c:pt idx="8">
                  <c:v>7032367.5233235899</c:v>
                </c:pt>
                <c:pt idx="9">
                  <c:v>7032367.5233235899</c:v>
                </c:pt>
                <c:pt idx="10">
                  <c:v>7032367.5233235899</c:v>
                </c:pt>
                <c:pt idx="11">
                  <c:v>7032367.5233235899</c:v>
                </c:pt>
                <c:pt idx="12">
                  <c:v>7032367.5233235899</c:v>
                </c:pt>
                <c:pt idx="13">
                  <c:v>7032367.5233235899</c:v>
                </c:pt>
                <c:pt idx="14">
                  <c:v>7032367.5233235899</c:v>
                </c:pt>
                <c:pt idx="15">
                  <c:v>7032367.5233235899</c:v>
                </c:pt>
                <c:pt idx="16">
                  <c:v>7032367.5233235899</c:v>
                </c:pt>
                <c:pt idx="17">
                  <c:v>7032367.5233235899</c:v>
                </c:pt>
                <c:pt idx="18">
                  <c:v>7032367.5233235899</c:v>
                </c:pt>
                <c:pt idx="19">
                  <c:v>7032367.5233235899</c:v>
                </c:pt>
                <c:pt idx="20">
                  <c:v>7032367.5233235899</c:v>
                </c:pt>
                <c:pt idx="21">
                  <c:v>7032367.5233235899</c:v>
                </c:pt>
                <c:pt idx="22">
                  <c:v>7032367.5233235899</c:v>
                </c:pt>
                <c:pt idx="23">
                  <c:v>7032367.5233235899</c:v>
                </c:pt>
                <c:pt idx="24">
                  <c:v>7032367.5233235899</c:v>
                </c:pt>
                <c:pt idx="25">
                  <c:v>7032367.5233235899</c:v>
                </c:pt>
                <c:pt idx="26">
                  <c:v>7032367.5233235899</c:v>
                </c:pt>
                <c:pt idx="27">
                  <c:v>7032367.5233235899</c:v>
                </c:pt>
                <c:pt idx="28">
                  <c:v>7032367.5233235899</c:v>
                </c:pt>
                <c:pt idx="29">
                  <c:v>7032367.5233235899</c:v>
                </c:pt>
                <c:pt idx="30">
                  <c:v>7032367.5233235899</c:v>
                </c:pt>
                <c:pt idx="31">
                  <c:v>7032367.5233235899</c:v>
                </c:pt>
                <c:pt idx="32">
                  <c:v>7032367.5233235899</c:v>
                </c:pt>
                <c:pt idx="33">
                  <c:v>7032367.5233235899</c:v>
                </c:pt>
                <c:pt idx="34">
                  <c:v>7032367.5233235899</c:v>
                </c:pt>
                <c:pt idx="35">
                  <c:v>7032367.5233235899</c:v>
                </c:pt>
                <c:pt idx="36">
                  <c:v>7032367.5233235899</c:v>
                </c:pt>
                <c:pt idx="37">
                  <c:v>7032367.5233235899</c:v>
                </c:pt>
                <c:pt idx="38">
                  <c:v>7032367.5233235899</c:v>
                </c:pt>
                <c:pt idx="39">
                  <c:v>7032367.5233235899</c:v>
                </c:pt>
                <c:pt idx="40">
                  <c:v>7032367.5233235899</c:v>
                </c:pt>
                <c:pt idx="41">
                  <c:v>7032367.5233235899</c:v>
                </c:pt>
                <c:pt idx="42">
                  <c:v>7032367.5233235899</c:v>
                </c:pt>
                <c:pt idx="43">
                  <c:v>7032367.5233235899</c:v>
                </c:pt>
                <c:pt idx="44">
                  <c:v>7032367.5233235899</c:v>
                </c:pt>
                <c:pt idx="45">
                  <c:v>7032367.5233235899</c:v>
                </c:pt>
                <c:pt idx="46">
                  <c:v>7032367.5233235899</c:v>
                </c:pt>
                <c:pt idx="47">
                  <c:v>7032367.5233235899</c:v>
                </c:pt>
                <c:pt idx="48">
                  <c:v>7032367.5233235899</c:v>
                </c:pt>
                <c:pt idx="49">
                  <c:v>7032367.5233235899</c:v>
                </c:pt>
                <c:pt idx="50">
                  <c:v>7032367.5233235899</c:v>
                </c:pt>
                <c:pt idx="51">
                  <c:v>7032367.5233235899</c:v>
                </c:pt>
                <c:pt idx="52">
                  <c:v>7032367.5233235899</c:v>
                </c:pt>
                <c:pt idx="53">
                  <c:v>7032367.5233235899</c:v>
                </c:pt>
                <c:pt idx="54">
                  <c:v>7032367.5233235899</c:v>
                </c:pt>
                <c:pt idx="55">
                  <c:v>7032367.5233235899</c:v>
                </c:pt>
                <c:pt idx="56">
                  <c:v>7032367.5233235899</c:v>
                </c:pt>
                <c:pt idx="57">
                  <c:v>7032367.5233235899</c:v>
                </c:pt>
                <c:pt idx="58">
                  <c:v>7032367.5233235899</c:v>
                </c:pt>
                <c:pt idx="59">
                  <c:v>7032367.5233235899</c:v>
                </c:pt>
                <c:pt idx="60">
                  <c:v>7032367.5233235899</c:v>
                </c:pt>
                <c:pt idx="61">
                  <c:v>7032367.5233235899</c:v>
                </c:pt>
                <c:pt idx="62">
                  <c:v>7032367.5233235899</c:v>
                </c:pt>
                <c:pt idx="63">
                  <c:v>7032367.5233235899</c:v>
                </c:pt>
                <c:pt idx="64">
                  <c:v>7032367.5233235899</c:v>
                </c:pt>
                <c:pt idx="65">
                  <c:v>7032367.5233235899</c:v>
                </c:pt>
                <c:pt idx="66">
                  <c:v>7032367.5233235899</c:v>
                </c:pt>
                <c:pt idx="67">
                  <c:v>7032367.5233235899</c:v>
                </c:pt>
                <c:pt idx="68">
                  <c:v>7032367.5233235899</c:v>
                </c:pt>
                <c:pt idx="69">
                  <c:v>7032367.5233235899</c:v>
                </c:pt>
                <c:pt idx="70">
                  <c:v>7032367.5233235899</c:v>
                </c:pt>
                <c:pt idx="71">
                  <c:v>7032367.5233235899</c:v>
                </c:pt>
                <c:pt idx="72">
                  <c:v>7032367.5233235899</c:v>
                </c:pt>
                <c:pt idx="73">
                  <c:v>7032367.5233235899</c:v>
                </c:pt>
                <c:pt idx="74">
                  <c:v>7032367.5233235899</c:v>
                </c:pt>
                <c:pt idx="75">
                  <c:v>7032367.5233235899</c:v>
                </c:pt>
                <c:pt idx="76">
                  <c:v>7032367.5233235899</c:v>
                </c:pt>
                <c:pt idx="77">
                  <c:v>7032367.5233235899</c:v>
                </c:pt>
                <c:pt idx="78">
                  <c:v>7032367.5233235899</c:v>
                </c:pt>
                <c:pt idx="79">
                  <c:v>7032367.5233235899</c:v>
                </c:pt>
                <c:pt idx="80">
                  <c:v>7032367.5233235899</c:v>
                </c:pt>
                <c:pt idx="81">
                  <c:v>7032367.5233235899</c:v>
                </c:pt>
                <c:pt idx="82">
                  <c:v>7032367.5233235899</c:v>
                </c:pt>
                <c:pt idx="83">
                  <c:v>7032367.5233235899</c:v>
                </c:pt>
                <c:pt idx="84">
                  <c:v>7032367.5233235899</c:v>
                </c:pt>
                <c:pt idx="85">
                  <c:v>7032367.5233235899</c:v>
                </c:pt>
                <c:pt idx="86">
                  <c:v>7032367.5233235899</c:v>
                </c:pt>
                <c:pt idx="87">
                  <c:v>7032367.5233235899</c:v>
                </c:pt>
                <c:pt idx="88">
                  <c:v>7032367.5233235899</c:v>
                </c:pt>
                <c:pt idx="89">
                  <c:v>7032367.5233235899</c:v>
                </c:pt>
                <c:pt idx="90">
                  <c:v>7032367.5233235899</c:v>
                </c:pt>
                <c:pt idx="91">
                  <c:v>7032367.5233235899</c:v>
                </c:pt>
                <c:pt idx="92">
                  <c:v>7032367.5233235899</c:v>
                </c:pt>
                <c:pt idx="93">
                  <c:v>7032367.5233235899</c:v>
                </c:pt>
                <c:pt idx="94">
                  <c:v>7032367.5233235899</c:v>
                </c:pt>
                <c:pt idx="95">
                  <c:v>7032367.5233235899</c:v>
                </c:pt>
                <c:pt idx="96">
                  <c:v>7032367.5233235899</c:v>
                </c:pt>
                <c:pt idx="97">
                  <c:v>7032367.5233235899</c:v>
                </c:pt>
                <c:pt idx="98">
                  <c:v>7032367.5233235899</c:v>
                </c:pt>
                <c:pt idx="99">
                  <c:v>7032367.5233235899</c:v>
                </c:pt>
                <c:pt idx="100">
                  <c:v>7032367.5233235899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F7-4447-98E4-EFDD330BCE12}"/>
            </c:ext>
          </c:extLst>
        </c:ser>
        <c:ser>
          <c:idx val="6"/>
          <c:order val="7"/>
          <c:tx>
            <c:v>CV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'E-Costos'!$F$144:$F$244</c:f>
              <c:numCache>
                <c:formatCode>_("$"* #,##0.00_);_("$"* \(#,##0.00\);_("$"* "-"??_);_(@_)</c:formatCode>
                <c:ptCount val="101"/>
                <c:pt idx="0" formatCode="_-&quot;$&quot;* #,##0.00_-;\-&quot;$&quot;* #,##0.00_-;_-&quot;$&quot;* &quot;-&quot;??_-;_-@_-">
                  <c:v>7032367.5233235899</c:v>
                </c:pt>
                <c:pt idx="1">
                  <c:v>7124635.0186011903</c:v>
                </c:pt>
                <c:pt idx="2">
                  <c:v>7216902.5138787907</c:v>
                </c:pt>
                <c:pt idx="3">
                  <c:v>7309170.009156391</c:v>
                </c:pt>
                <c:pt idx="4">
                  <c:v>7401437.5044339914</c:v>
                </c:pt>
                <c:pt idx="5">
                  <c:v>7493704.9997115918</c:v>
                </c:pt>
                <c:pt idx="6">
                  <c:v>7585972.4949891921</c:v>
                </c:pt>
                <c:pt idx="7">
                  <c:v>7678239.9902667925</c:v>
                </c:pt>
                <c:pt idx="8">
                  <c:v>7770507.4855443928</c:v>
                </c:pt>
                <c:pt idx="9">
                  <c:v>7862774.9808219932</c:v>
                </c:pt>
                <c:pt idx="10">
                  <c:v>7955042.4760995936</c:v>
                </c:pt>
                <c:pt idx="11">
                  <c:v>8047309.9713771939</c:v>
                </c:pt>
                <c:pt idx="12">
                  <c:v>8139577.4666547943</c:v>
                </c:pt>
                <c:pt idx="13">
                  <c:v>8231844.9619323947</c:v>
                </c:pt>
                <c:pt idx="14">
                  <c:v>8324112.457209995</c:v>
                </c:pt>
                <c:pt idx="15">
                  <c:v>8416379.9524875954</c:v>
                </c:pt>
                <c:pt idx="16">
                  <c:v>8508647.4477651957</c:v>
                </c:pt>
                <c:pt idx="17">
                  <c:v>8600914.9430427961</c:v>
                </c:pt>
                <c:pt idx="18">
                  <c:v>8693182.4383203965</c:v>
                </c:pt>
                <c:pt idx="19">
                  <c:v>8785449.9335979968</c:v>
                </c:pt>
                <c:pt idx="20">
                  <c:v>8877717.4288755972</c:v>
                </c:pt>
                <c:pt idx="21">
                  <c:v>8969984.9241531976</c:v>
                </c:pt>
                <c:pt idx="22">
                  <c:v>9062252.4194307979</c:v>
                </c:pt>
                <c:pt idx="23">
                  <c:v>9154519.9147083983</c:v>
                </c:pt>
                <c:pt idx="24">
                  <c:v>9246787.4099859986</c:v>
                </c:pt>
                <c:pt idx="25">
                  <c:v>9339054.905263599</c:v>
                </c:pt>
                <c:pt idx="26">
                  <c:v>9431322.4005411994</c:v>
                </c:pt>
                <c:pt idx="27">
                  <c:v>9523589.8958187997</c:v>
                </c:pt>
                <c:pt idx="28">
                  <c:v>9615857.3910964001</c:v>
                </c:pt>
                <c:pt idx="29">
                  <c:v>9708124.8863740005</c:v>
                </c:pt>
                <c:pt idx="30">
                  <c:v>9800392.3816516008</c:v>
                </c:pt>
                <c:pt idx="31">
                  <c:v>9892659.8769292012</c:v>
                </c:pt>
                <c:pt idx="32">
                  <c:v>9984927.3722068015</c:v>
                </c:pt>
                <c:pt idx="33">
                  <c:v>10077194.867484402</c:v>
                </c:pt>
                <c:pt idx="34">
                  <c:v>10169462.362762002</c:v>
                </c:pt>
                <c:pt idx="35">
                  <c:v>10261729.858039603</c:v>
                </c:pt>
                <c:pt idx="36">
                  <c:v>10353997.353317203</c:v>
                </c:pt>
                <c:pt idx="37">
                  <c:v>10446264.848594803</c:v>
                </c:pt>
                <c:pt idx="38">
                  <c:v>10538532.343872404</c:v>
                </c:pt>
                <c:pt idx="39">
                  <c:v>10630799.839150004</c:v>
                </c:pt>
                <c:pt idx="40">
                  <c:v>10723067.334427604</c:v>
                </c:pt>
                <c:pt idx="41">
                  <c:v>10815334.829705205</c:v>
                </c:pt>
                <c:pt idx="42">
                  <c:v>10907602.324982805</c:v>
                </c:pt>
                <c:pt idx="43">
                  <c:v>10999869.820260406</c:v>
                </c:pt>
                <c:pt idx="44">
                  <c:v>11092137.315538006</c:v>
                </c:pt>
                <c:pt idx="45">
                  <c:v>11184404.810815606</c:v>
                </c:pt>
                <c:pt idx="46">
                  <c:v>11276672.306093207</c:v>
                </c:pt>
                <c:pt idx="47">
                  <c:v>11368939.801370807</c:v>
                </c:pt>
                <c:pt idx="48">
                  <c:v>11461207.296648407</c:v>
                </c:pt>
                <c:pt idx="49">
                  <c:v>11553474.791926008</c:v>
                </c:pt>
                <c:pt idx="50">
                  <c:v>11645742.287203608</c:v>
                </c:pt>
                <c:pt idx="51">
                  <c:v>11738009.782481208</c:v>
                </c:pt>
                <c:pt idx="52">
                  <c:v>11830277.277758809</c:v>
                </c:pt>
                <c:pt idx="53">
                  <c:v>11922544.773036409</c:v>
                </c:pt>
                <c:pt idx="54">
                  <c:v>12014812.26831401</c:v>
                </c:pt>
                <c:pt idx="55">
                  <c:v>12107079.76359161</c:v>
                </c:pt>
                <c:pt idx="56">
                  <c:v>12199347.25886921</c:v>
                </c:pt>
                <c:pt idx="57">
                  <c:v>12291614.754146811</c:v>
                </c:pt>
                <c:pt idx="58">
                  <c:v>12383882.249424411</c:v>
                </c:pt>
                <c:pt idx="59">
                  <c:v>12476149.744702011</c:v>
                </c:pt>
                <c:pt idx="60">
                  <c:v>12568417.239979612</c:v>
                </c:pt>
                <c:pt idx="61">
                  <c:v>12660684.735257212</c:v>
                </c:pt>
                <c:pt idx="62">
                  <c:v>12752952.230534812</c:v>
                </c:pt>
                <c:pt idx="63">
                  <c:v>12845219.725812413</c:v>
                </c:pt>
                <c:pt idx="64">
                  <c:v>12937487.221090013</c:v>
                </c:pt>
                <c:pt idx="65">
                  <c:v>13029754.716367614</c:v>
                </c:pt>
                <c:pt idx="66">
                  <c:v>13122022.211645214</c:v>
                </c:pt>
                <c:pt idx="67">
                  <c:v>13214289.706922814</c:v>
                </c:pt>
                <c:pt idx="68">
                  <c:v>13306557.202200415</c:v>
                </c:pt>
                <c:pt idx="69">
                  <c:v>13398824.697478015</c:v>
                </c:pt>
                <c:pt idx="70">
                  <c:v>13491092.192755615</c:v>
                </c:pt>
                <c:pt idx="71">
                  <c:v>13583359.688033216</c:v>
                </c:pt>
                <c:pt idx="72">
                  <c:v>13675627.183310816</c:v>
                </c:pt>
                <c:pt idx="73">
                  <c:v>13767894.678588416</c:v>
                </c:pt>
                <c:pt idx="74">
                  <c:v>13860162.173866017</c:v>
                </c:pt>
                <c:pt idx="75">
                  <c:v>13952429.669143617</c:v>
                </c:pt>
                <c:pt idx="76">
                  <c:v>14044697.164421218</c:v>
                </c:pt>
                <c:pt idx="77">
                  <c:v>14136964.659698818</c:v>
                </c:pt>
                <c:pt idx="78">
                  <c:v>14229232.154976418</c:v>
                </c:pt>
                <c:pt idx="79">
                  <c:v>14321499.650254019</c:v>
                </c:pt>
                <c:pt idx="80">
                  <c:v>14413767.145531619</c:v>
                </c:pt>
                <c:pt idx="81">
                  <c:v>14506034.640809219</c:v>
                </c:pt>
                <c:pt idx="82">
                  <c:v>14598302.13608682</c:v>
                </c:pt>
                <c:pt idx="83">
                  <c:v>14690569.63136442</c:v>
                </c:pt>
                <c:pt idx="84">
                  <c:v>14782837.12664202</c:v>
                </c:pt>
                <c:pt idx="85">
                  <c:v>14875104.621919621</c:v>
                </c:pt>
                <c:pt idx="86">
                  <c:v>14967372.117197221</c:v>
                </c:pt>
                <c:pt idx="87">
                  <c:v>15059639.612474822</c:v>
                </c:pt>
                <c:pt idx="88">
                  <c:v>15151907.107752422</c:v>
                </c:pt>
                <c:pt idx="89">
                  <c:v>15244174.603030022</c:v>
                </c:pt>
                <c:pt idx="90">
                  <c:v>15336442.098307623</c:v>
                </c:pt>
                <c:pt idx="91">
                  <c:v>15428709.593585223</c:v>
                </c:pt>
                <c:pt idx="92">
                  <c:v>15520977.088862823</c:v>
                </c:pt>
                <c:pt idx="93">
                  <c:v>15613244.584140424</c:v>
                </c:pt>
                <c:pt idx="94">
                  <c:v>15705512.079418024</c:v>
                </c:pt>
                <c:pt idx="95">
                  <c:v>15797779.574695624</c:v>
                </c:pt>
                <c:pt idx="96">
                  <c:v>15890047.069973225</c:v>
                </c:pt>
                <c:pt idx="97">
                  <c:v>15982314.565250825</c:v>
                </c:pt>
                <c:pt idx="98">
                  <c:v>16074582.060528425</c:v>
                </c:pt>
                <c:pt idx="99">
                  <c:v>16166849.555806026</c:v>
                </c:pt>
                <c:pt idx="100">
                  <c:v>16259117.051083626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8F7-4447-98E4-EFDD330BCE12}"/>
            </c:ext>
          </c:extLst>
        </c:ser>
        <c:ser>
          <c:idx val="7"/>
          <c:order val="8"/>
          <c:tx>
            <c:v>CT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'E-Costos'!$E$144:$E$244</c:f>
              <c:numCache>
                <c:formatCode>_(\$* #,##0.00_);_(\$* \(#,##0.00\);_(\$* \-??_);_(@_)</c:formatCode>
                <c:ptCount val="101"/>
                <c:pt idx="0">
                  <c:v>16259117.051083591</c:v>
                </c:pt>
                <c:pt idx="1">
                  <c:v>16259117.051083591</c:v>
                </c:pt>
                <c:pt idx="2">
                  <c:v>16259117.051083591</c:v>
                </c:pt>
                <c:pt idx="3">
                  <c:v>16259117.051083591</c:v>
                </c:pt>
                <c:pt idx="4">
                  <c:v>16259117.051083591</c:v>
                </c:pt>
                <c:pt idx="5">
                  <c:v>16259117.051083591</c:v>
                </c:pt>
                <c:pt idx="6">
                  <c:v>16259117.051083591</c:v>
                </c:pt>
                <c:pt idx="7">
                  <c:v>16259117.051083591</c:v>
                </c:pt>
                <c:pt idx="8">
                  <c:v>16259117.051083591</c:v>
                </c:pt>
                <c:pt idx="9">
                  <c:v>16259117.051083591</c:v>
                </c:pt>
                <c:pt idx="10">
                  <c:v>16259117.051083591</c:v>
                </c:pt>
                <c:pt idx="11">
                  <c:v>16259117.051083591</c:v>
                </c:pt>
                <c:pt idx="12">
                  <c:v>16259117.051083591</c:v>
                </c:pt>
                <c:pt idx="13">
                  <c:v>16259117.051083591</c:v>
                </c:pt>
                <c:pt idx="14">
                  <c:v>16259117.051083591</c:v>
                </c:pt>
                <c:pt idx="15">
                  <c:v>16259117.051083591</c:v>
                </c:pt>
                <c:pt idx="16">
                  <c:v>16259117.051083591</c:v>
                </c:pt>
                <c:pt idx="17">
                  <c:v>16259117.051083591</c:v>
                </c:pt>
                <c:pt idx="18">
                  <c:v>16259117.051083591</c:v>
                </c:pt>
                <c:pt idx="19">
                  <c:v>16259117.051083591</c:v>
                </c:pt>
                <c:pt idx="20">
                  <c:v>16259117.051083591</c:v>
                </c:pt>
                <c:pt idx="21">
                  <c:v>16259117.051083591</c:v>
                </c:pt>
                <c:pt idx="22">
                  <c:v>16259117.051083591</c:v>
                </c:pt>
                <c:pt idx="23">
                  <c:v>16259117.051083591</c:v>
                </c:pt>
                <c:pt idx="24">
                  <c:v>16259117.051083591</c:v>
                </c:pt>
                <c:pt idx="25">
                  <c:v>16259117.051083591</c:v>
                </c:pt>
                <c:pt idx="26">
                  <c:v>16259117.051083591</c:v>
                </c:pt>
                <c:pt idx="27">
                  <c:v>16259117.051083591</c:v>
                </c:pt>
                <c:pt idx="28">
                  <c:v>16259117.051083591</c:v>
                </c:pt>
                <c:pt idx="29">
                  <c:v>16259117.051083591</c:v>
                </c:pt>
                <c:pt idx="30">
                  <c:v>16259117.051083591</c:v>
                </c:pt>
                <c:pt idx="31">
                  <c:v>16259117.051083591</c:v>
                </c:pt>
                <c:pt idx="32">
                  <c:v>16259117.051083591</c:v>
                </c:pt>
                <c:pt idx="33">
                  <c:v>16259117.051083591</c:v>
                </c:pt>
                <c:pt idx="34">
                  <c:v>16259117.051083591</c:v>
                </c:pt>
                <c:pt idx="35">
                  <c:v>16259117.051083591</c:v>
                </c:pt>
                <c:pt idx="36">
                  <c:v>16259117.051083591</c:v>
                </c:pt>
                <c:pt idx="37">
                  <c:v>16259117.051083591</c:v>
                </c:pt>
                <c:pt idx="38">
                  <c:v>16259117.051083591</c:v>
                </c:pt>
                <c:pt idx="39">
                  <c:v>16259117.051083591</c:v>
                </c:pt>
                <c:pt idx="40">
                  <c:v>16259117.051083591</c:v>
                </c:pt>
                <c:pt idx="41">
                  <c:v>16259117.051083591</c:v>
                </c:pt>
                <c:pt idx="42">
                  <c:v>16259117.051083591</c:v>
                </c:pt>
                <c:pt idx="43">
                  <c:v>16259117.051083591</c:v>
                </c:pt>
                <c:pt idx="44">
                  <c:v>16259117.051083591</c:v>
                </c:pt>
                <c:pt idx="45">
                  <c:v>16259117.051083591</c:v>
                </c:pt>
                <c:pt idx="46">
                  <c:v>16259117.051083591</c:v>
                </c:pt>
                <c:pt idx="47">
                  <c:v>16259117.051083591</c:v>
                </c:pt>
                <c:pt idx="48">
                  <c:v>16259117.051083591</c:v>
                </c:pt>
                <c:pt idx="49">
                  <c:v>16259117.051083591</c:v>
                </c:pt>
                <c:pt idx="50">
                  <c:v>16259117.051083591</c:v>
                </c:pt>
                <c:pt idx="51">
                  <c:v>16259117.051083591</c:v>
                </c:pt>
                <c:pt idx="52">
                  <c:v>16259117.051083591</c:v>
                </c:pt>
                <c:pt idx="53">
                  <c:v>16259117.051083591</c:v>
                </c:pt>
                <c:pt idx="54">
                  <c:v>16259117.051083591</c:v>
                </c:pt>
                <c:pt idx="55">
                  <c:v>16259117.051083591</c:v>
                </c:pt>
                <c:pt idx="56">
                  <c:v>16259117.051083591</c:v>
                </c:pt>
                <c:pt idx="57">
                  <c:v>16259117.051083591</c:v>
                </c:pt>
                <c:pt idx="58">
                  <c:v>16259117.051083591</c:v>
                </c:pt>
                <c:pt idx="59">
                  <c:v>16259117.051083591</c:v>
                </c:pt>
                <c:pt idx="60">
                  <c:v>16259117.051083591</c:v>
                </c:pt>
                <c:pt idx="61">
                  <c:v>16259117.051083591</c:v>
                </c:pt>
                <c:pt idx="62">
                  <c:v>16259117.051083591</c:v>
                </c:pt>
                <c:pt idx="63">
                  <c:v>16259117.051083591</c:v>
                </c:pt>
                <c:pt idx="64">
                  <c:v>16259117.051083591</c:v>
                </c:pt>
                <c:pt idx="65">
                  <c:v>16259117.051083591</c:v>
                </c:pt>
                <c:pt idx="66">
                  <c:v>16259117.051083591</c:v>
                </c:pt>
                <c:pt idx="67">
                  <c:v>16259117.051083591</c:v>
                </c:pt>
                <c:pt idx="68">
                  <c:v>16259117.051083591</c:v>
                </c:pt>
                <c:pt idx="69">
                  <c:v>16259117.051083591</c:v>
                </c:pt>
                <c:pt idx="70">
                  <c:v>16259117.051083591</c:v>
                </c:pt>
                <c:pt idx="71">
                  <c:v>16259117.051083591</c:v>
                </c:pt>
                <c:pt idx="72">
                  <c:v>16259117.051083591</c:v>
                </c:pt>
                <c:pt idx="73">
                  <c:v>16259117.051083591</c:v>
                </c:pt>
                <c:pt idx="74">
                  <c:v>16259117.051083591</c:v>
                </c:pt>
                <c:pt idx="75">
                  <c:v>16259117.051083591</c:v>
                </c:pt>
                <c:pt idx="76">
                  <c:v>16259117.051083591</c:v>
                </c:pt>
                <c:pt idx="77">
                  <c:v>16259117.051083591</c:v>
                </c:pt>
                <c:pt idx="78">
                  <c:v>16259117.051083591</c:v>
                </c:pt>
                <c:pt idx="79">
                  <c:v>16259117.051083591</c:v>
                </c:pt>
                <c:pt idx="80">
                  <c:v>16259117.051083591</c:v>
                </c:pt>
                <c:pt idx="81">
                  <c:v>16259117.051083591</c:v>
                </c:pt>
                <c:pt idx="82">
                  <c:v>16259117.051083591</c:v>
                </c:pt>
                <c:pt idx="83">
                  <c:v>16259117.051083591</c:v>
                </c:pt>
                <c:pt idx="84">
                  <c:v>16259117.051083591</c:v>
                </c:pt>
                <c:pt idx="85">
                  <c:v>16259117.051083591</c:v>
                </c:pt>
                <c:pt idx="86">
                  <c:v>16259117.051083591</c:v>
                </c:pt>
                <c:pt idx="87">
                  <c:v>16259117.051083591</c:v>
                </c:pt>
                <c:pt idx="88">
                  <c:v>16259117.051083591</c:v>
                </c:pt>
                <c:pt idx="89">
                  <c:v>16259117.051083591</c:v>
                </c:pt>
                <c:pt idx="90">
                  <c:v>16259117.051083591</c:v>
                </c:pt>
                <c:pt idx="91">
                  <c:v>16259117.051083591</c:v>
                </c:pt>
                <c:pt idx="92">
                  <c:v>16259117.051083591</c:v>
                </c:pt>
                <c:pt idx="93">
                  <c:v>16259117.051083591</c:v>
                </c:pt>
                <c:pt idx="94">
                  <c:v>16259117.051083591</c:v>
                </c:pt>
                <c:pt idx="95">
                  <c:v>16259117.051083591</c:v>
                </c:pt>
                <c:pt idx="96">
                  <c:v>16259117.051083591</c:v>
                </c:pt>
                <c:pt idx="97">
                  <c:v>16259117.051083591</c:v>
                </c:pt>
                <c:pt idx="98">
                  <c:v>16259117.051083591</c:v>
                </c:pt>
                <c:pt idx="99">
                  <c:v>16259117.051083591</c:v>
                </c:pt>
                <c:pt idx="100">
                  <c:v>16259117.051083591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8F7-4447-98E4-EFDD330BCE12}"/>
            </c:ext>
          </c:extLst>
        </c:ser>
        <c:ser>
          <c:idx val="9"/>
          <c:order val="9"/>
          <c:tx>
            <c:v>Ing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'E-Costos'!$D$144:$D$244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259375</c:v>
                </c:pt>
                <c:pt idx="2">
                  <c:v>518750</c:v>
                </c:pt>
                <c:pt idx="3">
                  <c:v>778125</c:v>
                </c:pt>
                <c:pt idx="4">
                  <c:v>1037500</c:v>
                </c:pt>
                <c:pt idx="5">
                  <c:v>1296875</c:v>
                </c:pt>
                <c:pt idx="6">
                  <c:v>1556250</c:v>
                </c:pt>
                <c:pt idx="7">
                  <c:v>1815625</c:v>
                </c:pt>
                <c:pt idx="8">
                  <c:v>2075000</c:v>
                </c:pt>
                <c:pt idx="9">
                  <c:v>2334375</c:v>
                </c:pt>
                <c:pt idx="10">
                  <c:v>2593750</c:v>
                </c:pt>
                <c:pt idx="11">
                  <c:v>2853125</c:v>
                </c:pt>
                <c:pt idx="12">
                  <c:v>3112500</c:v>
                </c:pt>
                <c:pt idx="13">
                  <c:v>3371875</c:v>
                </c:pt>
                <c:pt idx="14">
                  <c:v>3631250</c:v>
                </c:pt>
                <c:pt idx="15">
                  <c:v>3890625</c:v>
                </c:pt>
                <c:pt idx="16">
                  <c:v>4150000</c:v>
                </c:pt>
                <c:pt idx="17">
                  <c:v>4409375</c:v>
                </c:pt>
                <c:pt idx="18">
                  <c:v>4668750</c:v>
                </c:pt>
                <c:pt idx="19">
                  <c:v>4928125</c:v>
                </c:pt>
                <c:pt idx="20">
                  <c:v>5187500</c:v>
                </c:pt>
                <c:pt idx="21">
                  <c:v>5446875</c:v>
                </c:pt>
                <c:pt idx="22">
                  <c:v>5706250</c:v>
                </c:pt>
                <c:pt idx="23">
                  <c:v>5965625</c:v>
                </c:pt>
                <c:pt idx="24">
                  <c:v>6225000</c:v>
                </c:pt>
                <c:pt idx="25">
                  <c:v>6484375</c:v>
                </c:pt>
                <c:pt idx="26">
                  <c:v>6743750</c:v>
                </c:pt>
                <c:pt idx="27">
                  <c:v>7003125</c:v>
                </c:pt>
                <c:pt idx="28">
                  <c:v>7262500</c:v>
                </c:pt>
                <c:pt idx="29">
                  <c:v>7521875</c:v>
                </c:pt>
                <c:pt idx="30">
                  <c:v>7781250</c:v>
                </c:pt>
                <c:pt idx="31">
                  <c:v>8040625</c:v>
                </c:pt>
                <c:pt idx="32">
                  <c:v>8300000</c:v>
                </c:pt>
                <c:pt idx="33">
                  <c:v>8559375</c:v>
                </c:pt>
                <c:pt idx="34">
                  <c:v>8818750</c:v>
                </c:pt>
                <c:pt idx="35">
                  <c:v>9078125</c:v>
                </c:pt>
                <c:pt idx="36">
                  <c:v>9337500</c:v>
                </c:pt>
                <c:pt idx="37">
                  <c:v>9596875</c:v>
                </c:pt>
                <c:pt idx="38">
                  <c:v>9856250</c:v>
                </c:pt>
                <c:pt idx="39">
                  <c:v>10115625</c:v>
                </c:pt>
                <c:pt idx="40">
                  <c:v>10375000</c:v>
                </c:pt>
                <c:pt idx="41">
                  <c:v>10634375</c:v>
                </c:pt>
                <c:pt idx="42">
                  <c:v>10893750</c:v>
                </c:pt>
                <c:pt idx="43">
                  <c:v>11153125</c:v>
                </c:pt>
                <c:pt idx="44">
                  <c:v>11412500</c:v>
                </c:pt>
                <c:pt idx="45">
                  <c:v>11671875</c:v>
                </c:pt>
                <c:pt idx="46">
                  <c:v>11931250</c:v>
                </c:pt>
                <c:pt idx="47">
                  <c:v>12190625</c:v>
                </c:pt>
                <c:pt idx="48">
                  <c:v>12450000</c:v>
                </c:pt>
                <c:pt idx="49">
                  <c:v>12709375</c:v>
                </c:pt>
                <c:pt idx="50">
                  <c:v>12968750</c:v>
                </c:pt>
                <c:pt idx="51">
                  <c:v>13228125</c:v>
                </c:pt>
                <c:pt idx="52">
                  <c:v>13487500</c:v>
                </c:pt>
                <c:pt idx="53">
                  <c:v>13746875</c:v>
                </c:pt>
                <c:pt idx="54">
                  <c:v>14006250</c:v>
                </c:pt>
                <c:pt idx="55">
                  <c:v>14265625</c:v>
                </c:pt>
                <c:pt idx="56">
                  <c:v>14525000</c:v>
                </c:pt>
                <c:pt idx="57">
                  <c:v>14784375</c:v>
                </c:pt>
                <c:pt idx="58">
                  <c:v>15043750</c:v>
                </c:pt>
                <c:pt idx="59">
                  <c:v>15303125</c:v>
                </c:pt>
                <c:pt idx="60">
                  <c:v>15562500</c:v>
                </c:pt>
                <c:pt idx="61">
                  <c:v>15821875</c:v>
                </c:pt>
                <c:pt idx="62">
                  <c:v>16081250</c:v>
                </c:pt>
                <c:pt idx="63">
                  <c:v>16340625</c:v>
                </c:pt>
                <c:pt idx="64">
                  <c:v>16600000</c:v>
                </c:pt>
                <c:pt idx="65">
                  <c:v>16859375</c:v>
                </c:pt>
                <c:pt idx="66">
                  <c:v>17118750</c:v>
                </c:pt>
                <c:pt idx="67">
                  <c:v>17378125</c:v>
                </c:pt>
                <c:pt idx="68">
                  <c:v>17637500</c:v>
                </c:pt>
                <c:pt idx="69">
                  <c:v>17896875</c:v>
                </c:pt>
                <c:pt idx="70">
                  <c:v>18156250</c:v>
                </c:pt>
                <c:pt idx="71">
                  <c:v>18415625</c:v>
                </c:pt>
                <c:pt idx="72">
                  <c:v>18675000</c:v>
                </c:pt>
                <c:pt idx="73">
                  <c:v>18934375</c:v>
                </c:pt>
                <c:pt idx="74">
                  <c:v>19193750</c:v>
                </c:pt>
                <c:pt idx="75">
                  <c:v>19453125</c:v>
                </c:pt>
                <c:pt idx="76">
                  <c:v>19712500</c:v>
                </c:pt>
                <c:pt idx="77">
                  <c:v>19971875</c:v>
                </c:pt>
                <c:pt idx="78">
                  <c:v>20231250</c:v>
                </c:pt>
                <c:pt idx="79">
                  <c:v>20490625</c:v>
                </c:pt>
                <c:pt idx="80">
                  <c:v>20750000</c:v>
                </c:pt>
                <c:pt idx="81">
                  <c:v>21009375</c:v>
                </c:pt>
                <c:pt idx="82">
                  <c:v>21268750</c:v>
                </c:pt>
                <c:pt idx="83">
                  <c:v>21528125</c:v>
                </c:pt>
                <c:pt idx="84">
                  <c:v>21787500</c:v>
                </c:pt>
                <c:pt idx="85">
                  <c:v>22046875</c:v>
                </c:pt>
                <c:pt idx="86">
                  <c:v>22306250</c:v>
                </c:pt>
                <c:pt idx="87">
                  <c:v>22565625</c:v>
                </c:pt>
                <c:pt idx="88">
                  <c:v>22825000</c:v>
                </c:pt>
                <c:pt idx="89">
                  <c:v>23084375</c:v>
                </c:pt>
                <c:pt idx="90">
                  <c:v>23343750</c:v>
                </c:pt>
                <c:pt idx="91">
                  <c:v>23603125</c:v>
                </c:pt>
                <c:pt idx="92">
                  <c:v>23862500</c:v>
                </c:pt>
                <c:pt idx="93">
                  <c:v>24121875</c:v>
                </c:pt>
                <c:pt idx="94">
                  <c:v>24381250</c:v>
                </c:pt>
                <c:pt idx="95">
                  <c:v>24640625</c:v>
                </c:pt>
                <c:pt idx="96">
                  <c:v>24900000</c:v>
                </c:pt>
                <c:pt idx="97">
                  <c:v>25159375</c:v>
                </c:pt>
                <c:pt idx="98">
                  <c:v>25418750</c:v>
                </c:pt>
                <c:pt idx="99">
                  <c:v>25678125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8F7-4447-98E4-EFDD330B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206304"/>
        <c:axId val="268207872"/>
      </c:lineChart>
      <c:catAx>
        <c:axId val="26820630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AR"/>
          </a:p>
        </c:txPr>
        <c:crossAx val="268207872"/>
        <c:crosses val="autoZero"/>
        <c:auto val="1"/>
        <c:lblAlgn val="ctr"/>
        <c:lblOffset val="100"/>
        <c:noMultiLvlLbl val="0"/>
      </c:catAx>
      <c:valAx>
        <c:axId val="268207872"/>
        <c:scaling>
          <c:orientation val="minMax"/>
        </c:scaling>
        <c:delete val="0"/>
        <c:axPos val="l"/>
        <c:majorGridlines/>
        <c:numFmt formatCode="_(\$* #,##0.00_);_(\$* \(#,##0.00\);_(\$* \-??_);_(@_)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AR"/>
          </a:p>
        </c:txPr>
        <c:crossAx val="26820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1210235</xdr:colOff>
      <xdr:row>249</xdr:row>
      <xdr:rowOff>123265</xdr:rowOff>
    </xdr:from>
    <xdr:to>
      <xdr:col>10</xdr:col>
      <xdr:colOff>300318</xdr:colOff>
      <xdr:row>307</xdr:row>
      <xdr:rowOff>34177</xdr:rowOff>
    </xdr:to>
    <xdr:graphicFrame macro="">
      <xdr:nvGraphicFramePr>
        <xdr:cNvPr id="2" name="5 Gráfico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280</xdr:row>
      <xdr:rowOff>9525</xdr:rowOff>
    </xdr:from>
    <xdr:to>
      <xdr:col>8</xdr:col>
      <xdr:colOff>819150</xdr:colOff>
      <xdr:row>282</xdr:row>
      <xdr:rowOff>66675</xdr:rowOff>
    </xdr:to>
    <xdr:sp macro="" textlink="">
      <xdr:nvSpPr>
        <xdr:cNvPr id="3" name="17 CuadroTexto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1039475" y="50911125"/>
          <a:ext cx="19526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0</xdr:colOff>
      <xdr:row>248</xdr:row>
      <xdr:rowOff>19050</xdr:rowOff>
    </xdr:to>
    <xdr:cxnSp macro="">
      <xdr:nvCxnSpPr>
        <xdr:cNvPr id="5" name="7 Conector recto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 bwMode="auto">
        <a:xfrm>
          <a:off x="0" y="43319700"/>
          <a:ext cx="0" cy="2419350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574300</xdr:colOff>
      <xdr:row>283</xdr:row>
      <xdr:rowOff>38657</xdr:rowOff>
    </xdr:from>
    <xdr:to>
      <xdr:col>4</xdr:col>
      <xdr:colOff>209548</xdr:colOff>
      <xdr:row>285</xdr:row>
      <xdr:rowOff>128866</xdr:rowOff>
    </xdr:to>
    <xdr:sp macro="" textlink="">
      <xdr:nvSpPr>
        <xdr:cNvPr id="6" name="23 CuadroTexto">
          <a:extLst>
            <a:ext uri="{FF2B5EF4-FFF2-40B4-BE49-F238E27FC236}">
              <a16:creationId xmlns="" xmlns:a16="http://schemas.microsoft.com/office/drawing/2014/main" id="{66AB87BD-61C9-4DEA-89CC-94AA194DA370}"/>
            </a:ext>
          </a:extLst>
        </xdr:cNvPr>
        <xdr:cNvSpPr txBox="1"/>
      </xdr:nvSpPr>
      <xdr:spPr>
        <a:xfrm>
          <a:off x="4793875" y="51426032"/>
          <a:ext cx="2549898" cy="414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5 = 38,2%</a:t>
          </a:r>
          <a:endParaRPr lang="es-AR" sz="1800" b="1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0.70728</cdr:x>
      <cdr:y>0.6654</cdr:y>
    </cdr:from>
    <cdr:to>
      <cdr:x>0.85348</cdr:x>
      <cdr:y>0.68891</cdr:y>
    </cdr:to>
    <cdr:sp macro="" textlink="">
      <cdr:nvSpPr>
        <cdr:cNvPr id="2" name="17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F199B1C7-2434-467C-ADB2-ACD1E4C71CE9}"/>
            </a:ext>
          </a:extLst>
        </cdr:cNvPr>
        <cdr:cNvSpPr txBox="1"/>
      </cdr:nvSpPr>
      <cdr:spPr>
        <a:xfrm xmlns:a="http://schemas.openxmlformats.org/drawingml/2006/main">
          <a:off x="10148858" y="6189923"/>
          <a:ext cx="2097788" cy="2187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TOTAL Año 1</a:t>
          </a:r>
          <a:endParaRPr lang="es-AR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0.25604</cdr:x>
      <cdr:y>0.23337</cdr:y>
    </cdr:from>
    <cdr:to>
      <cdr:x>0.39696</cdr:x>
      <cdr:y>0.24747</cdr:y>
    </cdr:to>
    <cdr:sp macro="" textlink="">
      <cdr:nvSpPr>
        <cdr:cNvPr id="3" name="15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4000A3AF-F92E-464D-8B8A-AC07C4ACA907}"/>
            </a:ext>
          </a:extLst>
        </cdr:cNvPr>
        <cdr:cNvSpPr txBox="1"/>
      </cdr:nvSpPr>
      <cdr:spPr>
        <a:xfrm xmlns:a="http://schemas.openxmlformats.org/drawingml/2006/main">
          <a:off x="3365500" y="2127250"/>
          <a:ext cx="1852280" cy="1285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4">
                  <a:lumMod val="75000"/>
                </a:schemeClr>
              </a:solidFill>
            </a:rPr>
            <a:t>VENTAS Año 1</a:t>
          </a:r>
        </a:p>
      </cdr:txBody>
    </cdr:sp>
  </cdr:relSizeAnchor>
  <cdr:relSizeAnchor xmlns:cdr="http://schemas.openxmlformats.org/drawingml/2006/chartDrawing">
    <cdr:from>
      <cdr:x>0.39807</cdr:x>
      <cdr:y>0.10693</cdr:y>
    </cdr:from>
    <cdr:to>
      <cdr:x>0.53898</cdr:x>
      <cdr:y>0.14089</cdr:y>
    </cdr:to>
    <cdr:sp macro="" textlink="">
      <cdr:nvSpPr>
        <cdr:cNvPr id="4" name="15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0000000}"/>
            </a:ext>
          </a:extLst>
        </cdr:cNvPr>
        <cdr:cNvSpPr txBox="1"/>
      </cdr:nvSpPr>
      <cdr:spPr>
        <a:xfrm xmlns:a="http://schemas.openxmlformats.org/drawingml/2006/main">
          <a:off x="5232400" y="974725"/>
          <a:ext cx="1852280" cy="3095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6">
                  <a:lumMod val="50000"/>
                </a:schemeClr>
              </a:solidFill>
            </a:rPr>
            <a:t>VENTAS Año 5</a:t>
          </a:r>
        </a:p>
      </cdr:txBody>
    </cdr:sp>
  </cdr:relSizeAnchor>
  <cdr:relSizeAnchor xmlns:cdr="http://schemas.openxmlformats.org/drawingml/2006/chartDrawing">
    <cdr:from>
      <cdr:x>0.27271</cdr:x>
      <cdr:y>0.44549</cdr:y>
    </cdr:from>
    <cdr:to>
      <cdr:x>0.4189</cdr:x>
      <cdr:y>0.469</cdr:y>
    </cdr:to>
    <cdr:sp macro="" textlink="">
      <cdr:nvSpPr>
        <cdr:cNvPr id="5" name="17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2000000}"/>
            </a:ext>
          </a:extLst>
        </cdr:cNvPr>
        <cdr:cNvSpPr txBox="1"/>
      </cdr:nvSpPr>
      <cdr:spPr>
        <a:xfrm xmlns:a="http://schemas.openxmlformats.org/drawingml/2006/main">
          <a:off x="3584575" y="4060825"/>
          <a:ext cx="1921675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0.85749</cdr:x>
      <cdr:y>0.35772</cdr:y>
    </cdr:from>
    <cdr:to>
      <cdr:x>0.97892</cdr:x>
      <cdr:y>0.37962</cdr:y>
    </cdr:to>
    <cdr:sp macro="" textlink="">
      <cdr:nvSpPr>
        <cdr:cNvPr id="6" name="16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6940763B-DCE4-4E3D-A44A-B352821179C0}"/>
            </a:ext>
          </a:extLst>
        </cdr:cNvPr>
        <cdr:cNvSpPr txBox="1"/>
      </cdr:nvSpPr>
      <cdr:spPr>
        <a:xfrm xmlns:a="http://schemas.openxmlformats.org/drawingml/2006/main">
          <a:off x="11271250" y="3260725"/>
          <a:ext cx="1596113" cy="1996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 i="0">
              <a:solidFill>
                <a:schemeClr val="accent4">
                  <a:lumMod val="75000"/>
                </a:schemeClr>
              </a:solidFill>
            </a:rPr>
            <a:t>INGRESOS Año</a:t>
          </a:r>
          <a:r>
            <a:rPr lang="es-AR" sz="1600" b="1" i="0" baseline="0">
              <a:solidFill>
                <a:schemeClr val="accent4">
                  <a:lumMod val="75000"/>
                </a:schemeClr>
              </a:solidFill>
            </a:rPr>
            <a:t> 1</a:t>
          </a:r>
          <a:endParaRPr lang="es-AR" sz="1400" b="1" i="0">
            <a:solidFill>
              <a:schemeClr val="accent4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0.66039</cdr:x>
      <cdr:y>0.8457</cdr:y>
    </cdr:from>
    <cdr:to>
      <cdr:x>0.80003</cdr:x>
      <cdr:y>0.86652</cdr:y>
    </cdr:to>
    <cdr:sp macro="" textlink="">
      <cdr:nvSpPr>
        <cdr:cNvPr id="9" name="18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B1A31A45-F8DE-49D0-861B-7A9423EA911A}"/>
            </a:ext>
          </a:extLst>
        </cdr:cNvPr>
        <cdr:cNvSpPr txBox="1"/>
      </cdr:nvSpPr>
      <cdr:spPr>
        <a:xfrm xmlns:a="http://schemas.openxmlformats.org/drawingml/2006/main">
          <a:off x="8680450" y="7708900"/>
          <a:ext cx="1835609" cy="1898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FIJO Año 1</a:t>
          </a:r>
          <a:endParaRPr lang="es-AR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0.86035</cdr:x>
      <cdr:y>0.72748</cdr:y>
    </cdr:from>
    <cdr:to>
      <cdr:x>1</cdr:x>
      <cdr:y>0.7483</cdr:y>
    </cdr:to>
    <cdr:sp macro="" textlink="">
      <cdr:nvSpPr>
        <cdr:cNvPr id="10" name="18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3000000}"/>
            </a:ext>
          </a:extLst>
        </cdr:cNvPr>
        <cdr:cNvSpPr txBox="1"/>
      </cdr:nvSpPr>
      <cdr:spPr>
        <a:xfrm xmlns:a="http://schemas.openxmlformats.org/drawingml/2006/main">
          <a:off x="12345299" y="6767428"/>
          <a:ext cx="2003834" cy="1937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FIJO Año 5</a:t>
          </a:r>
          <a:endParaRPr lang="es-AR" sz="16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0.43001</cdr:x>
      <cdr:y>0.63188</cdr:y>
    </cdr:from>
    <cdr:to>
      <cdr:x>0.43171</cdr:x>
      <cdr:y>0.94221</cdr:y>
    </cdr:to>
    <cdr:cxnSp macro="">
      <cdr:nvCxnSpPr>
        <cdr:cNvPr id="11" name="7 Conector rec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08000000}"/>
            </a:ext>
          </a:extLst>
        </cdr:cNvPr>
        <cdr:cNvCxnSpPr/>
      </cdr:nvCxnSpPr>
      <cdr:spPr bwMode="auto">
        <a:xfrm xmlns:a="http://schemas.openxmlformats.org/drawingml/2006/main">
          <a:off x="6181413" y="5693251"/>
          <a:ext cx="24437" cy="2796100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0.80641</cdr:x>
      <cdr:y>0.17955</cdr:y>
    </cdr:from>
    <cdr:to>
      <cdr:x>0.92763</cdr:x>
      <cdr:y>0.20216</cdr:y>
    </cdr:to>
    <cdr:sp macro="" textlink="">
      <cdr:nvSpPr>
        <cdr:cNvPr id="13" name="16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1000000}"/>
            </a:ext>
          </a:extLst>
        </cdr:cNvPr>
        <cdr:cNvSpPr txBox="1"/>
      </cdr:nvSpPr>
      <cdr:spPr>
        <a:xfrm xmlns:a="http://schemas.openxmlformats.org/drawingml/2006/main">
          <a:off x="10617947" y="1586006"/>
          <a:ext cx="1596113" cy="1996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 i="0">
              <a:solidFill>
                <a:schemeClr val="accent6">
                  <a:lumMod val="50000"/>
                </a:schemeClr>
              </a:solidFill>
            </a:rPr>
            <a:t>INGRESOS Año</a:t>
          </a:r>
          <a:r>
            <a:rPr lang="es-AR" sz="1600" b="1" i="0" baseline="0">
              <a:solidFill>
                <a:schemeClr val="accent6">
                  <a:lumMod val="50000"/>
                </a:schemeClr>
              </a:solidFill>
            </a:rPr>
            <a:t> 5</a:t>
          </a:r>
          <a:endParaRPr lang="es-AR" sz="1400" b="1" i="0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0.08559</cdr:x>
      <cdr:y>0.63646</cdr:y>
    </cdr:from>
    <cdr:to>
      <cdr:x>0.43496</cdr:x>
      <cdr:y>0.64</cdr:y>
    </cdr:to>
    <cdr:cxnSp macro="">
      <cdr:nvCxnSpPr>
        <cdr:cNvPr id="14" name="8 Conector rec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09000000}"/>
            </a:ext>
          </a:extLst>
        </cdr:cNvPr>
        <cdr:cNvCxnSpPr/>
      </cdr:nvCxnSpPr>
      <cdr:spPr bwMode="auto">
        <a:xfrm xmlns:a="http://schemas.openxmlformats.org/drawingml/2006/main" flipV="1">
          <a:off x="1228165" y="5920741"/>
          <a:ext cx="5013144" cy="32944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0.46603</cdr:x>
      <cdr:y>0.65105</cdr:y>
    </cdr:from>
    <cdr:to>
      <cdr:x>0.4667</cdr:x>
      <cdr:y>0.94696</cdr:y>
    </cdr:to>
    <cdr:cxnSp macro="">
      <cdr:nvCxnSpPr>
        <cdr:cNvPr id="16" name="7 Conector recto">
          <a:extLst xmlns:a="http://schemas.openxmlformats.org/drawingml/2006/main">
            <a:ext uri="{FF2B5EF4-FFF2-40B4-BE49-F238E27FC236}">
              <a16:creationId xmlns="" xmlns:a16="http://schemas.microsoft.com/office/drawing/2014/main" xmlns:xdr="http://schemas.openxmlformats.org/drawingml/2006/spreadsheetDrawing" xmlns:lc="http://schemas.openxmlformats.org/drawingml/2006/lockedCanvas" id="{00000000-0008-0000-0700-000008000000}"/>
            </a:ext>
          </a:extLst>
        </cdr:cNvPr>
        <cdr:cNvCxnSpPr/>
      </cdr:nvCxnSpPr>
      <cdr:spPr bwMode="auto">
        <a:xfrm xmlns:a="http://schemas.openxmlformats.org/drawingml/2006/main">
          <a:off x="6699171" y="5865984"/>
          <a:ext cx="9631" cy="2666175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0.0836</cdr:x>
      <cdr:y>0.6517</cdr:y>
    </cdr:from>
    <cdr:to>
      <cdr:x>0.46925</cdr:x>
      <cdr:y>0.65229</cdr:y>
    </cdr:to>
    <cdr:cxnSp macro="">
      <cdr:nvCxnSpPr>
        <cdr:cNvPr id="19" name="8 Conector recto">
          <a:extLst xmlns:a="http://schemas.openxmlformats.org/drawingml/2006/main">
            <a:ext uri="{FF2B5EF4-FFF2-40B4-BE49-F238E27FC236}">
              <a16:creationId xmlns="" xmlns:a16="http://schemas.microsoft.com/office/drawing/2014/main" xmlns:xdr="http://schemas.openxmlformats.org/drawingml/2006/spreadsheetDrawing" xmlns:lc="http://schemas.openxmlformats.org/drawingml/2006/lockedCanvas" id="{00000000-0008-0000-0700-000009000000}"/>
            </a:ext>
          </a:extLst>
        </cdr:cNvPr>
        <cdr:cNvCxnSpPr/>
      </cdr:nvCxnSpPr>
      <cdr:spPr bwMode="auto">
        <a:xfrm xmlns:a="http://schemas.openxmlformats.org/drawingml/2006/main" flipV="1">
          <a:off x="1199590" y="6062513"/>
          <a:ext cx="5533731" cy="5472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0.48098</cdr:x>
      <cdr:y>0.65896</cdr:y>
    </cdr:from>
    <cdr:to>
      <cdr:x>0.6574</cdr:x>
      <cdr:y>0.69627</cdr:y>
    </cdr:to>
    <cdr:sp macro="" textlink="">
      <cdr:nvSpPr>
        <cdr:cNvPr id="22" name="23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66AB87BD-61C9-4DEA-89CC-94AA194DA370}"/>
            </a:ext>
          </a:extLst>
        </cdr:cNvPr>
        <cdr:cNvSpPr txBox="1"/>
      </cdr:nvSpPr>
      <cdr:spPr>
        <a:xfrm xmlns:a="http://schemas.openxmlformats.org/drawingml/2006/main">
          <a:off x="6901687" y="6130015"/>
          <a:ext cx="2531474" cy="3470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1 = 42,1%</a:t>
          </a:r>
          <a:endParaRPr lang="es-AR" sz="1800" b="1">
            <a:solidFill>
              <a:schemeClr val="accent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an_000/Documents/5to%20INDUSTRIAL/EVALUACION%20DE%20PROYECTOS/DIM%20ECONOMICO%20TP/Dimensionamiento%20Economico%20y%20Financiero%20BARRAS%20PROTE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PRODUCCION"/>
      <sheetName val="COMER"/>
      <sheetName val="ADM"/>
      <sheetName val="E-Inv AF y Am"/>
      <sheetName val="ACT TRABAJO"/>
      <sheetName val="E-InvAT"/>
      <sheetName val="E-Costos"/>
      <sheetName val="E-Cal Inv."/>
      <sheetName val="E-IVA "/>
      <sheetName val="E-Form"/>
      <sheetName val="Servicio de CNR"/>
      <sheetName val="Servicio de CR"/>
      <sheetName val="Gasto financiero"/>
      <sheetName val="F-Cred"/>
      <sheetName val="F-IVA"/>
      <sheetName val="F-CRes"/>
      <sheetName val="F-2 Estructura"/>
      <sheetName val="F- CFyU"/>
      <sheetName val="F-Balance"/>
      <sheetName val="F- Form"/>
    </sheetNames>
    <sheetDataSet>
      <sheetData sheetId="0"/>
      <sheetData sheetId="1">
        <row r="38">
          <cell r="C38">
            <v>0.5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781"/>
  <sheetViews>
    <sheetView zoomScaleNormal="100" workbookViewId="0">
      <selection activeCell="E1" sqref="E1"/>
    </sheetView>
  </sheetViews>
  <sheetFormatPr baseColWidth="10" defaultColWidth="11" defaultRowHeight="12.75" x14ac:dyDescent="0.2"/>
  <cols>
    <col min="1" max="1" width="42.28515625" customWidth="1"/>
    <col min="2" max="2" width="16.28515625" customWidth="1"/>
    <col min="3" max="3" width="11" customWidth="1"/>
    <col min="4" max="4" width="17.42578125" customWidth="1"/>
    <col min="6" max="6" width="21.42578125" customWidth="1"/>
  </cols>
  <sheetData>
    <row r="1" spans="1:7" x14ac:dyDescent="0.2">
      <c r="A1" s="401" t="s">
        <v>0</v>
      </c>
      <c r="B1" s="401"/>
      <c r="C1" s="401"/>
      <c r="D1" s="402"/>
      <c r="E1" s="403">
        <v>8</v>
      </c>
    </row>
    <row r="3" spans="1:7" x14ac:dyDescent="0.2">
      <c r="A3" s="3" t="s">
        <v>1</v>
      </c>
      <c r="B3" s="387">
        <v>0.21</v>
      </c>
    </row>
    <row r="4" spans="1:7" x14ac:dyDescent="0.2">
      <c r="A4" s="3" t="s">
        <v>2</v>
      </c>
      <c r="B4" s="387">
        <v>0.35</v>
      </c>
    </row>
    <row r="5" spans="1:7" x14ac:dyDescent="0.2">
      <c r="A5" s="3" t="s">
        <v>3</v>
      </c>
      <c r="B5" s="387">
        <v>0.05</v>
      </c>
      <c r="C5" t="s">
        <v>4</v>
      </c>
      <c r="G5" s="4"/>
    </row>
    <row r="7" spans="1:7" x14ac:dyDescent="0.2">
      <c r="A7" s="3" t="s">
        <v>5</v>
      </c>
      <c r="B7" t="s">
        <v>6</v>
      </c>
    </row>
    <row r="8" spans="1:7" x14ac:dyDescent="0.2">
      <c r="A8" s="5" t="s">
        <v>7</v>
      </c>
      <c r="B8" s="388">
        <v>30</v>
      </c>
      <c r="C8" t="s">
        <v>8</v>
      </c>
    </row>
    <row r="9" spans="1:7" x14ac:dyDescent="0.2">
      <c r="A9" s="5" t="s">
        <v>9</v>
      </c>
      <c r="B9" s="388">
        <v>10</v>
      </c>
      <c r="C9" t="s">
        <v>8</v>
      </c>
    </row>
    <row r="10" spans="1:7" x14ac:dyDescent="0.2">
      <c r="A10" s="5" t="s">
        <v>10</v>
      </c>
      <c r="B10" s="388">
        <v>10</v>
      </c>
      <c r="C10" t="s">
        <v>8</v>
      </c>
    </row>
    <row r="11" spans="1:7" x14ac:dyDescent="0.2">
      <c r="A11" s="5" t="s">
        <v>11</v>
      </c>
      <c r="B11" s="388">
        <v>5</v>
      </c>
      <c r="C11" t="s">
        <v>8</v>
      </c>
    </row>
    <row r="12" spans="1:7" x14ac:dyDescent="0.2">
      <c r="A12" s="5" t="s">
        <v>12</v>
      </c>
      <c r="B12" s="388">
        <v>5</v>
      </c>
      <c r="C12" t="s">
        <v>8</v>
      </c>
    </row>
    <row r="13" spans="1:7" x14ac:dyDescent="0.2">
      <c r="A13" s="5" t="s">
        <v>13</v>
      </c>
      <c r="B13" s="388">
        <v>3</v>
      </c>
      <c r="C13" t="s">
        <v>8</v>
      </c>
    </row>
    <row r="14" spans="1:7" x14ac:dyDescent="0.2">
      <c r="A14" s="5" t="s">
        <v>14</v>
      </c>
      <c r="B14" s="388">
        <v>5</v>
      </c>
      <c r="C14" t="s">
        <v>8</v>
      </c>
    </row>
    <row r="15" spans="1:7" x14ac:dyDescent="0.2">
      <c r="A15" s="5" t="s">
        <v>15</v>
      </c>
      <c r="B15" s="389">
        <v>0.11</v>
      </c>
    </row>
    <row r="17" spans="1:7" x14ac:dyDescent="0.2">
      <c r="A17" s="3" t="s">
        <v>16</v>
      </c>
      <c r="B17" s="390" t="s">
        <v>381</v>
      </c>
      <c r="C17" s="390"/>
      <c r="D17" s="193"/>
      <c r="E17" s="193"/>
      <c r="F17" s="193"/>
      <c r="G17" s="193"/>
    </row>
    <row r="19" spans="1:7" x14ac:dyDescent="0.2">
      <c r="A19" s="3" t="s">
        <v>17</v>
      </c>
      <c r="B19" s="391">
        <v>600000</v>
      </c>
      <c r="C19" t="s">
        <v>18</v>
      </c>
    </row>
    <row r="20" spans="1:7" x14ac:dyDescent="0.2">
      <c r="A20" s="3" t="s">
        <v>19</v>
      </c>
      <c r="B20" s="392">
        <v>50</v>
      </c>
      <c r="C20" t="s">
        <v>20</v>
      </c>
    </row>
    <row r="21" spans="1:7" x14ac:dyDescent="0.2">
      <c r="B21" s="326"/>
    </row>
    <row r="22" spans="1:7" x14ac:dyDescent="0.2">
      <c r="A22" s="3" t="s">
        <v>21</v>
      </c>
      <c r="B22" s="326"/>
    </row>
    <row r="23" spans="1:7" x14ac:dyDescent="0.2">
      <c r="A23" s="3" t="s">
        <v>22</v>
      </c>
      <c r="B23" s="392">
        <v>9</v>
      </c>
      <c r="C23" t="s">
        <v>23</v>
      </c>
    </row>
    <row r="24" spans="1:7" x14ac:dyDescent="0.2">
      <c r="A24" s="3" t="s">
        <v>24</v>
      </c>
      <c r="B24" s="392">
        <v>2</v>
      </c>
      <c r="C24" t="s">
        <v>23</v>
      </c>
    </row>
    <row r="25" spans="1:7" x14ac:dyDescent="0.2">
      <c r="A25" s="3" t="s">
        <v>25</v>
      </c>
      <c r="B25" s="392">
        <v>4</v>
      </c>
      <c r="C25" t="s">
        <v>23</v>
      </c>
    </row>
    <row r="26" spans="1:7" x14ac:dyDescent="0.2">
      <c r="B26" s="326"/>
      <c r="C26">
        <f>B25*0.15</f>
        <v>0.6</v>
      </c>
    </row>
    <row r="27" spans="1:7" x14ac:dyDescent="0.2">
      <c r="A27" s="3" t="s">
        <v>26</v>
      </c>
      <c r="B27" s="392">
        <v>390</v>
      </c>
      <c r="C27" t="s">
        <v>27</v>
      </c>
    </row>
    <row r="28" spans="1:7" x14ac:dyDescent="0.2">
      <c r="A28" s="3" t="s">
        <v>28</v>
      </c>
      <c r="B28" s="392">
        <v>5</v>
      </c>
      <c r="C28" t="s">
        <v>29</v>
      </c>
    </row>
    <row r="29" spans="1:7" x14ac:dyDescent="0.2">
      <c r="A29" s="3" t="s">
        <v>30</v>
      </c>
      <c r="B29" s="392">
        <v>3</v>
      </c>
      <c r="C29" t="s">
        <v>29</v>
      </c>
    </row>
    <row r="30" spans="1:7" x14ac:dyDescent="0.2">
      <c r="B30" s="326"/>
    </row>
    <row r="31" spans="1:7" x14ac:dyDescent="0.2">
      <c r="B31" s="326"/>
    </row>
    <row r="32" spans="1:7" x14ac:dyDescent="0.2">
      <c r="A32" s="3" t="s">
        <v>31</v>
      </c>
      <c r="B32" s="392">
        <v>1</v>
      </c>
      <c r="C32" t="s">
        <v>32</v>
      </c>
      <c r="D32" s="392">
        <v>17.25</v>
      </c>
      <c r="E32" t="s">
        <v>33</v>
      </c>
      <c r="F32" t="s">
        <v>382</v>
      </c>
    </row>
    <row r="33" spans="1:8" x14ac:dyDescent="0.2">
      <c r="A33" s="6"/>
    </row>
    <row r="34" spans="1:8" x14ac:dyDescent="0.2">
      <c r="A34" s="6"/>
    </row>
    <row r="35" spans="1:8" x14ac:dyDescent="0.2">
      <c r="A35" s="3" t="s">
        <v>34</v>
      </c>
      <c r="B35" s="393">
        <v>14</v>
      </c>
      <c r="C35" t="s">
        <v>35</v>
      </c>
      <c r="F35" t="s">
        <v>384</v>
      </c>
      <c r="G35" s="4" t="s">
        <v>36</v>
      </c>
    </row>
    <row r="36" spans="1:8" x14ac:dyDescent="0.2">
      <c r="A36" s="3" t="s">
        <v>37</v>
      </c>
      <c r="B36" s="394" t="s">
        <v>386</v>
      </c>
      <c r="C36" s="394"/>
      <c r="D36" s="394"/>
      <c r="F36" t="s">
        <v>385</v>
      </c>
    </row>
    <row r="37" spans="1:8" x14ac:dyDescent="0.2">
      <c r="A37" s="3" t="s">
        <v>38</v>
      </c>
      <c r="B37" s="395">
        <v>100</v>
      </c>
    </row>
    <row r="38" spans="1:8" x14ac:dyDescent="0.2">
      <c r="A38" s="3"/>
    </row>
    <row r="39" spans="1:8" x14ac:dyDescent="0.2">
      <c r="A39" s="3" t="s">
        <v>39</v>
      </c>
      <c r="B39" s="392" t="s">
        <v>383</v>
      </c>
    </row>
    <row r="40" spans="1:8" x14ac:dyDescent="0.2">
      <c r="A40" s="3" t="s">
        <v>40</v>
      </c>
      <c r="B40" s="392">
        <v>50</v>
      </c>
    </row>
    <row r="41" spans="1:8" x14ac:dyDescent="0.2">
      <c r="A41" s="3" t="s">
        <v>41</v>
      </c>
      <c r="B41" s="396">
        <v>0.4</v>
      </c>
      <c r="C41" t="s">
        <v>35</v>
      </c>
    </row>
    <row r="45" spans="1:8" x14ac:dyDescent="0.2">
      <c r="A45" s="194" t="s">
        <v>538</v>
      </c>
      <c r="B45" s="397">
        <f>B20*B19</f>
        <v>30000000</v>
      </c>
      <c r="E45" s="399" t="s">
        <v>539</v>
      </c>
      <c r="F45" s="399"/>
      <c r="G45" s="400" t="s">
        <v>388</v>
      </c>
      <c r="H45" s="400" t="s">
        <v>387</v>
      </c>
    </row>
    <row r="46" spans="1:8" x14ac:dyDescent="0.2">
      <c r="A46" s="194" t="s">
        <v>540</v>
      </c>
      <c r="B46" s="397">
        <f>12968750*2</f>
        <v>25937500</v>
      </c>
      <c r="E46" s="399" t="s">
        <v>416</v>
      </c>
      <c r="F46" s="399"/>
      <c r="G46" s="262">
        <v>600000</v>
      </c>
      <c r="H46" s="257">
        <v>50</v>
      </c>
    </row>
    <row r="47" spans="1:8" x14ac:dyDescent="0.2">
      <c r="E47" s="399" t="s">
        <v>48</v>
      </c>
      <c r="F47" s="399"/>
      <c r="G47" s="262">
        <v>518750</v>
      </c>
      <c r="H47" s="257">
        <v>50</v>
      </c>
    </row>
    <row r="781" spans="19:19" x14ac:dyDescent="0.2">
      <c r="S781" s="4" t="s">
        <v>42</v>
      </c>
    </row>
  </sheetData>
  <sheetProtection selectLockedCells="1" selectUnlockedCells="1"/>
  <mergeCells count="6">
    <mergeCell ref="A1:D1"/>
    <mergeCell ref="B36:D36"/>
    <mergeCell ref="E45:F45"/>
    <mergeCell ref="E46:F46"/>
    <mergeCell ref="E47:F47"/>
    <mergeCell ref="B17:C17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30"/>
  <sheetViews>
    <sheetView zoomScaleNormal="100" workbookViewId="0">
      <selection activeCell="I18" sqref="I18"/>
    </sheetView>
  </sheetViews>
  <sheetFormatPr baseColWidth="10" defaultRowHeight="12.75" x14ac:dyDescent="0.2"/>
  <cols>
    <col min="1" max="1" width="28.140625" style="7" customWidth="1"/>
    <col min="2" max="2" width="17" style="7" customWidth="1"/>
    <col min="3" max="3" width="19.7109375" style="7" customWidth="1"/>
    <col min="4" max="4" width="19.140625" style="7" customWidth="1"/>
    <col min="5" max="5" width="19.42578125" style="7" customWidth="1"/>
    <col min="6" max="6" width="19.7109375" style="7" customWidth="1"/>
    <col min="7" max="7" width="21.85546875" style="7" customWidth="1"/>
    <col min="8" max="8" width="17.42578125" style="7" customWidth="1"/>
    <col min="9" max="16384" width="11.42578125" style="7"/>
  </cols>
  <sheetData>
    <row r="1" spans="1:7" x14ac:dyDescent="0.2">
      <c r="A1" s="1" t="s">
        <v>0</v>
      </c>
      <c r="B1"/>
      <c r="C1"/>
      <c r="D1"/>
      <c r="G1" s="246">
        <f>InfoInicial!E1</f>
        <v>8</v>
      </c>
    </row>
    <row r="2" spans="1:7" ht="15.75" x14ac:dyDescent="0.25">
      <c r="A2" s="1088" t="s">
        <v>210</v>
      </c>
      <c r="B2" s="964"/>
      <c r="C2" s="964"/>
      <c r="D2" s="964"/>
      <c r="E2" s="964"/>
      <c r="F2" s="964"/>
      <c r="G2" s="964"/>
    </row>
    <row r="3" spans="1:7" ht="15.75" x14ac:dyDescent="0.25">
      <c r="A3" s="1088"/>
      <c r="B3" s="964" t="s">
        <v>211</v>
      </c>
      <c r="C3" s="964"/>
      <c r="D3" s="964"/>
      <c r="E3" s="964"/>
      <c r="F3" s="964"/>
      <c r="G3" s="964"/>
    </row>
    <row r="4" spans="1:7" x14ac:dyDescent="0.2">
      <c r="A4" s="969" t="s">
        <v>88</v>
      </c>
      <c r="B4" s="1077" t="s">
        <v>47</v>
      </c>
      <c r="C4" s="969" t="s">
        <v>48</v>
      </c>
      <c r="D4" s="969" t="s">
        <v>89</v>
      </c>
      <c r="E4" s="969" t="s">
        <v>90</v>
      </c>
      <c r="F4" s="969" t="s">
        <v>91</v>
      </c>
      <c r="G4" s="969" t="s">
        <v>92</v>
      </c>
    </row>
    <row r="5" spans="1:7" ht="15" x14ac:dyDescent="0.2">
      <c r="A5" s="970" t="s">
        <v>212</v>
      </c>
      <c r="B5" s="1083"/>
      <c r="C5" s="1083"/>
      <c r="D5" s="1083"/>
      <c r="E5" s="1083"/>
      <c r="F5" s="1083"/>
      <c r="G5" s="1083"/>
    </row>
    <row r="6" spans="1:7" ht="15" x14ac:dyDescent="0.2">
      <c r="A6" s="824" t="s">
        <v>213</v>
      </c>
      <c r="B6" s="1085"/>
      <c r="C6" s="1085">
        <f>'E-Costos'!B7*InfoInicial!$B$3</f>
        <v>1333390.8672</v>
      </c>
      <c r="D6" s="1085">
        <f>'E-Costos'!C7*InfoInicial!$B$3</f>
        <v>1494181.9872000001</v>
      </c>
      <c r="E6" s="1085">
        <f>'E-Costos'!D7*InfoInicial!$B$3</f>
        <v>1494181.9872000001</v>
      </c>
      <c r="F6" s="1085">
        <f>'E-Costos'!E7*InfoInicial!$B$3</f>
        <v>1494181.9872000001</v>
      </c>
      <c r="G6" s="1085">
        <f>'E-Costos'!F7*InfoInicial!$B$3</f>
        <v>1494181.9872000001</v>
      </c>
    </row>
    <row r="7" spans="1:7" ht="15" x14ac:dyDescent="0.2">
      <c r="A7" s="824" t="s">
        <v>97</v>
      </c>
      <c r="B7" s="1085"/>
      <c r="C7" s="1085">
        <f>'E-Costos'!B12*InfoInicial!$B$3</f>
        <v>61586.665500378367</v>
      </c>
      <c r="D7" s="1085">
        <f>'E-Costos'!C12*InfoInicial!$B$3</f>
        <v>68429.628333753746</v>
      </c>
      <c r="E7" s="1085">
        <f>'E-Costos'!D12*InfoInicial!$B$3</f>
        <v>68429.628333753746</v>
      </c>
      <c r="F7" s="1085">
        <f>'E-Costos'!E12*InfoInicial!$B$3</f>
        <v>68439.97216515374</v>
      </c>
      <c r="G7" s="1085">
        <f>'E-Costos'!F12*InfoInicial!$B$3</f>
        <v>68439.97216515374</v>
      </c>
    </row>
    <row r="8" spans="1:7" ht="15" x14ac:dyDescent="0.2">
      <c r="A8" s="824" t="s">
        <v>98</v>
      </c>
      <c r="B8" s="1085"/>
      <c r="C8" s="1085">
        <f>'E-Costos'!B13*InfoInicial!$B$3</f>
        <v>11149.315694495997</v>
      </c>
      <c r="D8" s="1085">
        <f>'E-Costos'!C13*InfoInicial!$B$3</f>
        <v>11736.121783679999</v>
      </c>
      <c r="E8" s="1085">
        <f>'E-Costos'!D13*InfoInicial!$B$3</f>
        <v>11736.121783679999</v>
      </c>
      <c r="F8" s="1085">
        <f>'E-Costos'!E13*InfoInicial!$B$3</f>
        <v>11736.121783679999</v>
      </c>
      <c r="G8" s="1085">
        <f>'E-Costos'!F13*InfoInicial!$B$3</f>
        <v>11736.121783679999</v>
      </c>
    </row>
    <row r="9" spans="1:7" ht="15" x14ac:dyDescent="0.2">
      <c r="A9" s="824" t="s">
        <v>99</v>
      </c>
      <c r="B9" s="1085"/>
      <c r="C9" s="1085">
        <f>'E-Costos'!B14*InfoInicial!$B$3</f>
        <v>54138.881579999987</v>
      </c>
      <c r="D9" s="1085">
        <f>'E-Costos'!C14*InfoInicial!$B$3</f>
        <v>56988.296399999992</v>
      </c>
      <c r="E9" s="1085">
        <f>'E-Costos'!D14*InfoInicial!$B$3</f>
        <v>56988.296399999992</v>
      </c>
      <c r="F9" s="1085">
        <f>'E-Costos'!E14*InfoInicial!$B$3</f>
        <v>56988.296399999992</v>
      </c>
      <c r="G9" s="1085">
        <f>'E-Costos'!F14*InfoInicial!$B$3</f>
        <v>56988.296399999992</v>
      </c>
    </row>
    <row r="10" spans="1:7" ht="15" x14ac:dyDescent="0.2">
      <c r="A10" s="824" t="s">
        <v>214</v>
      </c>
      <c r="B10" s="1085"/>
      <c r="C10" s="1085">
        <v>0</v>
      </c>
      <c r="D10" s="1085">
        <v>0</v>
      </c>
      <c r="E10" s="1085">
        <v>0</v>
      </c>
      <c r="F10" s="1085">
        <v>0</v>
      </c>
      <c r="G10" s="1085">
        <v>0</v>
      </c>
    </row>
    <row r="11" spans="1:7" ht="15" x14ac:dyDescent="0.2">
      <c r="A11" s="824" t="s">
        <v>124</v>
      </c>
      <c r="B11" s="1085"/>
      <c r="C11" s="1085">
        <v>0</v>
      </c>
      <c r="D11" s="1085">
        <v>0</v>
      </c>
      <c r="E11" s="1085">
        <v>0</v>
      </c>
      <c r="F11" s="1085">
        <v>0</v>
      </c>
      <c r="G11" s="1085">
        <v>0</v>
      </c>
    </row>
    <row r="12" spans="1:7" ht="15" x14ac:dyDescent="0.2">
      <c r="A12" s="970" t="s">
        <v>83</v>
      </c>
      <c r="B12" s="1085"/>
      <c r="C12" s="1085">
        <f>SUM(C6:C11)</f>
        <v>1460265.7299748745</v>
      </c>
      <c r="D12" s="1085">
        <f>SUM(D6:D11)</f>
        <v>1631336.0337174339</v>
      </c>
      <c r="E12" s="1085">
        <f>SUM(E6:E11)</f>
        <v>1631336.0337174339</v>
      </c>
      <c r="F12" s="1085">
        <f>SUM(F6:F11)</f>
        <v>1631346.3775488338</v>
      </c>
      <c r="G12" s="1085">
        <f>SUM(G6:G11)</f>
        <v>1631346.3775488338</v>
      </c>
    </row>
    <row r="13" spans="1:7" ht="15" x14ac:dyDescent="0.2">
      <c r="A13" s="824" t="s">
        <v>215</v>
      </c>
      <c r="B13" s="1085"/>
      <c r="C13" s="1085">
        <f>('E-Costos'!G35-'E-Costos'!G26)*InfoInicial!$B$3</f>
        <v>12380.184297424381</v>
      </c>
      <c r="D13" s="1085"/>
      <c r="E13" s="1085"/>
      <c r="F13" s="1085"/>
      <c r="G13" s="1085"/>
    </row>
    <row r="14" spans="1:7" ht="15" x14ac:dyDescent="0.2">
      <c r="A14" s="824" t="s">
        <v>216</v>
      </c>
      <c r="B14" s="1083"/>
      <c r="C14" s="1083"/>
      <c r="D14" s="1083"/>
      <c r="E14" s="1083"/>
      <c r="F14" s="1083"/>
      <c r="G14" s="1083"/>
    </row>
    <row r="15" spans="1:7" ht="15" x14ac:dyDescent="0.2">
      <c r="A15" s="824" t="s">
        <v>217</v>
      </c>
      <c r="B15" s="1085"/>
      <c r="C15" s="1085">
        <f>'E-InvAT'!C32</f>
        <v>7160.9182715172237</v>
      </c>
      <c r="D15" s="1085">
        <f>'E-InvAT'!D32</f>
        <v>-2.4123507669037281</v>
      </c>
      <c r="E15" s="1085">
        <f>'E-InvAT'!E32</f>
        <v>0</v>
      </c>
      <c r="F15" s="1085">
        <f>'E-InvAT'!F32</f>
        <v>0</v>
      </c>
      <c r="G15" s="1085">
        <f>'E-InvAT'!G32</f>
        <v>0</v>
      </c>
    </row>
    <row r="16" spans="1:7" ht="15" x14ac:dyDescent="0.2">
      <c r="A16" s="824" t="s">
        <v>218</v>
      </c>
      <c r="B16" s="1085"/>
      <c r="C16" s="1085">
        <f>'E-InvAT'!C33</f>
        <v>17422.260499101765</v>
      </c>
      <c r="D16" s="1085">
        <f>'E-InvAT'!D33</f>
        <v>-503.74458455298009</v>
      </c>
      <c r="E16" s="1085">
        <f>'E-InvAT'!E33</f>
        <v>0</v>
      </c>
      <c r="F16" s="1085">
        <f>'E-InvAT'!F33</f>
        <v>0</v>
      </c>
      <c r="G16" s="1085">
        <f>'E-InvAT'!G33</f>
        <v>0</v>
      </c>
    </row>
    <row r="17" spans="1:7" ht="15" x14ac:dyDescent="0.2">
      <c r="A17" s="970" t="s">
        <v>219</v>
      </c>
      <c r="B17" s="1085"/>
      <c r="C17" s="1085">
        <f>C12-C13-C15-C16</f>
        <v>1423302.3669068313</v>
      </c>
      <c r="D17" s="1085">
        <f>D12-D13-D15-D16</f>
        <v>1631842.1906527537</v>
      </c>
      <c r="E17" s="1085">
        <f>E12-E13-E15-E16</f>
        <v>1631336.0337174339</v>
      </c>
      <c r="F17" s="1085">
        <f>F12-F13-F15-F16</f>
        <v>1631346.3775488338</v>
      </c>
      <c r="G17" s="1085">
        <f>G12-G13-G15-G16</f>
        <v>1631346.3775488338</v>
      </c>
    </row>
    <row r="18" spans="1:7" ht="15" x14ac:dyDescent="0.2">
      <c r="A18" s="970" t="s">
        <v>220</v>
      </c>
      <c r="B18" s="1085"/>
      <c r="C18" s="1085">
        <f>('E-Costos'!B54+'E-Costos'!B55+'E-Costos'!B56+'E-Costos'!B57)*InfoInicial!$B$3</f>
        <v>68780.24201271763</v>
      </c>
      <c r="D18" s="1085">
        <f>('E-Costos'!C54+'E-Costos'!C55+'E-Costos'!C56+'E-Costos'!C57)*InfoInicial!$B$3</f>
        <v>73505.596538575148</v>
      </c>
      <c r="E18" s="1085">
        <f>('E-Costos'!D54+'E-Costos'!D55+'E-Costos'!D56+'E-Costos'!D57)*InfoInicial!$B$3</f>
        <v>73505.596538575148</v>
      </c>
      <c r="F18" s="1085">
        <f>('E-Costos'!E54+'E-Costos'!E55+'E-Costos'!E56+'E-Costos'!E57)*InfoInicial!$B$3</f>
        <v>73505.596538575148</v>
      </c>
      <c r="G18" s="1085">
        <f>('E-Costos'!F54+'E-Costos'!F55+'E-Costos'!F56+'E-Costos'!F57)*InfoInicial!$B$3</f>
        <v>73505.596538575148</v>
      </c>
    </row>
    <row r="19" spans="1:7" ht="15" x14ac:dyDescent="0.2">
      <c r="A19" s="970" t="s">
        <v>221</v>
      </c>
      <c r="B19" s="1085"/>
      <c r="C19" s="1085">
        <f>('E-Costos'!B71+'E-Costos'!B72+'E-Costos'!B73+'E-Costos'!B74)*InfoInicial!$B$3</f>
        <v>43561.993770387795</v>
      </c>
      <c r="D19" s="1085">
        <f>('E-Costos'!C71+'E-Costos'!C72+'E-Costos'!C73+'E-Costos'!C74)*InfoInicial!$B$3</f>
        <v>43950.65291435516</v>
      </c>
      <c r="E19" s="1085">
        <f>('E-Costos'!D71+'E-Costos'!D72+'E-Costos'!D73+'E-Costos'!D74)*InfoInicial!$B$3</f>
        <v>43950.65291435516</v>
      </c>
      <c r="F19" s="1085">
        <f>('E-Costos'!E71+'E-Costos'!E72+'E-Costos'!E73+'E-Costos'!E74)*InfoInicial!$B$3</f>
        <v>43950.65291435516</v>
      </c>
      <c r="G19" s="1085">
        <f>('E-Costos'!F71+'E-Costos'!F72+'E-Costos'!F73+'E-Costos'!F74)*InfoInicial!$B$3</f>
        <v>43950.65291435516</v>
      </c>
    </row>
    <row r="20" spans="1:7" ht="15" x14ac:dyDescent="0.2">
      <c r="A20" s="968"/>
      <c r="B20" s="1083"/>
      <c r="C20" s="1083"/>
      <c r="D20" s="1083"/>
      <c r="E20" s="1083"/>
      <c r="F20" s="1083"/>
      <c r="G20" s="1083"/>
    </row>
    <row r="21" spans="1:7" ht="15" x14ac:dyDescent="0.2">
      <c r="A21" s="824" t="s">
        <v>222</v>
      </c>
      <c r="B21" s="1085"/>
      <c r="C21" s="1085">
        <f>SUM(C17:C19)</f>
        <v>1535644.6026899365</v>
      </c>
      <c r="D21" s="1085">
        <f>SUM(D17:D19)</f>
        <v>1749298.4401056841</v>
      </c>
      <c r="E21" s="1085">
        <f>SUM(E17:E19)</f>
        <v>1748792.2831703643</v>
      </c>
      <c r="F21" s="1085">
        <f>SUM(F17:F19)</f>
        <v>1748802.6270017643</v>
      </c>
      <c r="G21" s="1085">
        <f>SUM(G17:G19)</f>
        <v>1748802.6270017643</v>
      </c>
    </row>
    <row r="22" spans="1:7" ht="15" x14ac:dyDescent="0.2">
      <c r="A22" s="824" t="s">
        <v>223</v>
      </c>
      <c r="B22" s="1085"/>
      <c r="C22" s="1085">
        <f>'E-Costos'!B88*InfoInicial!$B$3</f>
        <v>5446875</v>
      </c>
      <c r="D22" s="1085">
        <f>'E-Costos'!C88*InfoInicial!$B$3</f>
        <v>6300000</v>
      </c>
      <c r="E22" s="1085">
        <f>'E-Costos'!D88*InfoInicial!$B$3</f>
        <v>6300000</v>
      </c>
      <c r="F22" s="1085">
        <f>'E-Costos'!E88*InfoInicial!$B$3</f>
        <v>6300000</v>
      </c>
      <c r="G22" s="1085">
        <f>'E-Costos'!F88*InfoInicial!$B$3</f>
        <v>6300000</v>
      </c>
    </row>
    <row r="23" spans="1:7" ht="15" x14ac:dyDescent="0.2">
      <c r="A23" s="970" t="s">
        <v>224</v>
      </c>
      <c r="B23" s="1085"/>
      <c r="C23" s="1085">
        <f>C22-C21</f>
        <v>3911230.3973100632</v>
      </c>
      <c r="D23" s="1085">
        <f>D22-D21</f>
        <v>4550701.5598943159</v>
      </c>
      <c r="E23" s="1085">
        <f>E22-E21</f>
        <v>4551207.7168296352</v>
      </c>
      <c r="F23" s="1085">
        <f>F22-F21</f>
        <v>4551197.3729982357</v>
      </c>
      <c r="G23" s="1085">
        <f>G22-G21</f>
        <v>4551197.3729982357</v>
      </c>
    </row>
    <row r="24" spans="1:7" ht="15" x14ac:dyDescent="0.2">
      <c r="A24" s="967"/>
      <c r="B24" s="1083"/>
      <c r="C24" s="1083"/>
      <c r="D24" s="1083"/>
      <c r="E24" s="1083"/>
      <c r="F24" s="1083"/>
      <c r="G24" s="1083"/>
    </row>
    <row r="25" spans="1:7" ht="15" x14ac:dyDescent="0.2">
      <c r="A25" s="1089" t="s">
        <v>225</v>
      </c>
      <c r="B25" s="1085"/>
      <c r="C25" s="1085">
        <f>B27</f>
        <v>2808109.1159445606</v>
      </c>
      <c r="D25" s="1085">
        <f>C27</f>
        <v>0</v>
      </c>
      <c r="E25" s="1085">
        <f>D27</f>
        <v>0</v>
      </c>
      <c r="F25" s="1085">
        <f>E27</f>
        <v>0</v>
      </c>
      <c r="G25" s="1085">
        <f>F27</f>
        <v>0</v>
      </c>
    </row>
    <row r="26" spans="1:7" ht="15" x14ac:dyDescent="0.2">
      <c r="A26" s="1089" t="s">
        <v>226</v>
      </c>
      <c r="B26" s="1085">
        <f>'E-Inv AF y Am'!B34+'E-InvAT'!B34</f>
        <v>2808109.1159445606</v>
      </c>
      <c r="C26" s="1085">
        <f>'E-Inv AF y Am'!C34+'E-InvAT'!C34</f>
        <v>818465.96432957158</v>
      </c>
      <c r="D26" s="1085">
        <f>'E-InvAT'!D34</f>
        <v>-506.15693531988381</v>
      </c>
      <c r="E26" s="1085">
        <f>'E-InvAT'!E34</f>
        <v>0</v>
      </c>
      <c r="F26" s="1085">
        <f>'E-InvAT'!F34</f>
        <v>3673.8749096118672</v>
      </c>
      <c r="G26" s="1085">
        <f>'E-InvAT'!G34</f>
        <v>0</v>
      </c>
    </row>
    <row r="27" spans="1:7" ht="15" x14ac:dyDescent="0.2">
      <c r="A27" s="970" t="s">
        <v>227</v>
      </c>
      <c r="B27" s="1085">
        <f>B26</f>
        <v>2808109.1159445606</v>
      </c>
      <c r="C27" s="1085">
        <v>0</v>
      </c>
      <c r="D27" s="1085">
        <v>0</v>
      </c>
      <c r="E27" s="1085">
        <v>0</v>
      </c>
      <c r="F27" s="1085">
        <v>0</v>
      </c>
      <c r="G27" s="1085">
        <v>0</v>
      </c>
    </row>
    <row r="28" spans="1:7" ht="15" x14ac:dyDescent="0.2">
      <c r="A28" s="970" t="s">
        <v>763</v>
      </c>
      <c r="B28" s="1085">
        <v>0</v>
      </c>
      <c r="C28" s="1085">
        <f>C25+C26</f>
        <v>3626575.0802741321</v>
      </c>
      <c r="D28" s="1085">
        <f>D25+D26</f>
        <v>-506.15693531988381</v>
      </c>
      <c r="E28" s="1085">
        <f>E26</f>
        <v>0</v>
      </c>
      <c r="F28" s="1085">
        <f>F26</f>
        <v>3673.8749096118672</v>
      </c>
      <c r="G28" s="1085">
        <f>G26</f>
        <v>0</v>
      </c>
    </row>
    <row r="29" spans="1:7" ht="15" x14ac:dyDescent="0.2">
      <c r="A29" s="967"/>
      <c r="B29" s="1083"/>
      <c r="C29" s="1083"/>
      <c r="D29" s="1083"/>
      <c r="E29" s="1083"/>
      <c r="F29" s="1083"/>
      <c r="G29" s="1083"/>
    </row>
    <row r="30" spans="1:7" ht="15.75" x14ac:dyDescent="0.25">
      <c r="A30" s="970" t="s">
        <v>228</v>
      </c>
      <c r="B30" s="1082">
        <v>0</v>
      </c>
      <c r="C30" s="1082">
        <f>C23-C28</f>
        <v>284655.31703593116</v>
      </c>
      <c r="D30" s="1082">
        <f>D23-D28</f>
        <v>4551207.7168296361</v>
      </c>
      <c r="E30" s="1082">
        <f>E23-E28</f>
        <v>4551207.7168296352</v>
      </c>
      <c r="F30" s="1082">
        <f>F23-F28</f>
        <v>4547523.4980886243</v>
      </c>
      <c r="G30" s="1082">
        <f>G23-G28</f>
        <v>4551197.3729982357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26"/>
  <sheetViews>
    <sheetView tabSelected="1" zoomScale="85" zoomScaleNormal="85" workbookViewId="0">
      <selection activeCell="K21" sqref="K21"/>
    </sheetView>
  </sheetViews>
  <sheetFormatPr baseColWidth="10" defaultRowHeight="12.75" x14ac:dyDescent="0.2"/>
  <cols>
    <col min="1" max="1" width="8" style="7" customWidth="1"/>
    <col min="2" max="2" width="20.85546875" style="7" customWidth="1"/>
    <col min="3" max="3" width="21.7109375" style="7" customWidth="1"/>
    <col min="4" max="4" width="25.42578125" style="7" customWidth="1"/>
    <col min="5" max="5" width="20.7109375" style="7" customWidth="1"/>
    <col min="6" max="6" width="22.7109375" style="7" customWidth="1"/>
    <col min="7" max="7" width="21.42578125" style="7" customWidth="1"/>
    <col min="8" max="8" width="21" style="7" customWidth="1"/>
    <col min="9" max="9" width="20.42578125" style="7" customWidth="1"/>
    <col min="10" max="10" width="20.7109375" style="7" customWidth="1"/>
    <col min="11" max="11" width="21.140625" style="7" customWidth="1"/>
    <col min="12" max="12" width="20.42578125" style="7" customWidth="1"/>
    <col min="13" max="13" width="24.7109375" style="7" customWidth="1"/>
    <col min="14" max="14" width="13.7109375" style="7" customWidth="1"/>
    <col min="15" max="15" width="17" style="7" customWidth="1"/>
    <col min="16" max="16" width="20" style="7" customWidth="1"/>
    <col min="17" max="16384" width="11.42578125" style="7"/>
  </cols>
  <sheetData>
    <row r="1" spans="1:17" ht="15.75" x14ac:dyDescent="0.25">
      <c r="A1" s="305" t="s">
        <v>0</v>
      </c>
      <c r="B1" s="306"/>
      <c r="C1" s="306"/>
      <c r="D1" s="306"/>
      <c r="E1" s="306"/>
      <c r="F1" s="306"/>
      <c r="G1" s="306"/>
      <c r="H1" s="1100">
        <f>InfoInicial!E1</f>
        <v>8</v>
      </c>
      <c r="I1" s="306"/>
      <c r="J1" s="306"/>
      <c r="K1" s="306"/>
      <c r="L1" s="306"/>
      <c r="M1" s="306"/>
      <c r="N1" s="306"/>
      <c r="O1" s="306"/>
      <c r="P1" s="306"/>
      <c r="Q1" s="306"/>
    </row>
    <row r="2" spans="1:17" ht="15.75" x14ac:dyDescent="0.25">
      <c r="A2" s="305"/>
      <c r="B2" s="306"/>
      <c r="C2" s="306"/>
      <c r="D2" s="306"/>
      <c r="E2" s="306"/>
      <c r="F2" s="306"/>
      <c r="G2" s="306"/>
      <c r="H2" s="307"/>
      <c r="I2" s="306"/>
      <c r="J2" s="306"/>
      <c r="K2" s="306"/>
      <c r="L2" s="306"/>
      <c r="M2" s="306"/>
      <c r="N2" s="306"/>
      <c r="O2" s="306"/>
      <c r="P2" s="306"/>
      <c r="Q2" s="306"/>
    </row>
    <row r="3" spans="1:17" ht="21" thickBot="1" x14ac:dyDescent="0.35">
      <c r="A3" s="308" t="s">
        <v>229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10"/>
      <c r="O3" s="310"/>
      <c r="P3" s="310"/>
      <c r="Q3" s="310"/>
    </row>
    <row r="4" spans="1:17" ht="48" thickBot="1" x14ac:dyDescent="0.3">
      <c r="A4" s="1090" t="s">
        <v>230</v>
      </c>
      <c r="B4" s="1094" t="s">
        <v>231</v>
      </c>
      <c r="C4" s="1094" t="s">
        <v>232</v>
      </c>
      <c r="D4" s="1094" t="s">
        <v>233</v>
      </c>
      <c r="E4" s="1094" t="s">
        <v>3</v>
      </c>
      <c r="F4" s="1095" t="s">
        <v>234</v>
      </c>
      <c r="G4" s="1096" t="s">
        <v>235</v>
      </c>
      <c r="H4" s="1097" t="s">
        <v>236</v>
      </c>
      <c r="I4" s="1094" t="s">
        <v>107</v>
      </c>
      <c r="J4" s="1095" t="s">
        <v>237</v>
      </c>
      <c r="K4" s="1096" t="s">
        <v>238</v>
      </c>
      <c r="L4" s="1098" t="s">
        <v>239</v>
      </c>
      <c r="M4" s="1099" t="s">
        <v>240</v>
      </c>
      <c r="N4" s="306"/>
      <c r="O4" s="334"/>
      <c r="P4" s="335"/>
      <c r="Q4" s="311"/>
    </row>
    <row r="5" spans="1:17" ht="15.75" x14ac:dyDescent="0.25">
      <c r="A5" s="1091">
        <v>0</v>
      </c>
      <c r="B5" s="1101">
        <f>'E-Cal Inv.'!B8+'E-Cal Inv.'!C8</f>
        <v>12150603.303375</v>
      </c>
      <c r="C5" s="1102">
        <f>+'E-InvAT'!B$25</f>
        <v>1761344.8677895756</v>
      </c>
      <c r="D5" s="1102">
        <f>'E-IVA '!B26</f>
        <v>2808109.1159445606</v>
      </c>
      <c r="E5" s="1102">
        <v>0</v>
      </c>
      <c r="F5" s="1103">
        <v>0</v>
      </c>
      <c r="G5" s="1104">
        <f>SUM(B5:F5)</f>
        <v>16720057.287109137</v>
      </c>
      <c r="H5" s="1101">
        <v>0</v>
      </c>
      <c r="I5" s="1102">
        <v>0</v>
      </c>
      <c r="J5" s="1103">
        <v>0</v>
      </c>
      <c r="K5" s="1104">
        <f t="shared" ref="K5:K10" si="0">SUM(H5:J5)</f>
        <v>0</v>
      </c>
      <c r="L5" s="1105">
        <f t="shared" ref="L5:L10" si="1">K5-G5</f>
        <v>-16720057.287109137</v>
      </c>
      <c r="M5" s="1106">
        <f>L5</f>
        <v>-16720057.287109137</v>
      </c>
      <c r="N5" s="306"/>
      <c r="O5" s="336"/>
      <c r="P5" s="337"/>
      <c r="Q5" s="260"/>
    </row>
    <row r="6" spans="1:17" ht="15.75" x14ac:dyDescent="0.25">
      <c r="A6" s="1092">
        <v>1</v>
      </c>
      <c r="B6" s="1107">
        <f>'E-Cal Inv.'!D8</f>
        <v>135000</v>
      </c>
      <c r="C6" s="1108">
        <f>+'E-InvAT'!C$25</f>
        <v>5754889.5508136712</v>
      </c>
      <c r="D6" s="1108">
        <f>'E-IVA '!C26</f>
        <v>818465.96432957158</v>
      </c>
      <c r="E6" s="1108">
        <f>'E-Costos'!B117</f>
        <v>459418.4238265676</v>
      </c>
      <c r="F6" s="1109">
        <f>'E-Costos'!B118</f>
        <v>3055132.5184466741</v>
      </c>
      <c r="G6" s="1104">
        <f t="shared" ref="G6:G10" si="2">SUM(B6:F6)</f>
        <v>10222906.457416484</v>
      </c>
      <c r="H6" s="1107">
        <f>'E-Costos'!B116</f>
        <v>9188368.476531351</v>
      </c>
      <c r="I6" s="1108">
        <f>'E-Inv AF y Am'!D56</f>
        <v>1103775.0477583334</v>
      </c>
      <c r="J6" s="1109">
        <f>'E-IVA '!C28</f>
        <v>3626575.0802741321</v>
      </c>
      <c r="K6" s="1104">
        <f t="shared" si="0"/>
        <v>13918718.604563817</v>
      </c>
      <c r="L6" s="1105">
        <f t="shared" si="1"/>
        <v>3695812.1471473332</v>
      </c>
      <c r="M6" s="1110">
        <f>M5+L6</f>
        <v>-13024245.139961803</v>
      </c>
      <c r="N6" s="306"/>
      <c r="O6" s="336"/>
      <c r="P6" s="337"/>
      <c r="Q6" s="260"/>
    </row>
    <row r="7" spans="1:17" ht="15.75" x14ac:dyDescent="0.25">
      <c r="A7" s="1092">
        <v>2</v>
      </c>
      <c r="B7" s="1107"/>
      <c r="C7" s="1108">
        <f>+'E-InvAT'!D$25</f>
        <v>245118.75989553332</v>
      </c>
      <c r="D7" s="1108">
        <f>'E-IVA '!D26</f>
        <v>-506.15693531988381</v>
      </c>
      <c r="E7" s="1108">
        <f>'E-Costos'!C117</f>
        <v>568285.54696022556</v>
      </c>
      <c r="F7" s="1109">
        <f>'E-Costos'!C118</f>
        <v>3779098.8872854994</v>
      </c>
      <c r="G7" s="1104">
        <f t="shared" si="2"/>
        <v>4591997.0372059382</v>
      </c>
      <c r="H7" s="1107">
        <f>'E-Costos'!C116</f>
        <v>11365710.93920451</v>
      </c>
      <c r="I7" s="1108">
        <f>'E-Inv AF y Am'!D56</f>
        <v>1103775.0477583334</v>
      </c>
      <c r="J7" s="1109">
        <f>'E-IVA '!D28</f>
        <v>-506.15693531988381</v>
      </c>
      <c r="K7" s="1104">
        <f t="shared" si="0"/>
        <v>12468979.830027524</v>
      </c>
      <c r="L7" s="1105">
        <f t="shared" si="1"/>
        <v>7876982.7928215861</v>
      </c>
      <c r="M7" s="1110">
        <f>M6+L7</f>
        <v>-5147262.3471402172</v>
      </c>
      <c r="N7" s="306"/>
      <c r="O7" s="336"/>
      <c r="P7" s="337"/>
      <c r="Q7" s="260"/>
    </row>
    <row r="8" spans="1:17" ht="15.75" x14ac:dyDescent="0.25">
      <c r="A8" s="1092">
        <v>3</v>
      </c>
      <c r="B8" s="1107"/>
      <c r="C8" s="1108">
        <f>+'E-InvAT'!E$25</f>
        <v>-149.09450127836317</v>
      </c>
      <c r="D8" s="1108">
        <f>'E-IVA '!E26</f>
        <v>0</v>
      </c>
      <c r="E8" s="1108">
        <f>'E-Costos'!D117</f>
        <v>568281.44171850372</v>
      </c>
      <c r="F8" s="1109">
        <f>'E-Costos'!D118</f>
        <v>3779071.5874280487</v>
      </c>
      <c r="G8" s="1104">
        <f t="shared" si="2"/>
        <v>4347203.9346452737</v>
      </c>
      <c r="H8" s="1107">
        <f>'E-Costos'!D116</f>
        <v>11365628.834370073</v>
      </c>
      <c r="I8" s="1108">
        <f>'E-Inv AF y Am'!D56</f>
        <v>1103775.0477583334</v>
      </c>
      <c r="J8" s="1109">
        <f>'E-IVA '!E28</f>
        <v>0</v>
      </c>
      <c r="K8" s="1104">
        <f t="shared" si="0"/>
        <v>12469403.882128406</v>
      </c>
      <c r="L8" s="1105">
        <f t="shared" si="1"/>
        <v>8122199.9474831326</v>
      </c>
      <c r="M8" s="1110">
        <f>M7+L8</f>
        <v>2974937.6003429154</v>
      </c>
      <c r="N8" s="306"/>
      <c r="O8" s="336"/>
      <c r="P8" s="337"/>
      <c r="Q8" s="260"/>
    </row>
    <row r="9" spans="1:17" ht="15.75" x14ac:dyDescent="0.25">
      <c r="A9" s="1092">
        <v>4</v>
      </c>
      <c r="B9" s="1107"/>
      <c r="C9" s="1108">
        <f>+'E-InvAT'!F$25</f>
        <v>17449.089017016813</v>
      </c>
      <c r="D9" s="1108">
        <f>'E-IVA '!F26</f>
        <v>3673.8749096118672</v>
      </c>
      <c r="E9" s="1108">
        <f>'E-Costos'!E117</f>
        <v>568330.77643311478</v>
      </c>
      <c r="F9" s="1109">
        <f>'E-Costos'!E118</f>
        <v>3779399.6632802128</v>
      </c>
      <c r="G9" s="1104">
        <f t="shared" si="2"/>
        <v>4368853.4036399564</v>
      </c>
      <c r="H9" s="1107">
        <f>'E-Costos'!E116</f>
        <v>11366615.528662294</v>
      </c>
      <c r="I9" s="1108">
        <f>'E-Inv AF y Am'!E56</f>
        <v>1103775.0477583334</v>
      </c>
      <c r="J9" s="1109">
        <f>'E-IVA '!F28</f>
        <v>3673.8749096118672</v>
      </c>
      <c r="K9" s="1104">
        <f t="shared" si="0"/>
        <v>12474064.451330239</v>
      </c>
      <c r="L9" s="1105">
        <f t="shared" si="1"/>
        <v>8105211.0476902826</v>
      </c>
      <c r="M9" s="1110">
        <f>M8+L9</f>
        <v>11080148.648033198</v>
      </c>
      <c r="N9" s="306"/>
      <c r="O9" s="336"/>
      <c r="P9" s="337"/>
      <c r="Q9" s="260"/>
    </row>
    <row r="10" spans="1:17" ht="16.5" thickBot="1" x14ac:dyDescent="0.3">
      <c r="A10" s="1093">
        <v>5</v>
      </c>
      <c r="B10" s="1111">
        <f>-'E-Inv AF y Am'!G56</f>
        <v>-6781578.0645833332</v>
      </c>
      <c r="C10" s="1112">
        <f>-SUM(C5:C9)</f>
        <v>-7778653.1730145188</v>
      </c>
      <c r="D10" s="1112">
        <f>'E-IVA '!G26</f>
        <v>0</v>
      </c>
      <c r="E10" s="1112">
        <f>'E-Costos'!F117</f>
        <v>568330.84698349086</v>
      </c>
      <c r="F10" s="1113">
        <f>'E-Costos'!F118</f>
        <v>3779400.132440214</v>
      </c>
      <c r="G10" s="1114">
        <f t="shared" si="2"/>
        <v>-10212500.258174147</v>
      </c>
      <c r="H10" s="1111">
        <f>'E-Costos'!F116</f>
        <v>11366616.939669818</v>
      </c>
      <c r="I10" s="1112">
        <f>'E-Inv AF y Am'!E56</f>
        <v>1103775.0477583334</v>
      </c>
      <c r="J10" s="1113">
        <f>'E-IVA '!G28</f>
        <v>0</v>
      </c>
      <c r="K10" s="1114">
        <f t="shared" si="0"/>
        <v>12470391.987428151</v>
      </c>
      <c r="L10" s="1115">
        <f t="shared" si="1"/>
        <v>22682892.245602299</v>
      </c>
      <c r="M10" s="1116">
        <f>M9+L10</f>
        <v>33763040.893635496</v>
      </c>
      <c r="N10" s="306"/>
      <c r="O10" s="336"/>
      <c r="P10" s="337"/>
      <c r="Q10" s="260"/>
    </row>
    <row r="11" spans="1:17" ht="16.5" thickBot="1" x14ac:dyDescent="0.3">
      <c r="A11" s="312" t="s">
        <v>241</v>
      </c>
      <c r="B11" s="1117">
        <f t="shared" ref="B11:L11" si="3">SUM(B5:B10)</f>
        <v>5504025.2387916669</v>
      </c>
      <c r="C11" s="1118">
        <f t="shared" si="3"/>
        <v>0</v>
      </c>
      <c r="D11" s="1119">
        <f t="shared" si="3"/>
        <v>3629742.7982484242</v>
      </c>
      <c r="E11" s="1118">
        <f t="shared" si="3"/>
        <v>2732647.0359219029</v>
      </c>
      <c r="F11" s="1120">
        <f t="shared" si="3"/>
        <v>18172102.78888065</v>
      </c>
      <c r="G11" s="1121">
        <f t="shared" si="3"/>
        <v>30038517.861842643</v>
      </c>
      <c r="H11" s="1122">
        <f t="shared" si="3"/>
        <v>54652940.718438044</v>
      </c>
      <c r="I11" s="1123">
        <f t="shared" si="3"/>
        <v>5518875.2387916669</v>
      </c>
      <c r="J11" s="1124">
        <f t="shared" si="3"/>
        <v>3629742.7982484242</v>
      </c>
      <c r="K11" s="1121">
        <f t="shared" si="3"/>
        <v>63801558.755478136</v>
      </c>
      <c r="L11" s="1125">
        <f t="shared" si="3"/>
        <v>33763040.893635496</v>
      </c>
      <c r="M11" s="1126"/>
      <c r="N11" s="306"/>
      <c r="O11" s="334"/>
      <c r="P11" s="338"/>
      <c r="Q11" s="260"/>
    </row>
    <row r="12" spans="1:17" ht="15.75" thickBot="1" x14ac:dyDescent="0.25">
      <c r="A12" s="306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</row>
    <row r="13" spans="1:17" ht="16.5" thickBot="1" x14ac:dyDescent="0.3">
      <c r="A13" s="306"/>
      <c r="B13" s="306"/>
      <c r="C13" s="313" t="s">
        <v>242</v>
      </c>
      <c r="D13" s="1127">
        <f>H11-E11-F11</f>
        <v>33748190.893635496</v>
      </c>
      <c r="E13" s="306"/>
      <c r="F13" s="306"/>
      <c r="H13" s="306"/>
      <c r="I13" s="306"/>
      <c r="J13" s="306"/>
      <c r="K13" s="306"/>
      <c r="L13" s="306"/>
      <c r="M13" s="306"/>
      <c r="N13" s="314"/>
      <c r="O13" s="306"/>
      <c r="P13" s="306"/>
      <c r="Q13" s="306"/>
    </row>
    <row r="14" spans="1:17" ht="16.5" thickBot="1" x14ac:dyDescent="0.3">
      <c r="A14" s="315"/>
      <c r="B14" s="306"/>
      <c r="C14" s="316" t="s">
        <v>734</v>
      </c>
      <c r="D14" s="317">
        <f>2+((ABS(M7))/(ABS(M7)+M8))</f>
        <v>2.633727608335378</v>
      </c>
      <c r="E14" s="318" t="s">
        <v>735</v>
      </c>
      <c r="F14" s="323" t="s">
        <v>760</v>
      </c>
      <c r="G14" s="325"/>
      <c r="H14" s="1128" t="s">
        <v>761</v>
      </c>
      <c r="I14" s="1129">
        <f>((ABS(M7))/(L8))*365</f>
        <v>231.31057704241292</v>
      </c>
      <c r="J14" s="324" t="s">
        <v>762</v>
      </c>
      <c r="K14" s="306"/>
      <c r="L14" s="306"/>
      <c r="M14" s="306"/>
      <c r="N14" s="306"/>
      <c r="O14" s="306"/>
      <c r="P14" s="306"/>
      <c r="Q14" s="306"/>
    </row>
    <row r="15" spans="1:17" ht="16.5" thickBot="1" x14ac:dyDescent="0.3">
      <c r="A15" s="306"/>
      <c r="B15" s="306"/>
      <c r="C15" s="319" t="s">
        <v>245</v>
      </c>
      <c r="D15" s="320">
        <f>IRR(L5:L10)</f>
        <v>0.37871953293223171</v>
      </c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</row>
    <row r="16" spans="1:17" ht="15" x14ac:dyDescent="0.2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21"/>
      <c r="M16" s="306"/>
      <c r="N16" s="306"/>
      <c r="O16" s="306"/>
      <c r="P16" s="306"/>
      <c r="Q16" s="306"/>
    </row>
    <row r="17" spans="1:17" ht="15" x14ac:dyDescent="0.2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</row>
    <row r="18" spans="1:17" ht="15" x14ac:dyDescent="0.2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17" ht="15" x14ac:dyDescent="0.2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</row>
    <row r="20" spans="1:17" ht="15" x14ac:dyDescent="0.2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</row>
    <row r="21" spans="1:17" ht="15" x14ac:dyDescent="0.2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</row>
    <row r="22" spans="1:17" ht="15" x14ac:dyDescent="0.2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</row>
    <row r="23" spans="1:17" ht="15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</row>
    <row r="24" spans="1:17" ht="15" x14ac:dyDescent="0.2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</row>
    <row r="25" spans="1:17" ht="15" x14ac:dyDescent="0.2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</row>
    <row r="26" spans="1:17" ht="15" x14ac:dyDescent="0.2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1" sqref="F1"/>
    </sheetView>
  </sheetViews>
  <sheetFormatPr baseColWidth="10" defaultRowHeight="12.75" x14ac:dyDescent="0.2"/>
  <cols>
    <col min="1" max="1" width="27.28515625" style="7" customWidth="1"/>
    <col min="2" max="9" width="15.140625" style="7" customWidth="1"/>
    <col min="10" max="16384" width="11.42578125" style="7"/>
  </cols>
  <sheetData>
    <row r="1" spans="1:9" x14ac:dyDescent="0.2">
      <c r="A1" s="1" t="s">
        <v>0</v>
      </c>
      <c r="B1"/>
      <c r="C1"/>
      <c r="D1"/>
      <c r="F1" s="58">
        <f>InfoInicial!E1</f>
        <v>8</v>
      </c>
      <c r="G1" s="2"/>
    </row>
    <row r="2" spans="1:9" ht="15.75" x14ac:dyDescent="0.25">
      <c r="A2" s="59" t="s">
        <v>246</v>
      </c>
      <c r="B2" s="35"/>
      <c r="C2" s="35"/>
      <c r="D2" s="35"/>
      <c r="E2" s="35"/>
      <c r="F2" s="35"/>
      <c r="G2" s="36"/>
    </row>
    <row r="3" spans="1:9" x14ac:dyDescent="0.2">
      <c r="A3" s="16" t="s">
        <v>88</v>
      </c>
      <c r="B3" s="385" t="s">
        <v>247</v>
      </c>
      <c r="C3" s="385"/>
      <c r="D3" s="385" t="s">
        <v>248</v>
      </c>
      <c r="E3" s="385"/>
      <c r="F3" s="386" t="s">
        <v>249</v>
      </c>
      <c r="G3" s="386"/>
    </row>
    <row r="4" spans="1:9" x14ac:dyDescent="0.2">
      <c r="A4" s="16" t="s">
        <v>74</v>
      </c>
      <c r="B4" s="60" t="s">
        <v>250</v>
      </c>
      <c r="C4" s="60" t="s">
        <v>251</v>
      </c>
      <c r="D4" s="60" t="s">
        <v>250</v>
      </c>
      <c r="E4" s="60" t="s">
        <v>251</v>
      </c>
      <c r="F4" s="60" t="s">
        <v>250</v>
      </c>
      <c r="G4" s="61" t="s">
        <v>251</v>
      </c>
    </row>
    <row r="5" spans="1:9" x14ac:dyDescent="0.2">
      <c r="A5" s="10" t="s">
        <v>252</v>
      </c>
      <c r="B5" s="19"/>
      <c r="C5" s="33"/>
      <c r="D5" s="19"/>
      <c r="E5" s="33"/>
      <c r="F5" s="19"/>
      <c r="G5" s="34"/>
    </row>
    <row r="6" spans="1:9" x14ac:dyDescent="0.2">
      <c r="A6" s="8" t="s">
        <v>253</v>
      </c>
      <c r="B6" s="19"/>
      <c r="C6" s="33"/>
      <c r="D6" s="19"/>
      <c r="E6" s="33"/>
      <c r="F6" s="19"/>
      <c r="G6" s="34"/>
    </row>
    <row r="7" spans="1:9" x14ac:dyDescent="0.2">
      <c r="A7" s="8" t="s">
        <v>254</v>
      </c>
      <c r="B7" s="19"/>
      <c r="C7" s="33"/>
      <c r="D7" s="19"/>
      <c r="E7" s="41"/>
      <c r="F7" s="19"/>
      <c r="G7" s="34"/>
    </row>
    <row r="8" spans="1:9" x14ac:dyDescent="0.2">
      <c r="A8" s="12" t="s">
        <v>191</v>
      </c>
      <c r="B8" s="62"/>
      <c r="C8" s="63"/>
      <c r="D8" s="62"/>
      <c r="E8" s="63"/>
      <c r="F8" s="62"/>
      <c r="G8" s="64"/>
    </row>
    <row r="9" spans="1:9" x14ac:dyDescent="0.2">
      <c r="A9" s="23"/>
      <c r="B9" s="15"/>
      <c r="C9" s="65"/>
      <c r="D9" s="15"/>
      <c r="E9" s="15"/>
      <c r="F9" s="15"/>
      <c r="G9" s="15"/>
    </row>
    <row r="10" spans="1:9" ht="15.75" x14ac:dyDescent="0.25">
      <c r="A10" s="66" t="s">
        <v>255</v>
      </c>
      <c r="B10" s="67"/>
      <c r="C10" s="67"/>
      <c r="D10" s="67"/>
      <c r="E10" s="67"/>
      <c r="F10" s="67"/>
      <c r="G10" s="67"/>
      <c r="H10" s="67"/>
      <c r="I10" s="68"/>
    </row>
    <row r="11" spans="1:9" x14ac:dyDescent="0.2">
      <c r="A11" s="69" t="s">
        <v>256</v>
      </c>
      <c r="B11" s="70" t="s">
        <v>257</v>
      </c>
      <c r="C11" s="70" t="s">
        <v>258</v>
      </c>
      <c r="D11" s="70" t="s">
        <v>259</v>
      </c>
      <c r="E11" s="70" t="s">
        <v>258</v>
      </c>
      <c r="F11" s="70" t="s">
        <v>260</v>
      </c>
      <c r="G11" s="70" t="s">
        <v>259</v>
      </c>
      <c r="H11" s="70"/>
      <c r="I11" s="71" t="s">
        <v>261</v>
      </c>
    </row>
    <row r="12" spans="1:9" x14ac:dyDescent="0.2">
      <c r="A12" s="72"/>
      <c r="B12" s="73"/>
      <c r="C12" s="73" t="s">
        <v>262</v>
      </c>
      <c r="D12" s="73" t="s">
        <v>262</v>
      </c>
      <c r="E12" s="73" t="s">
        <v>35</v>
      </c>
      <c r="F12" s="73" t="s">
        <v>263</v>
      </c>
      <c r="G12" s="73" t="s">
        <v>35</v>
      </c>
      <c r="H12" s="73" t="s">
        <v>264</v>
      </c>
      <c r="I12" s="74" t="s">
        <v>265</v>
      </c>
    </row>
    <row r="13" spans="1:9" x14ac:dyDescent="0.2">
      <c r="A13" s="75"/>
      <c r="B13" s="29"/>
      <c r="C13" s="29"/>
      <c r="D13" s="29"/>
      <c r="E13" s="29"/>
      <c r="F13" s="76"/>
      <c r="G13" s="29"/>
      <c r="H13" s="77"/>
      <c r="I13" s="30"/>
    </row>
    <row r="14" spans="1:9" x14ac:dyDescent="0.2">
      <c r="A14" s="78"/>
      <c r="B14" s="19"/>
      <c r="C14" s="19"/>
      <c r="D14" s="19"/>
      <c r="E14" s="19"/>
      <c r="F14" s="9"/>
      <c r="G14" s="19"/>
      <c r="H14" s="41"/>
      <c r="I14" s="20"/>
    </row>
    <row r="15" spans="1:9" x14ac:dyDescent="0.2">
      <c r="A15" s="78"/>
      <c r="B15" s="19"/>
      <c r="C15" s="19"/>
      <c r="D15" s="19"/>
      <c r="E15" s="19"/>
      <c r="F15" s="9"/>
      <c r="G15" s="19"/>
      <c r="H15" s="41"/>
      <c r="I15" s="20"/>
    </row>
    <row r="16" spans="1:9" x14ac:dyDescent="0.2">
      <c r="A16" s="78"/>
      <c r="B16" s="19"/>
      <c r="C16" s="19"/>
      <c r="D16" s="19"/>
      <c r="E16" s="19"/>
      <c r="F16" s="9"/>
      <c r="G16" s="19"/>
      <c r="H16" s="41"/>
      <c r="I16" s="20"/>
    </row>
    <row r="17" spans="1:9" x14ac:dyDescent="0.2">
      <c r="A17" s="78"/>
      <c r="B17" s="19"/>
      <c r="C17" s="19"/>
      <c r="D17" s="19"/>
      <c r="E17" s="19"/>
      <c r="F17" s="9"/>
      <c r="G17" s="19"/>
      <c r="H17" s="41"/>
      <c r="I17" s="20"/>
    </row>
    <row r="18" spans="1:9" x14ac:dyDescent="0.2">
      <c r="A18" s="78"/>
      <c r="B18" s="19"/>
      <c r="C18" s="19"/>
      <c r="D18" s="19"/>
      <c r="E18" s="19"/>
      <c r="F18" s="9"/>
      <c r="G18" s="19"/>
      <c r="H18" s="41"/>
      <c r="I18" s="20"/>
    </row>
    <row r="19" spans="1:9" x14ac:dyDescent="0.2">
      <c r="A19" s="78"/>
      <c r="B19" s="19"/>
      <c r="C19" s="19"/>
      <c r="D19" s="19"/>
      <c r="E19" s="19"/>
      <c r="F19" s="9"/>
      <c r="G19" s="19"/>
      <c r="H19" s="41"/>
      <c r="I19" s="20"/>
    </row>
    <row r="20" spans="1:9" x14ac:dyDescent="0.2">
      <c r="A20" s="79"/>
      <c r="B20" s="21"/>
      <c r="C20" s="21"/>
      <c r="D20" s="25"/>
      <c r="E20" s="21"/>
      <c r="F20" s="11"/>
      <c r="G20" s="25"/>
      <c r="H20" s="80"/>
      <c r="I20" s="26"/>
    </row>
    <row r="21" spans="1:9" x14ac:dyDescent="0.2">
      <c r="A21" s="81" t="s">
        <v>266</v>
      </c>
      <c r="B21" s="82"/>
      <c r="C21" s="82"/>
      <c r="D21" s="83"/>
      <c r="E21" s="82"/>
      <c r="F21" s="84"/>
      <c r="G21" s="83"/>
      <c r="H21" s="85"/>
      <c r="I21" s="83"/>
    </row>
    <row r="22" spans="1:9" x14ac:dyDescent="0.2">
      <c r="A22" s="75"/>
      <c r="B22" s="29"/>
      <c r="C22" s="29"/>
      <c r="D22" s="17"/>
      <c r="E22" s="29"/>
      <c r="F22" s="76"/>
      <c r="G22" s="17"/>
      <c r="H22" s="77"/>
      <c r="I22" s="18"/>
    </row>
    <row r="23" spans="1:9" x14ac:dyDescent="0.2">
      <c r="A23" s="78"/>
      <c r="B23" s="19"/>
      <c r="C23" s="19"/>
      <c r="D23" s="19"/>
      <c r="E23" s="19"/>
      <c r="F23" s="9"/>
      <c r="G23" s="19"/>
      <c r="H23" s="41"/>
      <c r="I23" s="20"/>
    </row>
    <row r="24" spans="1:9" x14ac:dyDescent="0.2">
      <c r="A24" s="86"/>
      <c r="B24" s="19"/>
      <c r="C24" s="19"/>
      <c r="D24" s="19"/>
      <c r="E24" s="19"/>
      <c r="F24" s="19"/>
      <c r="G24" s="19"/>
      <c r="H24" s="33"/>
      <c r="I24" s="20"/>
    </row>
    <row r="25" spans="1:9" x14ac:dyDescent="0.2">
      <c r="A25" s="86"/>
      <c r="B25" s="19"/>
      <c r="C25" s="19"/>
      <c r="D25" s="19"/>
      <c r="E25" s="19"/>
      <c r="F25" s="19"/>
      <c r="G25" s="19"/>
      <c r="H25" s="33"/>
      <c r="I25" s="20"/>
    </row>
    <row r="26" spans="1:9" x14ac:dyDescent="0.2">
      <c r="A26" s="86"/>
      <c r="B26" s="19"/>
      <c r="C26" s="19"/>
      <c r="D26" s="19"/>
      <c r="E26" s="19"/>
      <c r="F26" s="19"/>
      <c r="G26" s="19"/>
      <c r="H26" s="33"/>
      <c r="I26" s="20"/>
    </row>
    <row r="27" spans="1:9" x14ac:dyDescent="0.2">
      <c r="A27" s="86"/>
      <c r="B27" s="19"/>
      <c r="C27" s="19"/>
      <c r="D27" s="19"/>
      <c r="E27" s="19"/>
      <c r="F27" s="19"/>
      <c r="G27" s="19"/>
      <c r="H27" s="33"/>
      <c r="I27" s="20"/>
    </row>
    <row r="28" spans="1:9" x14ac:dyDescent="0.2">
      <c r="A28" s="86"/>
      <c r="B28" s="19"/>
      <c r="C28" s="19"/>
      <c r="D28" s="19"/>
      <c r="E28" s="19"/>
      <c r="F28" s="19"/>
      <c r="G28" s="19"/>
      <c r="H28" s="33"/>
      <c r="I28" s="20"/>
    </row>
    <row r="29" spans="1:9" x14ac:dyDescent="0.2">
      <c r="A29" s="86"/>
      <c r="B29" s="19"/>
      <c r="C29" s="19"/>
      <c r="D29" s="19"/>
      <c r="E29" s="19"/>
      <c r="F29" s="19"/>
      <c r="G29" s="19"/>
      <c r="H29" s="33"/>
      <c r="I29" s="20"/>
    </row>
    <row r="30" spans="1:9" x14ac:dyDescent="0.2">
      <c r="A30" s="86"/>
      <c r="B30" s="19"/>
      <c r="C30" s="19"/>
      <c r="D30" s="19"/>
      <c r="E30" s="19"/>
      <c r="F30" s="19"/>
      <c r="G30" s="19"/>
      <c r="H30" s="33"/>
      <c r="I30" s="20"/>
    </row>
    <row r="31" spans="1:9" x14ac:dyDescent="0.2">
      <c r="A31" s="86"/>
      <c r="B31" s="19"/>
      <c r="C31" s="19"/>
      <c r="D31" s="19"/>
      <c r="E31" s="19"/>
      <c r="F31" s="19"/>
      <c r="G31" s="19"/>
      <c r="H31" s="33"/>
      <c r="I31" s="20"/>
    </row>
    <row r="32" spans="1:9" x14ac:dyDescent="0.2">
      <c r="A32" s="86"/>
      <c r="B32" s="19"/>
      <c r="C32" s="19"/>
      <c r="D32" s="19"/>
      <c r="E32" s="19"/>
      <c r="F32" s="19"/>
      <c r="G32" s="19"/>
      <c r="H32" s="33"/>
      <c r="I32" s="20"/>
    </row>
    <row r="33" spans="1:9" x14ac:dyDescent="0.2">
      <c r="A33" s="86"/>
      <c r="B33" s="19"/>
      <c r="C33" s="19"/>
      <c r="D33" s="19"/>
      <c r="E33" s="19"/>
      <c r="F33" s="19"/>
      <c r="G33" s="19"/>
      <c r="H33" s="33"/>
      <c r="I33" s="20"/>
    </row>
    <row r="34" spans="1:9" x14ac:dyDescent="0.2">
      <c r="A34" s="86"/>
      <c r="B34" s="19"/>
      <c r="C34" s="19"/>
      <c r="D34" s="19"/>
      <c r="E34" s="19"/>
      <c r="F34" s="19"/>
      <c r="G34" s="19"/>
      <c r="H34" s="33"/>
      <c r="I34" s="20"/>
    </row>
    <row r="35" spans="1:9" x14ac:dyDescent="0.2">
      <c r="A35" s="86"/>
      <c r="B35" s="19"/>
      <c r="C35" s="19"/>
      <c r="D35" s="19"/>
      <c r="E35" s="19"/>
      <c r="F35" s="9"/>
      <c r="G35" s="19"/>
      <c r="H35" s="41"/>
      <c r="I35" s="20"/>
    </row>
    <row r="36" spans="1:9" x14ac:dyDescent="0.2">
      <c r="A36" s="86"/>
      <c r="B36" s="19"/>
      <c r="C36" s="19"/>
      <c r="D36" s="19"/>
      <c r="E36" s="19"/>
      <c r="F36" s="19"/>
      <c r="G36" s="19"/>
      <c r="H36" s="33"/>
      <c r="I36" s="20"/>
    </row>
    <row r="37" spans="1:9" x14ac:dyDescent="0.2">
      <c r="A37" s="86"/>
      <c r="B37" s="19"/>
      <c r="C37" s="19"/>
      <c r="D37" s="19"/>
      <c r="E37" s="19"/>
      <c r="F37" s="9"/>
      <c r="G37" s="19"/>
      <c r="H37" s="41"/>
      <c r="I37" s="20"/>
    </row>
    <row r="38" spans="1:9" x14ac:dyDescent="0.2">
      <c r="A38" s="86"/>
      <c r="B38" s="19"/>
      <c r="C38" s="19"/>
      <c r="D38" s="19"/>
      <c r="E38" s="19"/>
      <c r="F38" s="19"/>
      <c r="G38" s="19"/>
      <c r="H38" s="33"/>
      <c r="I38" s="20"/>
    </row>
    <row r="39" spans="1:9" x14ac:dyDescent="0.2">
      <c r="A39" s="86"/>
      <c r="B39" s="19"/>
      <c r="C39" s="19"/>
      <c r="D39" s="19"/>
      <c r="E39" s="19"/>
      <c r="F39" s="9"/>
      <c r="G39" s="19"/>
      <c r="H39" s="41"/>
      <c r="I39" s="20"/>
    </row>
    <row r="40" spans="1:9" x14ac:dyDescent="0.2">
      <c r="A40" s="86"/>
      <c r="B40" s="19"/>
      <c r="C40" s="19"/>
      <c r="D40" s="19"/>
      <c r="E40" s="19"/>
      <c r="F40" s="19"/>
      <c r="G40" s="19"/>
      <c r="H40" s="33"/>
      <c r="I40" s="20"/>
    </row>
    <row r="41" spans="1:9" x14ac:dyDescent="0.2">
      <c r="A41" s="86"/>
      <c r="B41" s="19"/>
      <c r="C41" s="19"/>
      <c r="D41" s="19"/>
      <c r="E41" s="19"/>
      <c r="F41" s="9"/>
      <c r="G41" s="19"/>
      <c r="H41" s="41"/>
      <c r="I41" s="20"/>
    </row>
    <row r="42" spans="1:9" x14ac:dyDescent="0.2">
      <c r="A42" s="86"/>
      <c r="B42" s="19"/>
      <c r="C42" s="19"/>
      <c r="D42" s="19"/>
      <c r="E42" s="19"/>
      <c r="F42" s="19"/>
      <c r="G42" s="19"/>
      <c r="H42" s="33"/>
      <c r="I42" s="20"/>
    </row>
    <row r="43" spans="1:9" x14ac:dyDescent="0.2">
      <c r="A43" s="86"/>
      <c r="B43" s="19"/>
      <c r="C43" s="19"/>
      <c r="D43" s="19"/>
      <c r="E43" s="19"/>
      <c r="F43" s="9"/>
      <c r="G43" s="19"/>
      <c r="H43" s="41"/>
      <c r="I43" s="20"/>
    </row>
    <row r="44" spans="1:9" x14ac:dyDescent="0.2">
      <c r="A44" s="86"/>
      <c r="B44" s="19"/>
      <c r="C44" s="19"/>
      <c r="D44" s="19"/>
      <c r="E44" s="19"/>
      <c r="F44" s="19"/>
      <c r="G44" s="19"/>
      <c r="H44" s="33"/>
      <c r="I44" s="20"/>
    </row>
    <row r="45" spans="1:9" x14ac:dyDescent="0.2">
      <c r="A45" s="86"/>
      <c r="B45" s="19"/>
      <c r="C45" s="19"/>
      <c r="D45" s="19"/>
      <c r="E45" s="19"/>
      <c r="F45" s="9"/>
      <c r="G45" s="19"/>
      <c r="H45" s="41"/>
      <c r="I45" s="20"/>
    </row>
    <row r="46" spans="1:9" x14ac:dyDescent="0.2">
      <c r="A46" s="86"/>
      <c r="B46" s="19"/>
      <c r="C46" s="19"/>
      <c r="D46" s="19"/>
      <c r="E46" s="19"/>
      <c r="F46" s="19"/>
      <c r="G46" s="19"/>
      <c r="H46" s="33"/>
      <c r="I46" s="20"/>
    </row>
    <row r="47" spans="1:9" x14ac:dyDescent="0.2">
      <c r="A47" s="86"/>
      <c r="B47" s="19"/>
      <c r="C47" s="19"/>
      <c r="D47" s="19"/>
      <c r="E47" s="19"/>
      <c r="F47" s="9"/>
      <c r="G47" s="19"/>
      <c r="H47" s="41"/>
      <c r="I47" s="20"/>
    </row>
    <row r="48" spans="1:9" x14ac:dyDescent="0.2">
      <c r="A48" s="86"/>
      <c r="B48" s="19"/>
      <c r="C48" s="19"/>
      <c r="D48" s="19"/>
      <c r="E48" s="19"/>
      <c r="F48" s="19"/>
      <c r="G48" s="19"/>
      <c r="H48" s="33"/>
      <c r="I48" s="20"/>
    </row>
    <row r="49" spans="1:9" x14ac:dyDescent="0.2">
      <c r="A49" s="86"/>
      <c r="B49" s="19"/>
      <c r="C49" s="19"/>
      <c r="D49" s="19"/>
      <c r="E49" s="19"/>
      <c r="F49" s="9"/>
      <c r="G49" s="19"/>
      <c r="H49" s="41"/>
      <c r="I49" s="20"/>
    </row>
    <row r="50" spans="1:9" x14ac:dyDescent="0.2">
      <c r="A50" s="86"/>
      <c r="B50" s="19"/>
      <c r="C50" s="19"/>
      <c r="D50" s="19"/>
      <c r="E50" s="19"/>
      <c r="F50" s="19"/>
      <c r="G50" s="19"/>
      <c r="H50" s="33"/>
      <c r="I50" s="20"/>
    </row>
    <row r="51" spans="1:9" x14ac:dyDescent="0.2">
      <c r="A51" s="86"/>
      <c r="B51" s="19"/>
      <c r="C51" s="19"/>
      <c r="D51" s="19"/>
      <c r="E51" s="19"/>
      <c r="F51" s="9"/>
      <c r="G51" s="19"/>
      <c r="H51" s="41"/>
      <c r="I51" s="20"/>
    </row>
    <row r="52" spans="1:9" x14ac:dyDescent="0.2">
      <c r="A52" s="86"/>
      <c r="B52" s="19"/>
      <c r="C52" s="19"/>
      <c r="D52" s="19"/>
      <c r="E52" s="19"/>
      <c r="F52" s="19"/>
      <c r="G52" s="19"/>
      <c r="H52" s="33"/>
      <c r="I52" s="20"/>
    </row>
    <row r="53" spans="1:9" x14ac:dyDescent="0.2">
      <c r="A53" s="78"/>
      <c r="B53" s="19"/>
      <c r="C53" s="19"/>
      <c r="D53" s="19"/>
      <c r="E53" s="19"/>
      <c r="F53" s="9"/>
      <c r="G53" s="19"/>
      <c r="H53" s="41"/>
      <c r="I53" s="20"/>
    </row>
    <row r="54" spans="1:9" x14ac:dyDescent="0.2">
      <c r="A54" s="28" t="s">
        <v>267</v>
      </c>
      <c r="B54" s="62"/>
      <c r="C54" s="62"/>
      <c r="D54" s="62"/>
      <c r="E54" s="62"/>
      <c r="F54" s="87"/>
      <c r="G54" s="62"/>
      <c r="H54" s="88"/>
      <c r="I54" s="89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C1" workbookViewId="0">
      <selection activeCell="F1" sqref="F1"/>
    </sheetView>
  </sheetViews>
  <sheetFormatPr baseColWidth="10" defaultRowHeight="12.75" x14ac:dyDescent="0.2"/>
  <cols>
    <col min="1" max="1" width="32.140625" style="90" customWidth="1"/>
    <col min="2" max="7" width="14" style="90" customWidth="1"/>
    <col min="8" max="8" width="17.42578125" style="90" customWidth="1"/>
    <col min="9" max="16384" width="11.42578125" style="90"/>
  </cols>
  <sheetData>
    <row r="1" spans="1:7" x14ac:dyDescent="0.2">
      <c r="A1" s="1" t="s">
        <v>0</v>
      </c>
      <c r="B1"/>
      <c r="C1"/>
      <c r="D1"/>
      <c r="E1" s="58"/>
      <c r="F1" s="2">
        <f>InfoInicial!E1</f>
        <v>8</v>
      </c>
    </row>
    <row r="2" spans="1:7" ht="15.75" x14ac:dyDescent="0.25">
      <c r="A2" s="91" t="s">
        <v>268</v>
      </c>
      <c r="B2" s="92"/>
      <c r="C2" s="92"/>
      <c r="D2" s="92"/>
      <c r="E2" s="92"/>
      <c r="F2" s="92"/>
      <c r="G2" s="93"/>
    </row>
    <row r="3" spans="1:7" x14ac:dyDescent="0.2">
      <c r="A3" s="94" t="s">
        <v>88</v>
      </c>
      <c r="B3" s="95" t="s">
        <v>48</v>
      </c>
      <c r="C3" s="95" t="s">
        <v>89</v>
      </c>
      <c r="D3" s="95" t="s">
        <v>90</v>
      </c>
      <c r="E3" s="95" t="s">
        <v>91</v>
      </c>
      <c r="F3" s="96" t="s">
        <v>92</v>
      </c>
      <c r="G3" s="97" t="s">
        <v>191</v>
      </c>
    </row>
    <row r="4" spans="1:7" x14ac:dyDescent="0.2">
      <c r="A4" s="90" t="s">
        <v>269</v>
      </c>
      <c r="B4" s="19"/>
      <c r="C4" s="19"/>
      <c r="D4" s="19"/>
      <c r="E4" s="19"/>
      <c r="F4" s="46"/>
      <c r="G4" s="20"/>
    </row>
    <row r="5" spans="1:7" x14ac:dyDescent="0.2">
      <c r="A5" s="90" t="s">
        <v>270</v>
      </c>
      <c r="B5" s="19"/>
      <c r="C5" s="19"/>
      <c r="D5" s="19"/>
      <c r="E5" s="19"/>
      <c r="F5" s="46"/>
      <c r="G5" s="20"/>
    </row>
    <row r="6" spans="1:7" x14ac:dyDescent="0.2">
      <c r="A6" s="90" t="s">
        <v>271</v>
      </c>
      <c r="B6" s="19"/>
      <c r="C6" s="19"/>
      <c r="D6" s="19"/>
      <c r="E6" s="19"/>
      <c r="F6" s="46"/>
      <c r="G6" s="20"/>
    </row>
    <row r="7" spans="1:7" x14ac:dyDescent="0.2">
      <c r="A7" s="90" t="s">
        <v>114</v>
      </c>
      <c r="B7" s="31"/>
      <c r="C7" s="31"/>
      <c r="D7" s="31"/>
      <c r="E7" s="31"/>
      <c r="F7" s="47"/>
      <c r="G7" s="32"/>
    </row>
    <row r="8" spans="1:7" x14ac:dyDescent="0.2">
      <c r="A8" s="90" t="s">
        <v>272</v>
      </c>
      <c r="B8" s="19"/>
      <c r="C8" s="19"/>
      <c r="D8" s="19"/>
      <c r="E8" s="19"/>
      <c r="F8" s="46"/>
      <c r="G8" s="20"/>
    </row>
    <row r="9" spans="1:7" x14ac:dyDescent="0.2">
      <c r="A9" s="90" t="s">
        <v>273</v>
      </c>
      <c r="B9" s="19"/>
      <c r="C9" s="19"/>
      <c r="D9" s="19"/>
      <c r="E9" s="19"/>
      <c r="F9" s="46"/>
      <c r="G9" s="20"/>
    </row>
    <row r="10" spans="1:7" x14ac:dyDescent="0.2">
      <c r="A10" s="90" t="s">
        <v>274</v>
      </c>
      <c r="B10" s="19"/>
      <c r="C10" s="19"/>
      <c r="D10" s="19"/>
      <c r="E10" s="19"/>
      <c r="F10" s="46"/>
      <c r="G10" s="20"/>
    </row>
    <row r="11" spans="1:7" x14ac:dyDescent="0.2">
      <c r="A11" s="98" t="s">
        <v>275</v>
      </c>
      <c r="B11" s="19"/>
      <c r="C11" s="19"/>
      <c r="D11" s="19"/>
      <c r="E11" s="19"/>
      <c r="F11" s="46"/>
      <c r="G11" s="20"/>
    </row>
    <row r="12" spans="1:7" x14ac:dyDescent="0.2">
      <c r="A12" s="90" t="s">
        <v>276</v>
      </c>
      <c r="B12" s="19"/>
      <c r="C12" s="19"/>
      <c r="D12" s="19"/>
      <c r="E12" s="19"/>
      <c r="F12" s="46"/>
      <c r="G12" s="20"/>
    </row>
    <row r="13" spans="1:7" x14ac:dyDescent="0.2">
      <c r="A13" s="99" t="s">
        <v>277</v>
      </c>
      <c r="B13" s="19"/>
      <c r="C13" s="19"/>
      <c r="D13" s="19"/>
      <c r="E13" s="19"/>
      <c r="F13" s="46"/>
      <c r="G13" s="20"/>
    </row>
    <row r="14" spans="1:7" x14ac:dyDescent="0.2">
      <c r="A14" s="100" t="s">
        <v>278</v>
      </c>
      <c r="B14" s="21"/>
      <c r="C14" s="21"/>
      <c r="D14" s="21"/>
      <c r="E14" s="21"/>
      <c r="F14" s="48"/>
      <c r="G14" s="2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workbookViewId="0">
      <selection activeCell="B40" sqref="B40"/>
    </sheetView>
  </sheetViews>
  <sheetFormatPr baseColWidth="10" defaultRowHeight="12.75" x14ac:dyDescent="0.2"/>
  <cols>
    <col min="1" max="1" width="54.42578125" style="90" customWidth="1"/>
    <col min="2" max="4" width="14" style="90" customWidth="1"/>
    <col min="5" max="250" width="11.42578125" style="90" customWidth="1"/>
  </cols>
  <sheetData>
    <row r="1" spans="1:5" x14ac:dyDescent="0.2">
      <c r="A1" s="1" t="s">
        <v>0</v>
      </c>
      <c r="B1"/>
      <c r="C1"/>
      <c r="D1">
        <f>InfoInicial!E1</f>
        <v>8</v>
      </c>
      <c r="E1" s="2"/>
    </row>
    <row r="2" spans="1:5" ht="15.75" x14ac:dyDescent="0.25">
      <c r="A2" s="91" t="s">
        <v>279</v>
      </c>
      <c r="B2" s="92"/>
      <c r="C2" s="92"/>
      <c r="D2" s="93"/>
    </row>
    <row r="3" spans="1:5" x14ac:dyDescent="0.2">
      <c r="A3" s="94" t="s">
        <v>88</v>
      </c>
      <c r="B3" s="101" t="s">
        <v>47</v>
      </c>
      <c r="C3" s="101" t="s">
        <v>48</v>
      </c>
      <c r="D3" s="97" t="s">
        <v>191</v>
      </c>
    </row>
    <row r="4" spans="1:5" x14ac:dyDescent="0.2">
      <c r="A4" s="98" t="s">
        <v>280</v>
      </c>
      <c r="B4" s="31"/>
      <c r="C4" s="31"/>
      <c r="D4" s="32"/>
    </row>
    <row r="5" spans="1:5" x14ac:dyDescent="0.2">
      <c r="B5" s="19"/>
      <c r="C5" s="19"/>
      <c r="D5" s="20"/>
    </row>
    <row r="6" spans="1:5" x14ac:dyDescent="0.2">
      <c r="A6" s="90" t="s">
        <v>281</v>
      </c>
      <c r="B6" s="19"/>
      <c r="C6" s="19"/>
      <c r="D6" s="20"/>
    </row>
    <row r="7" spans="1:5" x14ac:dyDescent="0.2">
      <c r="A7" s="90" t="s">
        <v>282</v>
      </c>
      <c r="B7" s="19"/>
      <c r="C7" s="19"/>
      <c r="D7" s="20"/>
    </row>
    <row r="8" spans="1:5" x14ac:dyDescent="0.2">
      <c r="A8" s="98" t="s">
        <v>283</v>
      </c>
      <c r="B8" s="19"/>
      <c r="C8" s="19"/>
      <c r="D8" s="20"/>
    </row>
    <row r="9" spans="1:5" x14ac:dyDescent="0.2">
      <c r="A9" s="99" t="s">
        <v>284</v>
      </c>
      <c r="B9" s="19"/>
      <c r="C9" s="19"/>
      <c r="D9" s="20"/>
    </row>
    <row r="10" spans="1:5" x14ac:dyDescent="0.2">
      <c r="A10" s="98" t="s">
        <v>285</v>
      </c>
      <c r="B10" s="19"/>
      <c r="C10" s="19"/>
      <c r="D10" s="20"/>
    </row>
    <row r="11" spans="1:5" x14ac:dyDescent="0.2">
      <c r="A11" s="98" t="s">
        <v>286</v>
      </c>
      <c r="B11" s="31"/>
      <c r="C11" s="31"/>
      <c r="D11" s="32"/>
    </row>
    <row r="12" spans="1:5" x14ac:dyDescent="0.2">
      <c r="A12" s="99" t="s">
        <v>287</v>
      </c>
      <c r="B12" s="19"/>
      <c r="C12" s="19"/>
      <c r="D12" s="20"/>
    </row>
    <row r="13" spans="1:5" x14ac:dyDescent="0.2">
      <c r="A13" s="90" t="s">
        <v>288</v>
      </c>
      <c r="B13" s="19"/>
      <c r="C13" s="19"/>
      <c r="D13" s="20"/>
    </row>
    <row r="14" spans="1:5" x14ac:dyDescent="0.2">
      <c r="A14" s="90" t="s">
        <v>289</v>
      </c>
      <c r="B14" s="19"/>
      <c r="C14" s="19"/>
      <c r="D14" s="20"/>
    </row>
    <row r="15" spans="1:5" x14ac:dyDescent="0.2">
      <c r="A15" s="98" t="s">
        <v>290</v>
      </c>
      <c r="B15" s="19"/>
      <c r="C15" s="19"/>
      <c r="D15" s="20"/>
    </row>
    <row r="16" spans="1:5" x14ac:dyDescent="0.2">
      <c r="A16" s="90" t="s">
        <v>114</v>
      </c>
      <c r="B16" s="31"/>
      <c r="C16" s="31"/>
      <c r="D16" s="32"/>
    </row>
    <row r="17" spans="1:5" x14ac:dyDescent="0.2">
      <c r="A17" s="90" t="s">
        <v>291</v>
      </c>
      <c r="B17" s="19"/>
      <c r="C17" s="19"/>
      <c r="D17" s="20"/>
    </row>
    <row r="18" spans="1:5" x14ac:dyDescent="0.2">
      <c r="A18" s="90" t="s">
        <v>292</v>
      </c>
      <c r="B18" s="19"/>
      <c r="C18" s="19"/>
      <c r="D18" s="20"/>
    </row>
    <row r="19" spans="1:5" x14ac:dyDescent="0.2">
      <c r="A19" s="90" t="s">
        <v>293</v>
      </c>
      <c r="B19" s="19"/>
      <c r="C19" s="19"/>
      <c r="D19" s="20"/>
    </row>
    <row r="20" spans="1:5" x14ac:dyDescent="0.2">
      <c r="A20" s="98" t="s">
        <v>294</v>
      </c>
      <c r="B20" s="19"/>
      <c r="C20" s="19"/>
      <c r="D20" s="20"/>
    </row>
    <row r="21" spans="1:5" x14ac:dyDescent="0.2">
      <c r="A21" s="90" t="s">
        <v>295</v>
      </c>
      <c r="B21" s="19"/>
      <c r="C21" s="19"/>
      <c r="D21" s="20"/>
    </row>
    <row r="22" spans="1:5" x14ac:dyDescent="0.2">
      <c r="A22" s="98" t="s">
        <v>296</v>
      </c>
      <c r="B22" s="19"/>
      <c r="C22" s="19"/>
      <c r="D22" s="20"/>
    </row>
    <row r="23" spans="1:5" x14ac:dyDescent="0.2">
      <c r="A23" s="98" t="s">
        <v>297</v>
      </c>
      <c r="B23" s="19"/>
      <c r="C23" s="19"/>
      <c r="D23" s="20"/>
    </row>
    <row r="24" spans="1:5" x14ac:dyDescent="0.2">
      <c r="A24" s="98" t="s">
        <v>298</v>
      </c>
      <c r="B24" s="31"/>
      <c r="C24" s="31"/>
      <c r="D24" s="32"/>
    </row>
    <row r="25" spans="1:5" x14ac:dyDescent="0.2">
      <c r="A25" s="90" t="s">
        <v>299</v>
      </c>
      <c r="B25" s="19"/>
      <c r="C25" s="19"/>
      <c r="D25" s="20"/>
    </row>
    <row r="26" spans="1:5" x14ac:dyDescent="0.2">
      <c r="A26" s="90" t="s">
        <v>300</v>
      </c>
      <c r="B26" s="19"/>
      <c r="C26" s="19"/>
      <c r="D26" s="20"/>
    </row>
    <row r="27" spans="1:5" x14ac:dyDescent="0.2">
      <c r="A27" s="98" t="s">
        <v>301</v>
      </c>
      <c r="B27" s="19"/>
      <c r="C27" s="19"/>
      <c r="D27" s="20"/>
      <c r="E27" s="102"/>
    </row>
    <row r="28" spans="1:5" x14ac:dyDescent="0.2">
      <c r="A28" s="98" t="s">
        <v>302</v>
      </c>
      <c r="B28" s="31"/>
      <c r="C28" s="31"/>
      <c r="D28" s="47"/>
      <c r="E28" s="103" t="s">
        <v>303</v>
      </c>
    </row>
    <row r="29" spans="1:5" x14ac:dyDescent="0.2">
      <c r="A29" s="98" t="s">
        <v>304</v>
      </c>
      <c r="B29" s="19"/>
      <c r="C29" s="19"/>
      <c r="D29" s="46"/>
      <c r="E29" s="34"/>
    </row>
    <row r="30" spans="1:5" x14ac:dyDescent="0.2">
      <c r="A30" s="98" t="s">
        <v>305</v>
      </c>
      <c r="B30" s="19"/>
      <c r="C30" s="19"/>
      <c r="D30" s="46"/>
      <c r="E30" s="34"/>
    </row>
    <row r="31" spans="1:5" x14ac:dyDescent="0.2">
      <c r="A31" s="98" t="s">
        <v>306</v>
      </c>
      <c r="B31" s="19"/>
      <c r="C31" s="19"/>
      <c r="D31" s="46"/>
      <c r="E31" s="34"/>
    </row>
    <row r="32" spans="1:5" x14ac:dyDescent="0.2">
      <c r="A32" s="100" t="s">
        <v>191</v>
      </c>
      <c r="B32" s="21"/>
      <c r="C32" s="21"/>
      <c r="D32" s="48"/>
      <c r="E32" s="27"/>
    </row>
    <row r="34" spans="1:6" ht="15.75" x14ac:dyDescent="0.25">
      <c r="A34" s="91" t="s">
        <v>307</v>
      </c>
      <c r="B34" s="92"/>
      <c r="C34" s="92"/>
      <c r="D34" s="92"/>
      <c r="E34" s="92"/>
      <c r="F34" s="92"/>
    </row>
    <row r="35" spans="1:6" x14ac:dyDescent="0.2">
      <c r="A35" s="94" t="s">
        <v>88</v>
      </c>
      <c r="B35" s="95" t="s">
        <v>48</v>
      </c>
      <c r="C35" s="95" t="s">
        <v>89</v>
      </c>
      <c r="D35" s="95" t="s">
        <v>90</v>
      </c>
      <c r="E35" s="95" t="s">
        <v>91</v>
      </c>
      <c r="F35" s="95" t="s">
        <v>92</v>
      </c>
    </row>
    <row r="36" spans="1:6" x14ac:dyDescent="0.2">
      <c r="A36" s="104" t="s">
        <v>154</v>
      </c>
      <c r="B36" s="9"/>
      <c r="C36" s="9"/>
      <c r="D36" s="9"/>
      <c r="E36" s="9"/>
      <c r="F36" s="9"/>
    </row>
    <row r="37" spans="1:6" x14ac:dyDescent="0.2">
      <c r="A37" s="105" t="s">
        <v>153</v>
      </c>
      <c r="B37" s="9"/>
      <c r="C37" s="9"/>
      <c r="D37" s="9"/>
      <c r="E37" s="9"/>
      <c r="F37" s="9"/>
    </row>
    <row r="38" spans="1:6" x14ac:dyDescent="0.2">
      <c r="A38" s="104" t="s">
        <v>156</v>
      </c>
      <c r="B38" s="9"/>
      <c r="C38" s="9"/>
      <c r="D38" s="9"/>
      <c r="E38" s="9"/>
      <c r="F38" s="9"/>
    </row>
    <row r="39" spans="1:6" x14ac:dyDescent="0.2">
      <c r="A39" s="105" t="s">
        <v>155</v>
      </c>
      <c r="B39" s="9"/>
      <c r="C39" s="9"/>
      <c r="D39" s="9"/>
      <c r="E39" s="9"/>
      <c r="F39" s="9"/>
    </row>
    <row r="40" spans="1:6" x14ac:dyDescent="0.2">
      <c r="A40" s="104" t="s">
        <v>158</v>
      </c>
      <c r="B40" s="9"/>
      <c r="C40" s="9"/>
      <c r="D40" s="9"/>
      <c r="E40" s="9"/>
      <c r="F40" s="9"/>
    </row>
    <row r="41" spans="1:6" x14ac:dyDescent="0.2">
      <c r="A41" s="105" t="s">
        <v>157</v>
      </c>
      <c r="B41" s="9"/>
      <c r="C41" s="9"/>
      <c r="D41" s="9"/>
      <c r="E41" s="9"/>
      <c r="F41" s="9"/>
    </row>
    <row r="42" spans="1:6" x14ac:dyDescent="0.2">
      <c r="A42" s="105" t="s">
        <v>308</v>
      </c>
      <c r="B42" s="9"/>
      <c r="C42" s="9"/>
      <c r="D42" s="9"/>
      <c r="E42" s="9"/>
      <c r="F42" s="9"/>
    </row>
    <row r="43" spans="1:6" x14ac:dyDescent="0.2">
      <c r="A43" s="104" t="s">
        <v>159</v>
      </c>
      <c r="B43" s="9"/>
      <c r="C43" s="9"/>
      <c r="D43" s="9"/>
      <c r="E43" s="9"/>
      <c r="F43" s="9"/>
    </row>
    <row r="44" spans="1:6" x14ac:dyDescent="0.2">
      <c r="A44" s="106" t="s">
        <v>160</v>
      </c>
      <c r="B44" s="11"/>
      <c r="C44" s="11"/>
      <c r="D44" s="11"/>
      <c r="E44" s="11"/>
      <c r="F44" s="11"/>
    </row>
    <row r="45" spans="1:6" ht="15.75" x14ac:dyDescent="0.25">
      <c r="A45" s="107" t="s">
        <v>309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C14" sqref="C14"/>
    </sheetView>
  </sheetViews>
  <sheetFormatPr baseColWidth="10" defaultRowHeight="12.75" x14ac:dyDescent="0.2"/>
  <cols>
    <col min="1" max="1" width="43" style="90" customWidth="1"/>
    <col min="2" max="7" width="14" style="90" customWidth="1"/>
    <col min="8" max="8" width="17.42578125" style="90" customWidth="1"/>
    <col min="9" max="16384" width="11.42578125" style="90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2" spans="1:7" ht="15.75" x14ac:dyDescent="0.25">
      <c r="A2" s="91" t="s">
        <v>210</v>
      </c>
      <c r="B2" s="92"/>
      <c r="C2" s="92"/>
      <c r="D2" s="92"/>
      <c r="E2" s="92"/>
      <c r="F2" s="92"/>
      <c r="G2" s="93"/>
    </row>
    <row r="3" spans="1:7" ht="15.75" x14ac:dyDescent="0.25">
      <c r="A3" s="108"/>
      <c r="B3" s="109" t="s">
        <v>211</v>
      </c>
      <c r="C3" s="109"/>
      <c r="D3" s="109"/>
      <c r="E3" s="109"/>
      <c r="F3" s="109"/>
      <c r="G3" s="110"/>
    </row>
    <row r="4" spans="1:7" x14ac:dyDescent="0.2">
      <c r="A4" s="111" t="s">
        <v>88</v>
      </c>
      <c r="B4" s="112" t="s">
        <v>47</v>
      </c>
      <c r="C4" s="95" t="s">
        <v>48</v>
      </c>
      <c r="D4" s="95" t="s">
        <v>89</v>
      </c>
      <c r="E4" s="95" t="s">
        <v>90</v>
      </c>
      <c r="F4" s="95" t="s">
        <v>91</v>
      </c>
      <c r="G4" s="97" t="s">
        <v>92</v>
      </c>
    </row>
    <row r="5" spans="1:7" x14ac:dyDescent="0.2">
      <c r="A5" s="113" t="s">
        <v>310</v>
      </c>
      <c r="B5" s="49"/>
      <c r="C5" s="44"/>
      <c r="D5" s="44"/>
      <c r="E5" s="44"/>
      <c r="F5" s="44"/>
      <c r="G5" s="45"/>
    </row>
    <row r="6" spans="1:7" x14ac:dyDescent="0.2">
      <c r="A6" s="114" t="s">
        <v>311</v>
      </c>
      <c r="B6" s="50"/>
      <c r="C6" s="19"/>
      <c r="D6" s="19"/>
      <c r="E6" s="19"/>
      <c r="F6" s="19"/>
      <c r="G6" s="20"/>
    </row>
    <row r="7" spans="1:7" x14ac:dyDescent="0.2">
      <c r="A7" s="114" t="s">
        <v>312</v>
      </c>
      <c r="B7" s="50"/>
      <c r="C7" s="19"/>
      <c r="D7" s="19"/>
      <c r="E7" s="19"/>
      <c r="F7" s="19"/>
      <c r="G7" s="20"/>
    </row>
    <row r="8" spans="1:7" x14ac:dyDescent="0.2">
      <c r="A8" s="115" t="s">
        <v>313</v>
      </c>
      <c r="B8" s="50"/>
      <c r="C8" s="19"/>
      <c r="D8" s="19"/>
      <c r="E8" s="19"/>
      <c r="F8" s="19"/>
      <c r="G8" s="20"/>
    </row>
    <row r="9" spans="1:7" x14ac:dyDescent="0.2">
      <c r="A9" s="115" t="s">
        <v>314</v>
      </c>
      <c r="B9" s="50"/>
      <c r="C9" s="19"/>
      <c r="D9" s="19"/>
      <c r="E9" s="19"/>
      <c r="F9" s="19"/>
      <c r="G9" s="20"/>
    </row>
    <row r="10" spans="1:7" x14ac:dyDescent="0.2">
      <c r="A10" s="116" t="s">
        <v>315</v>
      </c>
      <c r="B10" s="50"/>
      <c r="C10" s="19"/>
      <c r="D10" s="19"/>
      <c r="E10" s="19"/>
      <c r="F10" s="19"/>
      <c r="G10" s="20"/>
    </row>
    <row r="11" spans="1:7" x14ac:dyDescent="0.2">
      <c r="A11" s="116"/>
      <c r="B11" s="51"/>
      <c r="C11" s="31"/>
      <c r="D11" s="31"/>
      <c r="E11" s="31"/>
      <c r="F11" s="31"/>
      <c r="G11" s="32"/>
    </row>
    <row r="12" spans="1:7" x14ac:dyDescent="0.2">
      <c r="A12" s="114" t="s">
        <v>222</v>
      </c>
      <c r="B12" s="50"/>
      <c r="C12" s="19"/>
      <c r="D12" s="19"/>
      <c r="E12" s="19"/>
      <c r="F12" s="19"/>
      <c r="G12" s="20"/>
    </row>
    <row r="13" spans="1:7" x14ac:dyDescent="0.2">
      <c r="A13" s="114" t="s">
        <v>223</v>
      </c>
      <c r="B13" s="50"/>
      <c r="C13" s="19"/>
      <c r="D13" s="19"/>
      <c r="E13" s="19"/>
      <c r="F13" s="19"/>
      <c r="G13" s="20"/>
    </row>
    <row r="14" spans="1:7" x14ac:dyDescent="0.2">
      <c r="A14" s="116" t="s">
        <v>316</v>
      </c>
      <c r="B14" s="50"/>
      <c r="C14" s="19"/>
      <c r="D14" s="19"/>
      <c r="E14" s="19"/>
      <c r="F14" s="19"/>
      <c r="G14" s="20"/>
    </row>
    <row r="15" spans="1:7" x14ac:dyDescent="0.2">
      <c r="A15" s="114"/>
      <c r="B15" s="51"/>
      <c r="C15" s="31"/>
      <c r="D15" s="31"/>
      <c r="E15" s="31"/>
      <c r="F15" s="31"/>
      <c r="G15" s="32"/>
    </row>
    <row r="16" spans="1:7" x14ac:dyDescent="0.2">
      <c r="A16" s="117" t="s">
        <v>317</v>
      </c>
      <c r="B16" s="50"/>
      <c r="C16" s="19"/>
      <c r="D16" s="19"/>
      <c r="E16" s="19"/>
      <c r="F16" s="19"/>
      <c r="G16" s="20"/>
    </row>
    <row r="17" spans="1:7" x14ac:dyDescent="0.2">
      <c r="A17" s="117" t="s">
        <v>318</v>
      </c>
      <c r="B17" s="50"/>
      <c r="C17" s="19"/>
      <c r="D17" s="19"/>
      <c r="E17" s="19"/>
      <c r="F17" s="19"/>
      <c r="G17" s="20"/>
    </row>
    <row r="18" spans="1:7" x14ac:dyDescent="0.2">
      <c r="A18" s="116" t="s">
        <v>319</v>
      </c>
      <c r="B18" s="50"/>
      <c r="C18" s="19"/>
      <c r="D18" s="19"/>
      <c r="E18" s="19"/>
      <c r="F18" s="19"/>
      <c r="G18" s="20"/>
    </row>
    <row r="19" spans="1:7" x14ac:dyDescent="0.2">
      <c r="A19" s="116" t="s">
        <v>320</v>
      </c>
      <c r="B19" s="50"/>
      <c r="C19" s="19"/>
      <c r="D19" s="19"/>
      <c r="E19" s="19"/>
      <c r="F19" s="19"/>
      <c r="G19" s="20"/>
    </row>
    <row r="20" spans="1:7" x14ac:dyDescent="0.2">
      <c r="A20" s="114"/>
      <c r="B20" s="51"/>
      <c r="C20" s="31"/>
      <c r="D20" s="31"/>
      <c r="E20" s="31"/>
      <c r="F20" s="31"/>
      <c r="G20" s="32"/>
    </row>
    <row r="21" spans="1:7" x14ac:dyDescent="0.2">
      <c r="A21" s="118" t="s">
        <v>228</v>
      </c>
      <c r="B21" s="52"/>
      <c r="C21" s="21"/>
      <c r="D21" s="21"/>
      <c r="E21" s="21"/>
      <c r="F21" s="21"/>
      <c r="G21" s="2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E1" sqref="E1"/>
    </sheetView>
  </sheetViews>
  <sheetFormatPr baseColWidth="10" defaultRowHeight="12.75" x14ac:dyDescent="0.2"/>
  <cols>
    <col min="1" max="1" width="41" style="119" customWidth="1"/>
    <col min="2" max="8" width="14.85546875" style="119" customWidth="1"/>
    <col min="9" max="9" width="17.42578125" style="119" customWidth="1"/>
    <col min="10" max="16384" width="11.42578125" style="119"/>
  </cols>
  <sheetData>
    <row r="1" spans="1:8" x14ac:dyDescent="0.2">
      <c r="A1" s="1" t="s">
        <v>0</v>
      </c>
      <c r="B1"/>
      <c r="C1"/>
      <c r="D1"/>
      <c r="E1" s="2">
        <f>InfoInicial!E1</f>
        <v>8</v>
      </c>
    </row>
    <row r="3" spans="1:8" ht="15.75" x14ac:dyDescent="0.25">
      <c r="A3" s="120" t="s">
        <v>321</v>
      </c>
      <c r="B3" s="121"/>
      <c r="C3" s="121"/>
      <c r="D3" s="121"/>
      <c r="E3" s="121"/>
      <c r="F3" s="121"/>
      <c r="G3" s="122"/>
      <c r="H3" s="123"/>
    </row>
    <row r="4" spans="1:8" x14ac:dyDescent="0.2">
      <c r="A4" s="124"/>
      <c r="B4" s="125" t="s">
        <v>47</v>
      </c>
      <c r="C4" s="125" t="s">
        <v>48</v>
      </c>
      <c r="D4" s="125" t="s">
        <v>89</v>
      </c>
      <c r="E4" s="125" t="s">
        <v>90</v>
      </c>
      <c r="F4" s="125" t="s">
        <v>91</v>
      </c>
      <c r="G4" s="126" t="s">
        <v>92</v>
      </c>
      <c r="H4" s="127" t="s">
        <v>191</v>
      </c>
    </row>
    <row r="5" spans="1:8" x14ac:dyDescent="0.2">
      <c r="A5" s="98" t="s">
        <v>322</v>
      </c>
      <c r="B5" s="37"/>
      <c r="C5" s="37"/>
      <c r="D5" s="37"/>
      <c r="E5" s="37"/>
      <c r="F5" s="37"/>
      <c r="G5" s="128"/>
      <c r="H5" s="38"/>
    </row>
    <row r="6" spans="1:8" x14ac:dyDescent="0.2">
      <c r="A6" s="90" t="s">
        <v>323</v>
      </c>
      <c r="B6" s="19"/>
      <c r="C6" s="19"/>
      <c r="D6" s="19"/>
      <c r="E6" s="19"/>
      <c r="F6" s="19"/>
      <c r="G6" s="46"/>
      <c r="H6" s="20"/>
    </row>
    <row r="7" spans="1:8" x14ac:dyDescent="0.2">
      <c r="A7" s="90" t="s">
        <v>324</v>
      </c>
      <c r="B7" s="129"/>
      <c r="C7" s="129"/>
      <c r="D7" s="129"/>
      <c r="E7" s="129"/>
      <c r="F7" s="129"/>
      <c r="G7" s="130"/>
      <c r="H7" s="131"/>
    </row>
    <row r="8" spans="1:8" x14ac:dyDescent="0.2">
      <c r="A8" s="90" t="s">
        <v>325</v>
      </c>
      <c r="B8" s="19"/>
      <c r="C8" s="19"/>
      <c r="D8" s="19"/>
      <c r="E8" s="19"/>
      <c r="F8" s="19"/>
      <c r="G8" s="46"/>
      <c r="H8" s="20"/>
    </row>
    <row r="9" spans="1:8" x14ac:dyDescent="0.2">
      <c r="A9" s="90" t="s">
        <v>326</v>
      </c>
      <c r="B9" s="129"/>
      <c r="C9" s="129"/>
      <c r="D9" s="129"/>
      <c r="E9" s="129"/>
      <c r="F9" s="129"/>
      <c r="G9" s="130"/>
      <c r="H9" s="131"/>
    </row>
    <row r="10" spans="1:8" x14ac:dyDescent="0.2">
      <c r="A10" s="90" t="s">
        <v>327</v>
      </c>
      <c r="B10" s="19"/>
      <c r="C10" s="19"/>
      <c r="D10" s="19"/>
      <c r="E10" s="19"/>
      <c r="F10" s="19"/>
      <c r="G10" s="46"/>
      <c r="H10" s="20"/>
    </row>
    <row r="11" spans="1:8" x14ac:dyDescent="0.2">
      <c r="A11" s="90" t="s">
        <v>328</v>
      </c>
      <c r="B11" s="37"/>
      <c r="C11" s="37"/>
      <c r="D11" s="37"/>
      <c r="E11" s="37"/>
      <c r="F11" s="37"/>
      <c r="G11" s="128"/>
      <c r="H11" s="38"/>
    </row>
    <row r="12" spans="1:8" x14ac:dyDescent="0.2">
      <c r="A12" s="90"/>
      <c r="B12" s="19"/>
      <c r="C12" s="19"/>
      <c r="D12" s="19"/>
      <c r="E12" s="19"/>
      <c r="F12" s="19"/>
      <c r="G12" s="46"/>
      <c r="H12" s="20"/>
    </row>
    <row r="13" spans="1:8" x14ac:dyDescent="0.2">
      <c r="A13" s="98" t="s">
        <v>329</v>
      </c>
      <c r="B13" s="19"/>
      <c r="C13" s="19"/>
      <c r="D13" s="19"/>
      <c r="E13" s="19"/>
      <c r="F13" s="19"/>
      <c r="G13" s="46"/>
      <c r="H13" s="20"/>
    </row>
    <row r="14" spans="1:8" x14ac:dyDescent="0.2">
      <c r="A14" s="90" t="s">
        <v>330</v>
      </c>
      <c r="B14" s="129"/>
      <c r="C14" s="129"/>
      <c r="D14" s="129"/>
      <c r="E14" s="129"/>
      <c r="F14" s="129"/>
      <c r="G14" s="130"/>
      <c r="H14" s="131"/>
    </row>
    <row r="15" spans="1:8" x14ac:dyDescent="0.2">
      <c r="A15" s="90" t="s">
        <v>253</v>
      </c>
      <c r="B15" s="19"/>
      <c r="C15" s="19"/>
      <c r="D15" s="19"/>
      <c r="E15" s="19"/>
      <c r="F15" s="19"/>
      <c r="G15" s="46"/>
      <c r="H15" s="20"/>
    </row>
    <row r="16" spans="1:8" x14ac:dyDescent="0.2">
      <c r="A16" s="90" t="s">
        <v>331</v>
      </c>
      <c r="B16" s="19"/>
      <c r="C16" s="19"/>
      <c r="D16" s="19"/>
      <c r="E16" s="19"/>
      <c r="F16" s="19"/>
      <c r="G16" s="46"/>
      <c r="H16" s="20"/>
    </row>
    <row r="17" spans="1:14" x14ac:dyDescent="0.2">
      <c r="A17" s="90" t="s">
        <v>332</v>
      </c>
      <c r="B17" s="19"/>
      <c r="C17" s="19"/>
      <c r="D17" s="19"/>
      <c r="E17" s="19"/>
      <c r="F17" s="19"/>
      <c r="G17" s="46"/>
      <c r="H17" s="20"/>
    </row>
    <row r="18" spans="1:14" x14ac:dyDescent="0.2">
      <c r="A18" s="90" t="s">
        <v>333</v>
      </c>
      <c r="B18" s="129"/>
      <c r="C18" s="129"/>
      <c r="D18" s="129"/>
      <c r="E18" s="129"/>
      <c r="F18" s="129"/>
      <c r="G18" s="130"/>
      <c r="H18" s="131"/>
    </row>
    <row r="19" spans="1:14" x14ac:dyDescent="0.2">
      <c r="A19" s="90" t="s">
        <v>334</v>
      </c>
      <c r="B19" s="19"/>
      <c r="C19" s="19"/>
      <c r="D19" s="19"/>
      <c r="E19" s="19"/>
      <c r="F19" s="19"/>
      <c r="G19" s="46"/>
      <c r="H19" s="20"/>
    </row>
    <row r="20" spans="1:14" x14ac:dyDescent="0.2">
      <c r="A20" s="90" t="s">
        <v>335</v>
      </c>
      <c r="B20" s="129"/>
      <c r="C20" s="129"/>
      <c r="D20" s="129"/>
      <c r="E20" s="129"/>
      <c r="F20" s="129"/>
      <c r="G20" s="130"/>
      <c r="H20" s="131"/>
    </row>
    <row r="21" spans="1:14" x14ac:dyDescent="0.2">
      <c r="A21" s="90" t="s">
        <v>336</v>
      </c>
      <c r="B21" s="19"/>
      <c r="C21" s="19"/>
      <c r="D21" s="19"/>
      <c r="E21" s="19"/>
      <c r="F21" s="19"/>
      <c r="G21" s="46"/>
      <c r="H21" s="20"/>
    </row>
    <row r="22" spans="1:14" x14ac:dyDescent="0.2">
      <c r="A22" s="90" t="s">
        <v>337</v>
      </c>
      <c r="B22" s="37"/>
      <c r="C22" s="37"/>
      <c r="D22" s="37"/>
      <c r="E22" s="37"/>
      <c r="F22" s="37"/>
      <c r="G22" s="128"/>
      <c r="H22" s="38"/>
    </row>
    <row r="23" spans="1:14" x14ac:dyDescent="0.2">
      <c r="A23" s="90"/>
      <c r="B23" s="31"/>
      <c r="C23" s="31"/>
      <c r="D23" s="31"/>
      <c r="E23" s="31"/>
      <c r="F23" s="31"/>
      <c r="G23" s="47"/>
      <c r="H23" s="32"/>
    </row>
    <row r="24" spans="1:14" x14ac:dyDescent="0.2">
      <c r="A24" s="98" t="s">
        <v>338</v>
      </c>
      <c r="B24" s="19"/>
      <c r="C24" s="19"/>
      <c r="D24" s="19"/>
      <c r="E24" s="19"/>
      <c r="F24" s="19"/>
      <c r="G24" s="46"/>
      <c r="H24" s="20"/>
    </row>
    <row r="25" spans="1:14" x14ac:dyDescent="0.2">
      <c r="A25" s="98" t="s">
        <v>339</v>
      </c>
      <c r="B25" s="19"/>
      <c r="C25" s="19"/>
      <c r="D25" s="19"/>
      <c r="E25" s="19"/>
      <c r="F25" s="19"/>
      <c r="G25" s="46"/>
      <c r="H25" s="20"/>
    </row>
    <row r="26" spans="1:14" x14ac:dyDescent="0.2">
      <c r="A26" s="98"/>
      <c r="B26" s="31"/>
      <c r="C26" s="31"/>
      <c r="D26" s="31"/>
      <c r="E26" s="31"/>
      <c r="F26" s="31"/>
      <c r="G26" s="47"/>
      <c r="H26" s="32"/>
    </row>
    <row r="27" spans="1:14" x14ac:dyDescent="0.2">
      <c r="A27" s="98" t="s">
        <v>340</v>
      </c>
      <c r="B27" s="39"/>
      <c r="C27" s="39"/>
      <c r="D27" s="39"/>
      <c r="E27" s="39"/>
      <c r="F27" s="39"/>
      <c r="G27" s="132"/>
      <c r="H27" s="40"/>
    </row>
    <row r="28" spans="1:14" x14ac:dyDescent="0.2">
      <c r="A28" s="106" t="s">
        <v>341</v>
      </c>
      <c r="B28" s="11"/>
      <c r="C28" s="11"/>
      <c r="D28" s="11"/>
      <c r="E28" s="11"/>
      <c r="F28" s="11"/>
      <c r="G28" s="133"/>
      <c r="H28" s="14"/>
      <c r="I28" s="90"/>
      <c r="J28" s="90"/>
      <c r="K28" s="90"/>
      <c r="L28" s="90"/>
      <c r="M28" s="90"/>
      <c r="N28" s="90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1" sqref="E1"/>
    </sheetView>
  </sheetViews>
  <sheetFormatPr baseColWidth="10" defaultRowHeight="12.75" x14ac:dyDescent="0.2"/>
  <cols>
    <col min="1" max="1" width="37.7109375" style="90" customWidth="1"/>
    <col min="2" max="7" width="14.85546875" style="90" customWidth="1"/>
    <col min="8" max="8" width="17.42578125" style="90" customWidth="1"/>
    <col min="9" max="16384" width="11.42578125" style="90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3" spans="1:7" ht="15.75" x14ac:dyDescent="0.25">
      <c r="A3" s="120" t="s">
        <v>342</v>
      </c>
      <c r="B3" s="121"/>
      <c r="C3" s="121"/>
      <c r="D3" s="121"/>
      <c r="E3" s="121"/>
      <c r="F3" s="121"/>
      <c r="G3" s="123"/>
    </row>
    <row r="4" spans="1:7" x14ac:dyDescent="0.2">
      <c r="A4" s="134"/>
      <c r="B4" s="135" t="s">
        <v>47</v>
      </c>
      <c r="C4" s="135" t="s">
        <v>48</v>
      </c>
      <c r="D4" s="135" t="s">
        <v>89</v>
      </c>
      <c r="E4" s="135" t="s">
        <v>90</v>
      </c>
      <c r="F4" s="135" t="s">
        <v>91</v>
      </c>
      <c r="G4" s="136" t="s">
        <v>92</v>
      </c>
    </row>
    <row r="5" spans="1:7" x14ac:dyDescent="0.2">
      <c r="A5" s="137" t="s">
        <v>343</v>
      </c>
      <c r="B5" s="138"/>
      <c r="C5" s="138"/>
      <c r="D5" s="138"/>
      <c r="E5" s="138"/>
      <c r="F5" s="138"/>
      <c r="G5" s="139"/>
    </row>
    <row r="6" spans="1:7" x14ac:dyDescent="0.2">
      <c r="A6" s="104" t="s">
        <v>344</v>
      </c>
      <c r="B6" s="31"/>
      <c r="C6" s="31"/>
      <c r="D6" s="31"/>
      <c r="E6" s="31"/>
      <c r="F6" s="31"/>
      <c r="G6" s="32"/>
    </row>
    <row r="7" spans="1:7" x14ac:dyDescent="0.2">
      <c r="A7" s="124" t="s">
        <v>345</v>
      </c>
      <c r="B7" s="129"/>
      <c r="C7" s="129"/>
      <c r="D7" s="129"/>
      <c r="E7" s="129"/>
      <c r="F7" s="129"/>
      <c r="G7" s="131"/>
    </row>
    <row r="8" spans="1:7" x14ac:dyDescent="0.2">
      <c r="A8" s="124" t="s">
        <v>346</v>
      </c>
      <c r="B8" s="19"/>
      <c r="C8" s="19"/>
      <c r="D8" s="19"/>
      <c r="E8" s="19"/>
      <c r="F8" s="19"/>
      <c r="G8" s="20"/>
    </row>
    <row r="9" spans="1:7" x14ac:dyDescent="0.2">
      <c r="A9" s="104" t="s">
        <v>347</v>
      </c>
      <c r="B9" s="129"/>
      <c r="C9" s="129"/>
      <c r="D9" s="129"/>
      <c r="E9" s="129"/>
      <c r="F9" s="129"/>
      <c r="G9" s="131"/>
    </row>
    <row r="10" spans="1:7" x14ac:dyDescent="0.2">
      <c r="A10" s="104" t="s">
        <v>348</v>
      </c>
      <c r="B10" s="19"/>
      <c r="C10" s="19"/>
      <c r="D10" s="19"/>
      <c r="E10" s="19"/>
      <c r="F10" s="19"/>
      <c r="G10" s="20"/>
    </row>
    <row r="11" spans="1:7" x14ac:dyDescent="0.2">
      <c r="A11" s="104" t="s">
        <v>349</v>
      </c>
      <c r="B11" s="37"/>
      <c r="C11" s="37"/>
      <c r="D11" s="37"/>
      <c r="E11" s="37"/>
      <c r="F11" s="37"/>
      <c r="G11" s="38"/>
    </row>
    <row r="12" spans="1:7" x14ac:dyDescent="0.2">
      <c r="A12" s="104" t="s">
        <v>350</v>
      </c>
      <c r="B12" s="37"/>
      <c r="C12" s="37"/>
      <c r="D12" s="37"/>
      <c r="E12" s="37"/>
      <c r="F12" s="37"/>
      <c r="G12" s="38"/>
    </row>
    <row r="13" spans="1:7" x14ac:dyDescent="0.2">
      <c r="A13" s="104" t="s">
        <v>351</v>
      </c>
      <c r="B13" s="140"/>
      <c r="C13" s="140"/>
      <c r="D13" s="140"/>
      <c r="E13" s="140"/>
      <c r="F13" s="140"/>
      <c r="G13" s="141"/>
    </row>
    <row r="14" spans="1:7" x14ac:dyDescent="0.2">
      <c r="A14" s="124" t="s">
        <v>352</v>
      </c>
      <c r="B14" s="19"/>
      <c r="C14" s="19"/>
      <c r="D14" s="19"/>
      <c r="E14" s="19"/>
      <c r="F14" s="19"/>
      <c r="G14" s="20"/>
    </row>
    <row r="15" spans="1:7" x14ac:dyDescent="0.2">
      <c r="A15" s="124" t="s">
        <v>353</v>
      </c>
      <c r="B15" s="129"/>
      <c r="C15" s="129"/>
      <c r="D15" s="129"/>
      <c r="E15" s="129"/>
      <c r="F15" s="129"/>
      <c r="G15" s="131"/>
    </row>
    <row r="16" spans="1:7" x14ac:dyDescent="0.2">
      <c r="A16" s="124" t="s">
        <v>354</v>
      </c>
      <c r="B16" s="19"/>
      <c r="C16" s="19"/>
      <c r="D16" s="19"/>
      <c r="E16" s="19"/>
      <c r="F16" s="19"/>
      <c r="G16" s="20"/>
    </row>
    <row r="17" spans="1:7" x14ac:dyDescent="0.2">
      <c r="A17" s="124" t="s">
        <v>355</v>
      </c>
      <c r="B17" s="19"/>
      <c r="C17" s="19"/>
      <c r="D17" s="19"/>
      <c r="E17" s="19"/>
      <c r="F17" s="19"/>
      <c r="G17" s="20"/>
    </row>
    <row r="18" spans="1:7" x14ac:dyDescent="0.2">
      <c r="A18" s="104" t="s">
        <v>81</v>
      </c>
      <c r="B18" s="129"/>
      <c r="C18" s="129"/>
      <c r="D18" s="129"/>
      <c r="E18" s="129"/>
      <c r="F18" s="129"/>
      <c r="G18" s="131"/>
    </row>
    <row r="19" spans="1:7" x14ac:dyDescent="0.2">
      <c r="A19" s="124" t="s">
        <v>352</v>
      </c>
      <c r="B19" s="19"/>
      <c r="C19" s="19"/>
      <c r="D19" s="19"/>
      <c r="E19" s="19"/>
      <c r="F19" s="19"/>
      <c r="G19" s="20"/>
    </row>
    <row r="20" spans="1:7" x14ac:dyDescent="0.2">
      <c r="A20" s="124" t="s">
        <v>356</v>
      </c>
      <c r="B20" s="19"/>
      <c r="C20" s="19"/>
      <c r="D20" s="19"/>
      <c r="E20" s="19"/>
      <c r="F20" s="19"/>
      <c r="G20" s="20"/>
    </row>
    <row r="21" spans="1:7" x14ac:dyDescent="0.2">
      <c r="A21" s="124" t="s">
        <v>357</v>
      </c>
      <c r="B21" s="19"/>
      <c r="C21" s="19"/>
      <c r="D21" s="19"/>
      <c r="E21" s="19"/>
      <c r="F21" s="19"/>
      <c r="G21" s="20"/>
    </row>
    <row r="22" spans="1:7" x14ac:dyDescent="0.2">
      <c r="A22" s="124" t="s">
        <v>355</v>
      </c>
      <c r="B22" s="129"/>
      <c r="C22" s="129"/>
      <c r="D22" s="129"/>
      <c r="E22" s="129"/>
      <c r="F22" s="129"/>
      <c r="G22" s="131"/>
    </row>
    <row r="23" spans="1:7" x14ac:dyDescent="0.2">
      <c r="A23" s="104" t="s">
        <v>358</v>
      </c>
      <c r="B23" s="129"/>
      <c r="C23" s="129"/>
      <c r="D23" s="129"/>
      <c r="E23" s="129"/>
      <c r="F23" s="129"/>
      <c r="G23" s="131"/>
    </row>
    <row r="24" spans="1:7" x14ac:dyDescent="0.2">
      <c r="A24" s="104" t="s">
        <v>359</v>
      </c>
      <c r="B24" s="129"/>
      <c r="C24" s="129"/>
      <c r="D24" s="129"/>
      <c r="E24" s="129"/>
      <c r="F24" s="129"/>
      <c r="G24" s="131"/>
    </row>
    <row r="25" spans="1:7" x14ac:dyDescent="0.2">
      <c r="A25" s="104" t="s">
        <v>360</v>
      </c>
      <c r="B25" s="129"/>
      <c r="C25" s="129"/>
      <c r="D25" s="129"/>
      <c r="E25" s="129"/>
      <c r="F25" s="129"/>
      <c r="G25" s="131"/>
    </row>
    <row r="26" spans="1:7" x14ac:dyDescent="0.2">
      <c r="A26" s="104" t="s">
        <v>361</v>
      </c>
      <c r="B26" s="129"/>
      <c r="C26" s="129"/>
      <c r="D26" s="129"/>
      <c r="E26" s="129"/>
      <c r="F26" s="129"/>
      <c r="G26" s="131"/>
    </row>
    <row r="27" spans="1:7" x14ac:dyDescent="0.2">
      <c r="A27" s="104" t="s">
        <v>362</v>
      </c>
      <c r="B27" s="19"/>
      <c r="C27" s="19"/>
      <c r="D27" s="19"/>
      <c r="E27" s="19"/>
      <c r="F27" s="19"/>
      <c r="G27" s="20"/>
    </row>
    <row r="28" spans="1:7" x14ac:dyDescent="0.2">
      <c r="A28" s="104" t="s">
        <v>363</v>
      </c>
      <c r="B28" s="19"/>
      <c r="C28" s="19"/>
      <c r="D28" s="19"/>
      <c r="E28" s="19"/>
      <c r="F28" s="19"/>
      <c r="G28" s="20"/>
    </row>
    <row r="29" spans="1:7" x14ac:dyDescent="0.2">
      <c r="A29" s="104" t="s">
        <v>362</v>
      </c>
      <c r="B29" s="129"/>
      <c r="C29" s="129"/>
      <c r="D29" s="129"/>
      <c r="E29" s="129"/>
      <c r="F29" s="129"/>
      <c r="G29" s="131"/>
    </row>
    <row r="30" spans="1:7" x14ac:dyDescent="0.2">
      <c r="A30" s="104" t="s">
        <v>364</v>
      </c>
      <c r="B30" s="19"/>
      <c r="C30" s="19"/>
      <c r="D30" s="19"/>
      <c r="E30" s="19"/>
      <c r="F30" s="19"/>
      <c r="G30" s="20"/>
    </row>
    <row r="31" spans="1:7" x14ac:dyDescent="0.2">
      <c r="A31" s="104" t="s">
        <v>365</v>
      </c>
      <c r="B31" s="19"/>
      <c r="C31" s="19"/>
      <c r="D31" s="19"/>
      <c r="E31" s="19"/>
      <c r="F31" s="19"/>
      <c r="G31" s="20"/>
    </row>
    <row r="32" spans="1:7" x14ac:dyDescent="0.2">
      <c r="A32" s="104" t="s">
        <v>366</v>
      </c>
      <c r="B32" s="19"/>
      <c r="C32" s="19"/>
      <c r="D32" s="19"/>
      <c r="E32" s="19"/>
      <c r="F32" s="19"/>
      <c r="G32" s="20"/>
    </row>
    <row r="33" spans="1:7" x14ac:dyDescent="0.2">
      <c r="A33" s="104" t="s">
        <v>367</v>
      </c>
      <c r="B33" s="129"/>
      <c r="C33" s="129"/>
      <c r="D33" s="129"/>
      <c r="E33" s="129"/>
      <c r="F33" s="129"/>
      <c r="G33" s="131"/>
    </row>
    <row r="34" spans="1:7" x14ac:dyDescent="0.2">
      <c r="A34" s="104" t="s">
        <v>368</v>
      </c>
      <c r="B34" s="19"/>
      <c r="C34" s="19"/>
      <c r="D34" s="19"/>
      <c r="E34" s="19"/>
      <c r="F34" s="19"/>
      <c r="G34" s="20"/>
    </row>
    <row r="35" spans="1:7" x14ac:dyDescent="0.2">
      <c r="A35" s="106" t="s">
        <v>369</v>
      </c>
      <c r="B35" s="11"/>
      <c r="C35" s="11"/>
      <c r="D35" s="11"/>
      <c r="E35" s="11"/>
      <c r="F35" s="11"/>
      <c r="G35" s="14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B9" sqref="B9"/>
    </sheetView>
  </sheetViews>
  <sheetFormatPr baseColWidth="10" defaultRowHeight="12.75" x14ac:dyDescent="0.2"/>
  <cols>
    <col min="1" max="1" width="8" style="90" customWidth="1"/>
    <col min="2" max="14" width="14.85546875" style="90" customWidth="1"/>
    <col min="15" max="15" width="17.42578125" style="90" customWidth="1"/>
    <col min="16" max="16384" width="11.42578125" style="90"/>
  </cols>
  <sheetData>
    <row r="1" spans="1:14" x14ac:dyDescent="0.2">
      <c r="A1" s="1" t="s">
        <v>0</v>
      </c>
      <c r="B1"/>
      <c r="C1"/>
      <c r="D1"/>
      <c r="G1" s="2">
        <f>InfoInicial!E1</f>
        <v>8</v>
      </c>
    </row>
    <row r="3" spans="1:14" ht="15.75" x14ac:dyDescent="0.25">
      <c r="A3" s="91" t="s">
        <v>370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4" ht="25.5" x14ac:dyDescent="0.2">
      <c r="A4" s="111" t="s">
        <v>230</v>
      </c>
      <c r="B4" s="112" t="s">
        <v>330</v>
      </c>
      <c r="C4" s="112" t="s">
        <v>371</v>
      </c>
      <c r="D4" s="112" t="s">
        <v>233</v>
      </c>
      <c r="E4" s="112" t="s">
        <v>3</v>
      </c>
      <c r="F4" s="112" t="s">
        <v>234</v>
      </c>
      <c r="G4" s="112" t="s">
        <v>235</v>
      </c>
      <c r="H4" s="112" t="s">
        <v>372</v>
      </c>
      <c r="I4" s="112" t="s">
        <v>373</v>
      </c>
      <c r="J4" s="112" t="s">
        <v>107</v>
      </c>
      <c r="K4" s="112" t="s">
        <v>237</v>
      </c>
      <c r="L4" s="112" t="s">
        <v>238</v>
      </c>
      <c r="M4" s="142" t="s">
        <v>239</v>
      </c>
      <c r="N4" s="143" t="s">
        <v>240</v>
      </c>
    </row>
    <row r="5" spans="1:14" x14ac:dyDescent="0.2">
      <c r="A5" s="144">
        <v>0</v>
      </c>
      <c r="B5" s="53"/>
      <c r="C5" s="17"/>
      <c r="D5" s="17"/>
      <c r="E5" s="17"/>
      <c r="F5" s="17"/>
      <c r="G5" s="17"/>
      <c r="H5" s="17"/>
      <c r="I5" s="17"/>
      <c r="J5" s="17"/>
      <c r="K5" s="17"/>
      <c r="L5" s="17"/>
      <c r="M5" s="54"/>
      <c r="N5" s="18"/>
    </row>
    <row r="6" spans="1:14" x14ac:dyDescent="0.2">
      <c r="A6" s="145">
        <v>1</v>
      </c>
      <c r="B6" s="50"/>
      <c r="C6" s="19"/>
      <c r="D6" s="19"/>
      <c r="E6" s="19"/>
      <c r="F6" s="19"/>
      <c r="G6" s="19"/>
      <c r="H6" s="19"/>
      <c r="I6" s="19"/>
      <c r="J6" s="19"/>
      <c r="K6" s="19"/>
      <c r="L6" s="19"/>
      <c r="M6" s="46"/>
      <c r="N6" s="20"/>
    </row>
    <row r="7" spans="1:14" x14ac:dyDescent="0.2">
      <c r="A7" s="145">
        <v>2</v>
      </c>
      <c r="B7" s="50"/>
      <c r="C7" s="19"/>
      <c r="D7" s="19"/>
      <c r="E7" s="19"/>
      <c r="F7" s="19"/>
      <c r="G7" s="19"/>
      <c r="H7" s="19"/>
      <c r="I7" s="19"/>
      <c r="J7" s="19"/>
      <c r="K7" s="19"/>
      <c r="L7" s="19"/>
      <c r="M7" s="46"/>
      <c r="N7" s="20"/>
    </row>
    <row r="8" spans="1:14" x14ac:dyDescent="0.2">
      <c r="A8" s="145">
        <v>3</v>
      </c>
      <c r="B8" s="50"/>
      <c r="C8" s="19"/>
      <c r="D8" s="19"/>
      <c r="E8" s="19"/>
      <c r="F8" s="19"/>
      <c r="G8" s="19"/>
      <c r="H8" s="19"/>
      <c r="I8" s="19"/>
      <c r="J8" s="19"/>
      <c r="K8" s="19"/>
      <c r="L8" s="19"/>
      <c r="M8" s="46"/>
      <c r="N8" s="20"/>
    </row>
    <row r="9" spans="1:14" x14ac:dyDescent="0.2">
      <c r="A9" s="145">
        <v>4</v>
      </c>
      <c r="B9" s="50"/>
      <c r="C9" s="19"/>
      <c r="D9" s="19"/>
      <c r="E9" s="19"/>
      <c r="F9" s="19"/>
      <c r="G9" s="19"/>
      <c r="H9" s="19"/>
      <c r="I9" s="19"/>
      <c r="J9" s="19"/>
      <c r="K9" s="19"/>
      <c r="L9" s="19"/>
      <c r="M9" s="46"/>
      <c r="N9" s="20"/>
    </row>
    <row r="10" spans="1:14" x14ac:dyDescent="0.2">
      <c r="A10" s="145">
        <v>5</v>
      </c>
      <c r="B10" s="5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46"/>
      <c r="N10" s="20"/>
    </row>
    <row r="11" spans="1:14" x14ac:dyDescent="0.2">
      <c r="A11" s="145"/>
      <c r="B11" s="5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47"/>
      <c r="N11" s="32"/>
    </row>
    <row r="12" spans="1:14" x14ac:dyDescent="0.2">
      <c r="A12" s="146" t="s">
        <v>241</v>
      </c>
      <c r="B12" s="5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48"/>
      <c r="N12" s="22"/>
    </row>
    <row r="14" spans="1:14" x14ac:dyDescent="0.2">
      <c r="C14" s="147" t="s">
        <v>242</v>
      </c>
      <c r="D14" s="55"/>
    </row>
    <row r="15" spans="1:14" x14ac:dyDescent="0.2">
      <c r="A15" s="98"/>
      <c r="C15" s="147" t="s">
        <v>243</v>
      </c>
      <c r="D15" s="56"/>
      <c r="E15" s="90" t="s">
        <v>244</v>
      </c>
    </row>
    <row r="16" spans="1:14" x14ac:dyDescent="0.2">
      <c r="C16" s="147" t="s">
        <v>374</v>
      </c>
      <c r="D16" s="57"/>
    </row>
    <row r="17" spans="1:15" x14ac:dyDescent="0.2">
      <c r="A17" s="148"/>
      <c r="B17" s="149"/>
      <c r="C17" s="149"/>
      <c r="D17" s="149"/>
      <c r="E17" s="150"/>
      <c r="F17" s="151"/>
      <c r="G17" s="151"/>
      <c r="H17" s="151"/>
      <c r="I17" s="151"/>
      <c r="J17" s="149"/>
      <c r="K17" s="151"/>
      <c r="L17" s="151"/>
      <c r="M17" s="151"/>
      <c r="N17" s="151"/>
      <c r="O17" s="149"/>
    </row>
    <row r="18" spans="1:15" ht="15.75" x14ac:dyDescent="0.25">
      <c r="A18" s="152"/>
      <c r="B18" s="151"/>
      <c r="C18" s="153"/>
      <c r="D18" s="151"/>
      <c r="E18" s="154"/>
      <c r="F18" s="151"/>
      <c r="G18" s="151"/>
      <c r="H18" s="151"/>
      <c r="I18" s="151"/>
      <c r="J18" s="151"/>
      <c r="K18" s="151"/>
      <c r="L18" s="151"/>
      <c r="M18" s="151"/>
      <c r="N18" s="151"/>
    </row>
    <row r="20" spans="1:15" x14ac:dyDescent="0.2">
      <c r="A20" s="155"/>
    </row>
    <row r="21" spans="1:15" ht="15.75" x14ac:dyDescent="0.25">
      <c r="A21" s="91" t="s">
        <v>375</v>
      </c>
      <c r="B21" s="92"/>
      <c r="C21" s="92"/>
      <c r="D21" s="92"/>
      <c r="E21" s="92"/>
      <c r="F21" s="92"/>
      <c r="G21" s="92"/>
      <c r="H21" s="93"/>
    </row>
    <row r="22" spans="1:15" ht="38.25" x14ac:dyDescent="0.2">
      <c r="A22" s="111" t="s">
        <v>230</v>
      </c>
      <c r="B22" s="112" t="s">
        <v>376</v>
      </c>
      <c r="C22" s="112" t="s">
        <v>235</v>
      </c>
      <c r="D22" s="112" t="s">
        <v>335</v>
      </c>
      <c r="E22" s="112" t="s">
        <v>377</v>
      </c>
      <c r="F22" s="112" t="s">
        <v>238</v>
      </c>
      <c r="G22" s="142" t="s">
        <v>239</v>
      </c>
      <c r="H22" s="143" t="s">
        <v>240</v>
      </c>
    </row>
    <row r="23" spans="1:15" x14ac:dyDescent="0.2">
      <c r="A23" s="144">
        <v>0</v>
      </c>
      <c r="B23" s="53"/>
      <c r="C23" s="17"/>
      <c r="D23" s="17"/>
      <c r="E23" s="17"/>
      <c r="F23" s="17"/>
      <c r="G23" s="54"/>
      <c r="H23" s="18"/>
    </row>
    <row r="24" spans="1:15" x14ac:dyDescent="0.2">
      <c r="A24" s="145">
        <v>1</v>
      </c>
      <c r="B24" s="50"/>
      <c r="C24" s="19"/>
      <c r="D24" s="19"/>
      <c r="E24" s="19"/>
      <c r="F24" s="19"/>
      <c r="G24" s="46"/>
      <c r="H24" s="20"/>
    </row>
    <row r="25" spans="1:15" x14ac:dyDescent="0.2">
      <c r="A25" s="145">
        <v>2</v>
      </c>
      <c r="B25" s="50"/>
      <c r="C25" s="19"/>
      <c r="D25" s="19"/>
      <c r="E25" s="19"/>
      <c r="F25" s="19"/>
      <c r="G25" s="46"/>
      <c r="H25" s="20"/>
    </row>
    <row r="26" spans="1:15" x14ac:dyDescent="0.2">
      <c r="A26" s="145">
        <v>3</v>
      </c>
      <c r="B26" s="50"/>
      <c r="C26" s="19"/>
      <c r="D26" s="19"/>
      <c r="E26" s="19"/>
      <c r="F26" s="19"/>
      <c r="G26" s="46"/>
      <c r="H26" s="20"/>
    </row>
    <row r="27" spans="1:15" x14ac:dyDescent="0.2">
      <c r="A27" s="145">
        <v>4</v>
      </c>
      <c r="B27" s="50"/>
      <c r="C27" s="19"/>
      <c r="D27" s="19"/>
      <c r="E27" s="19"/>
      <c r="F27" s="19"/>
      <c r="G27" s="46"/>
      <c r="H27" s="20"/>
    </row>
    <row r="28" spans="1:15" x14ac:dyDescent="0.2">
      <c r="A28" s="145">
        <v>5</v>
      </c>
      <c r="B28" s="50"/>
      <c r="C28" s="19"/>
      <c r="D28" s="19"/>
      <c r="E28" s="19"/>
      <c r="F28" s="19"/>
      <c r="G28" s="46"/>
      <c r="H28" s="20"/>
    </row>
    <row r="29" spans="1:15" x14ac:dyDescent="0.2">
      <c r="A29" s="145"/>
      <c r="B29" s="51"/>
      <c r="C29" s="31"/>
      <c r="D29" s="31"/>
      <c r="E29" s="31"/>
      <c r="F29" s="31"/>
      <c r="G29" s="47"/>
      <c r="H29" s="32"/>
    </row>
    <row r="30" spans="1:15" x14ac:dyDescent="0.2">
      <c r="A30" s="146" t="s">
        <v>241</v>
      </c>
      <c r="B30" s="52"/>
      <c r="C30" s="21"/>
      <c r="D30" s="21"/>
      <c r="E30" s="21"/>
      <c r="F30" s="21"/>
      <c r="G30" s="48"/>
      <c r="H30" s="22"/>
    </row>
    <row r="33" spans="3:5" x14ac:dyDescent="0.2">
      <c r="C33" s="147" t="s">
        <v>242</v>
      </c>
      <c r="D33" s="55"/>
      <c r="E33" s="90" t="s">
        <v>378</v>
      </c>
    </row>
    <row r="34" spans="3:5" x14ac:dyDescent="0.2">
      <c r="C34" s="147" t="s">
        <v>243</v>
      </c>
      <c r="D34" s="56"/>
      <c r="E34" s="90" t="s">
        <v>379</v>
      </c>
    </row>
    <row r="35" spans="3:5" x14ac:dyDescent="0.2">
      <c r="C35" s="147" t="s">
        <v>380</v>
      </c>
      <c r="D35" s="57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56"/>
  <sheetViews>
    <sheetView topLeftCell="A22" zoomScaleNormal="100" workbookViewId="0">
      <selection activeCell="K25" sqref="K25"/>
    </sheetView>
  </sheetViews>
  <sheetFormatPr baseColWidth="10" defaultRowHeight="12.75" x14ac:dyDescent="0.2"/>
  <cols>
    <col min="1" max="1" width="45.42578125" style="7" customWidth="1"/>
    <col min="2" max="7" width="14.85546875" style="7" customWidth="1"/>
    <col min="8" max="8" width="11.42578125" style="7"/>
    <col min="9" max="9" width="22.42578125" style="7" customWidth="1"/>
    <col min="10" max="10" width="13.85546875" style="7" bestFit="1" customWidth="1"/>
    <col min="11" max="11" width="11.42578125" style="7"/>
    <col min="12" max="12" width="13.85546875" style="7" bestFit="1" customWidth="1"/>
    <col min="13" max="16384" width="11.42578125" style="7"/>
  </cols>
  <sheetData>
    <row r="1" spans="1:22" x14ac:dyDescent="0.2">
      <c r="A1" s="401" t="s">
        <v>43</v>
      </c>
      <c r="B1" s="401"/>
      <c r="C1" s="401"/>
      <c r="D1" s="402"/>
      <c r="E1" s="403">
        <f>InfoInicial!E1</f>
        <v>8</v>
      </c>
    </row>
    <row r="2" spans="1:22" ht="13.5" thickBot="1" x14ac:dyDescent="0.25"/>
    <row r="3" spans="1:22" ht="15.75" customHeight="1" x14ac:dyDescent="0.2">
      <c r="A3" s="428" t="s">
        <v>44</v>
      </c>
      <c r="B3" s="421" t="s">
        <v>45</v>
      </c>
      <c r="C3" s="422"/>
      <c r="D3" s="423" t="s">
        <v>46</v>
      </c>
      <c r="E3" s="424"/>
      <c r="H3"/>
      <c r="M3"/>
      <c r="N3"/>
    </row>
    <row r="4" spans="1:22" ht="13.5" thickBot="1" x14ac:dyDescent="0.25">
      <c r="A4" s="429"/>
      <c r="B4" s="425" t="s">
        <v>47</v>
      </c>
      <c r="C4" s="426" t="s">
        <v>48</v>
      </c>
      <c r="D4" s="426" t="s">
        <v>47</v>
      </c>
      <c r="E4" s="427" t="s">
        <v>48</v>
      </c>
      <c r="H4"/>
      <c r="I4" s="43"/>
      <c r="J4" s="159"/>
      <c r="K4" s="43"/>
      <c r="L4" s="159"/>
      <c r="M4"/>
      <c r="N4"/>
    </row>
    <row r="5" spans="1:22" ht="13.5" thickBot="1" x14ac:dyDescent="0.25">
      <c r="A5" s="416"/>
      <c r="B5" s="442"/>
      <c r="C5" s="443"/>
      <c r="D5" s="443"/>
      <c r="E5" s="444"/>
      <c r="H5"/>
      <c r="I5" s="43"/>
      <c r="J5" s="160"/>
      <c r="K5" s="43"/>
      <c r="L5" s="160"/>
      <c r="M5"/>
      <c r="N5" s="413" t="s">
        <v>764</v>
      </c>
    </row>
    <row r="6" spans="1:22" ht="13.5" thickBot="1" x14ac:dyDescent="0.25">
      <c r="A6" s="417" t="s">
        <v>49</v>
      </c>
      <c r="B6" s="445"/>
      <c r="C6" s="446"/>
      <c r="D6" s="446"/>
      <c r="E6" s="447"/>
      <c r="H6"/>
      <c r="I6" s="407" t="s">
        <v>386</v>
      </c>
      <c r="J6" s="406" t="s">
        <v>396</v>
      </c>
      <c r="K6" s="404" t="s">
        <v>388</v>
      </c>
      <c r="L6" s="405" t="s">
        <v>398</v>
      </c>
      <c r="M6"/>
      <c r="N6"/>
    </row>
    <row r="7" spans="1:22" x14ac:dyDescent="0.2">
      <c r="A7" s="418" t="s">
        <v>50</v>
      </c>
      <c r="B7" s="448">
        <v>1400000</v>
      </c>
      <c r="C7" s="449"/>
      <c r="D7" s="450"/>
      <c r="E7" s="451"/>
      <c r="H7"/>
      <c r="I7" s="408" t="s">
        <v>394</v>
      </c>
      <c r="J7" s="487">
        <v>8000</v>
      </c>
      <c r="K7" s="488">
        <v>1</v>
      </c>
      <c r="L7" s="491">
        <f>J7*K7*InfoInicial!$D$32</f>
        <v>138000</v>
      </c>
      <c r="M7" s="414" t="s">
        <v>768</v>
      </c>
      <c r="N7" t="s">
        <v>395</v>
      </c>
    </row>
    <row r="8" spans="1:22" x14ac:dyDescent="0.2">
      <c r="A8" s="418" t="s">
        <v>51</v>
      </c>
      <c r="B8" s="448">
        <v>4000000</v>
      </c>
      <c r="C8" s="449"/>
      <c r="D8" s="450"/>
      <c r="E8" s="451"/>
      <c r="H8"/>
      <c r="I8" s="409" t="s">
        <v>393</v>
      </c>
      <c r="J8" s="489">
        <v>10000</v>
      </c>
      <c r="K8" s="490">
        <v>1</v>
      </c>
      <c r="L8" s="491">
        <f>J8*K8*InfoInicial!$D$32</f>
        <v>172500</v>
      </c>
      <c r="M8" s="414" t="s">
        <v>768</v>
      </c>
      <c r="N8" t="s">
        <v>397</v>
      </c>
    </row>
    <row r="9" spans="1:22" x14ac:dyDescent="0.2">
      <c r="A9" s="418" t="s">
        <v>52</v>
      </c>
      <c r="B9" s="448">
        <f>B8*0.8</f>
        <v>3200000</v>
      </c>
      <c r="C9" s="449"/>
      <c r="D9" s="450"/>
      <c r="E9" s="451"/>
      <c r="H9"/>
      <c r="I9" s="409" t="s">
        <v>392</v>
      </c>
      <c r="J9" s="489">
        <v>6693</v>
      </c>
      <c r="K9" s="490">
        <v>1</v>
      </c>
      <c r="L9" s="491">
        <f>J9*K9*InfoInicial!$D$32</f>
        <v>115454.25</v>
      </c>
      <c r="M9" s="414" t="s">
        <v>768</v>
      </c>
      <c r="N9" t="s">
        <v>399</v>
      </c>
    </row>
    <row r="10" spans="1:22" x14ac:dyDescent="0.2">
      <c r="A10" s="418" t="s">
        <v>53</v>
      </c>
      <c r="B10" s="448"/>
      <c r="C10" s="449"/>
      <c r="D10" s="450"/>
      <c r="E10" s="451"/>
      <c r="H10"/>
      <c r="I10" s="409" t="s">
        <v>391</v>
      </c>
      <c r="J10" s="489">
        <v>5000</v>
      </c>
      <c r="K10" s="490">
        <v>1</v>
      </c>
      <c r="L10" s="491">
        <f>J10*K10*InfoInicial!$D$32</f>
        <v>86250</v>
      </c>
      <c r="M10" s="415" t="s">
        <v>768</v>
      </c>
      <c r="N10" t="s">
        <v>400</v>
      </c>
      <c r="V10" s="7" t="s">
        <v>766</v>
      </c>
    </row>
    <row r="11" spans="1:22" x14ac:dyDescent="0.2">
      <c r="A11" s="418" t="s">
        <v>54</v>
      </c>
      <c r="B11" s="448">
        <f>L12+L12*0.05</f>
        <v>646489.46250000002</v>
      </c>
      <c r="C11" s="449"/>
      <c r="D11" s="450"/>
      <c r="E11" s="451"/>
      <c r="F11" s="411" t="s">
        <v>765</v>
      </c>
      <c r="G11" s="412"/>
      <c r="H11"/>
      <c r="I11" s="409" t="s">
        <v>390</v>
      </c>
      <c r="J11" s="489">
        <v>6000</v>
      </c>
      <c r="K11" s="490">
        <v>1</v>
      </c>
      <c r="L11" s="491">
        <f>J11*K11*InfoInicial!$D$32</f>
        <v>103500</v>
      </c>
      <c r="M11" s="415" t="s">
        <v>768</v>
      </c>
      <c r="N11" t="s">
        <v>401</v>
      </c>
      <c r="V11" s="7" t="s">
        <v>767</v>
      </c>
    </row>
    <row r="12" spans="1:22" ht="13.5" thickBot="1" x14ac:dyDescent="0.25">
      <c r="A12" s="418" t="s">
        <v>55</v>
      </c>
      <c r="B12" s="448"/>
      <c r="C12" s="449"/>
      <c r="D12" s="450"/>
      <c r="E12" s="451"/>
      <c r="H12"/>
      <c r="I12" s="410" t="s">
        <v>389</v>
      </c>
      <c r="J12" s="485"/>
      <c r="K12" s="486"/>
      <c r="L12" s="492">
        <f>SUM(L4:L11)</f>
        <v>615704.25</v>
      </c>
      <c r="M12"/>
      <c r="N12"/>
    </row>
    <row r="13" spans="1:22" x14ac:dyDescent="0.2">
      <c r="A13" s="419" t="s">
        <v>56</v>
      </c>
      <c r="B13" s="448"/>
      <c r="C13" s="449"/>
      <c r="D13" s="450"/>
      <c r="E13" s="451"/>
      <c r="H13"/>
      <c r="I13"/>
      <c r="J13"/>
      <c r="K13"/>
      <c r="L13"/>
      <c r="M13"/>
      <c r="N13"/>
    </row>
    <row r="14" spans="1:22" x14ac:dyDescent="0.2">
      <c r="A14" s="418" t="s">
        <v>57</v>
      </c>
      <c r="B14" s="448">
        <v>250000</v>
      </c>
      <c r="C14" s="449"/>
      <c r="D14" s="450"/>
      <c r="E14" s="451"/>
      <c r="H14"/>
      <c r="I14"/>
      <c r="J14"/>
      <c r="K14"/>
      <c r="L14"/>
      <c r="M14"/>
      <c r="N14"/>
    </row>
    <row r="15" spans="1:22" x14ac:dyDescent="0.2">
      <c r="A15" s="418" t="s">
        <v>58</v>
      </c>
      <c r="B15" s="448">
        <v>200000</v>
      </c>
      <c r="C15" s="449"/>
      <c r="D15" s="450"/>
      <c r="E15" s="451"/>
      <c r="H15"/>
      <c r="I15"/>
      <c r="J15"/>
      <c r="K15"/>
      <c r="L15"/>
      <c r="M15"/>
      <c r="N15"/>
    </row>
    <row r="16" spans="1:22" x14ac:dyDescent="0.2">
      <c r="A16" s="418" t="s">
        <v>59</v>
      </c>
      <c r="B16" s="448">
        <v>200000</v>
      </c>
      <c r="C16" s="449"/>
      <c r="D16" s="450"/>
      <c r="E16" s="451"/>
      <c r="H16"/>
      <c r="I16"/>
      <c r="J16"/>
      <c r="K16"/>
      <c r="L16"/>
      <c r="M16"/>
      <c r="N16"/>
    </row>
    <row r="17" spans="1:14" x14ac:dyDescent="0.2">
      <c r="A17" s="418" t="s">
        <v>60</v>
      </c>
      <c r="B17" s="448"/>
      <c r="C17" s="449"/>
      <c r="D17" s="450"/>
      <c r="E17" s="451"/>
      <c r="H17"/>
      <c r="I17"/>
      <c r="J17"/>
      <c r="K17"/>
      <c r="L17"/>
      <c r="M17"/>
      <c r="N17"/>
    </row>
    <row r="18" spans="1:14" x14ac:dyDescent="0.2">
      <c r="A18" s="418" t="s">
        <v>15</v>
      </c>
      <c r="B18" s="448">
        <f>SUM(B7:C17)*InfoInicial!B15</f>
        <v>1088613.840875</v>
      </c>
      <c r="C18" s="449"/>
      <c r="D18" s="450"/>
      <c r="E18" s="451"/>
      <c r="H18"/>
      <c r="I18"/>
      <c r="J18"/>
      <c r="K18"/>
      <c r="L18"/>
      <c r="M18"/>
      <c r="N18"/>
    </row>
    <row r="19" spans="1:14" x14ac:dyDescent="0.2">
      <c r="A19" s="418"/>
      <c r="B19" s="448"/>
      <c r="C19" s="449"/>
      <c r="D19" s="450"/>
      <c r="E19" s="451"/>
      <c r="H19"/>
      <c r="I19" s="157"/>
      <c r="J19"/>
      <c r="K19"/>
      <c r="L19"/>
      <c r="M19"/>
      <c r="N19"/>
    </row>
    <row r="20" spans="1:14" x14ac:dyDescent="0.2">
      <c r="A20" s="417" t="s">
        <v>61</v>
      </c>
      <c r="B20" s="452">
        <f>SUM(B7:B18)</f>
        <v>10985103.303375</v>
      </c>
      <c r="C20" s="453">
        <f>SUM(C7:C18)</f>
        <v>0</v>
      </c>
      <c r="D20" s="450"/>
      <c r="E20" s="451"/>
    </row>
    <row r="21" spans="1:14" x14ac:dyDescent="0.2">
      <c r="A21" s="418"/>
      <c r="B21" s="454"/>
      <c r="C21" s="455"/>
      <c r="D21" s="456"/>
      <c r="E21" s="457"/>
    </row>
    <row r="22" spans="1:14" x14ac:dyDescent="0.2">
      <c r="A22" s="417" t="s">
        <v>62</v>
      </c>
      <c r="B22" s="454"/>
      <c r="C22" s="455"/>
      <c r="D22" s="456"/>
      <c r="E22" s="457"/>
    </row>
    <row r="23" spans="1:14" x14ac:dyDescent="0.2">
      <c r="A23" s="418" t="s">
        <v>63</v>
      </c>
      <c r="B23" s="448">
        <v>50000</v>
      </c>
      <c r="C23" s="449"/>
      <c r="D23" s="450"/>
      <c r="E23" s="451"/>
    </row>
    <row r="24" spans="1:14" x14ac:dyDescent="0.2">
      <c r="A24" s="418" t="s">
        <v>64</v>
      </c>
      <c r="B24" s="448">
        <v>100000</v>
      </c>
      <c r="C24" s="449"/>
      <c r="D24" s="450"/>
      <c r="E24" s="451"/>
    </row>
    <row r="25" spans="1:14" x14ac:dyDescent="0.2">
      <c r="A25" s="418" t="s">
        <v>65</v>
      </c>
      <c r="B25" s="448">
        <v>900000</v>
      </c>
      <c r="C25" s="449"/>
      <c r="D25" s="450"/>
      <c r="E25" s="451"/>
    </row>
    <row r="26" spans="1:14" x14ac:dyDescent="0.2">
      <c r="A26" s="419" t="s">
        <v>66</v>
      </c>
      <c r="B26" s="448"/>
      <c r="C26" s="449">
        <f>B25*0.15</f>
        <v>135000</v>
      </c>
      <c r="D26" s="450"/>
      <c r="E26" s="451"/>
    </row>
    <row r="27" spans="1:14" x14ac:dyDescent="0.2">
      <c r="A27" s="419" t="s">
        <v>67</v>
      </c>
      <c r="B27" s="448"/>
      <c r="C27" s="449"/>
      <c r="D27" s="450"/>
      <c r="E27" s="451"/>
    </row>
    <row r="28" spans="1:14" x14ac:dyDescent="0.2">
      <c r="A28" s="419" t="s">
        <v>68</v>
      </c>
      <c r="B28" s="448"/>
      <c r="C28" s="449"/>
      <c r="D28" s="450"/>
      <c r="E28" s="451"/>
    </row>
    <row r="29" spans="1:14" x14ac:dyDescent="0.2">
      <c r="A29" s="418" t="s">
        <v>15</v>
      </c>
      <c r="B29" s="448">
        <f>SUM(B23:B28)*InfoInicial!B15</f>
        <v>115500</v>
      </c>
      <c r="C29" s="449">
        <f>SUM(C23:C28)*InfoInicial!B15</f>
        <v>14850</v>
      </c>
      <c r="D29" s="450"/>
      <c r="E29" s="451"/>
    </row>
    <row r="30" spans="1:14" x14ac:dyDescent="0.2">
      <c r="A30" s="418"/>
      <c r="B30" s="448"/>
      <c r="C30" s="449"/>
      <c r="D30" s="450"/>
      <c r="E30" s="451"/>
    </row>
    <row r="31" spans="1:14" x14ac:dyDescent="0.2">
      <c r="A31" s="417" t="s">
        <v>69</v>
      </c>
      <c r="B31" s="452">
        <f>SUM(B23:B29)</f>
        <v>1165500</v>
      </c>
      <c r="C31" s="458">
        <f>SUM(C23:C29)</f>
        <v>149850</v>
      </c>
      <c r="D31" s="450"/>
      <c r="E31" s="451"/>
    </row>
    <row r="32" spans="1:14" x14ac:dyDescent="0.2">
      <c r="A32" s="418"/>
      <c r="B32" s="454"/>
      <c r="C32" s="455"/>
      <c r="D32" s="456"/>
      <c r="E32" s="457"/>
    </row>
    <row r="33" spans="1:7" x14ac:dyDescent="0.2">
      <c r="A33" s="417" t="s">
        <v>70</v>
      </c>
      <c r="B33" s="452">
        <f>SUM(B20+B31)</f>
        <v>12150603.303375</v>
      </c>
      <c r="C33" s="458">
        <f>SUM(C20+C31)</f>
        <v>149850</v>
      </c>
      <c r="D33" s="450"/>
      <c r="E33" s="451"/>
    </row>
    <row r="34" spans="1:7" x14ac:dyDescent="0.2">
      <c r="A34" s="417" t="s">
        <v>71</v>
      </c>
      <c r="B34" s="448">
        <f>B33*InfoInicial!B3</f>
        <v>2551626.69370875</v>
      </c>
      <c r="C34" s="449">
        <f>C33*InfoInicial!B3</f>
        <v>31468.5</v>
      </c>
      <c r="D34" s="450"/>
      <c r="E34" s="451"/>
    </row>
    <row r="35" spans="1:7" x14ac:dyDescent="0.2">
      <c r="A35" s="418"/>
      <c r="B35" s="454"/>
      <c r="C35" s="455"/>
      <c r="D35" s="456"/>
      <c r="E35" s="457"/>
    </row>
    <row r="36" spans="1:7" ht="13.5" thickBot="1" x14ac:dyDescent="0.25">
      <c r="A36" s="420" t="s">
        <v>72</v>
      </c>
      <c r="B36" s="459">
        <f>B33+B34</f>
        <v>14702229.99708375</v>
      </c>
      <c r="C36" s="460">
        <f>C33+C34</f>
        <v>181318.5</v>
      </c>
      <c r="D36" s="461"/>
      <c r="E36" s="462"/>
    </row>
    <row r="38" spans="1:7" ht="13.5" thickBot="1" x14ac:dyDescent="0.25"/>
    <row r="39" spans="1:7" x14ac:dyDescent="0.2">
      <c r="A39" s="430" t="s">
        <v>73</v>
      </c>
      <c r="B39" s="431" t="s">
        <v>74</v>
      </c>
      <c r="C39" s="432" t="s">
        <v>75</v>
      </c>
      <c r="D39" s="422" t="s">
        <v>76</v>
      </c>
      <c r="E39" s="422"/>
      <c r="F39" s="422"/>
      <c r="G39" s="433" t="s">
        <v>77</v>
      </c>
    </row>
    <row r="40" spans="1:7" ht="13.5" thickBot="1" x14ac:dyDescent="0.25">
      <c r="A40" s="434"/>
      <c r="B40" s="425" t="s">
        <v>78</v>
      </c>
      <c r="C40" s="426"/>
      <c r="D40" s="426" t="s">
        <v>79</v>
      </c>
      <c r="E40" s="426" t="s">
        <v>80</v>
      </c>
      <c r="F40" s="426"/>
      <c r="G40" s="435"/>
    </row>
    <row r="41" spans="1:7" x14ac:dyDescent="0.2">
      <c r="A41" s="436" t="s">
        <v>81</v>
      </c>
      <c r="B41" s="463"/>
      <c r="C41" s="464"/>
      <c r="D41" s="465"/>
      <c r="E41" s="465"/>
      <c r="F41" s="466"/>
      <c r="G41" s="467"/>
    </row>
    <row r="42" spans="1:7" x14ac:dyDescent="0.2">
      <c r="A42" s="436"/>
      <c r="B42" s="468"/>
      <c r="C42" s="469"/>
      <c r="D42" s="470"/>
      <c r="E42" s="470"/>
      <c r="F42" s="471"/>
      <c r="G42" s="472"/>
    </row>
    <row r="43" spans="1:7" x14ac:dyDescent="0.2">
      <c r="A43" s="437" t="s">
        <v>50</v>
      </c>
      <c r="B43" s="473">
        <f>B7</f>
        <v>1400000</v>
      </c>
      <c r="C43" s="474"/>
      <c r="D43" s="474"/>
      <c r="E43" s="474"/>
      <c r="F43" s="475"/>
      <c r="G43" s="476">
        <f>B43</f>
        <v>1400000</v>
      </c>
    </row>
    <row r="44" spans="1:7" x14ac:dyDescent="0.2">
      <c r="A44" s="437" t="s">
        <v>51</v>
      </c>
      <c r="B44" s="473">
        <f>B8</f>
        <v>4000000</v>
      </c>
      <c r="C44" s="474">
        <f>1/InfoInicial!B8</f>
        <v>3.3333333333333333E-2</v>
      </c>
      <c r="D44" s="474">
        <f>B44*C44</f>
        <v>133333.33333333334</v>
      </c>
      <c r="E44" s="474">
        <f t="shared" ref="E44:E49" si="0">B44*C44</f>
        <v>133333.33333333334</v>
      </c>
      <c r="F44" s="475"/>
      <c r="G44" s="476">
        <f t="shared" ref="G44:G49" si="1">B44-(D44*5)</f>
        <v>3333333.333333333</v>
      </c>
    </row>
    <row r="45" spans="1:7" x14ac:dyDescent="0.2">
      <c r="A45" s="437" t="s">
        <v>52</v>
      </c>
      <c r="B45" s="473">
        <f>B9</f>
        <v>3200000</v>
      </c>
      <c r="C45" s="474">
        <f>1/InfoInicial!B9</f>
        <v>0.1</v>
      </c>
      <c r="D45" s="474">
        <f t="shared" ref="D45:D50" si="2">B45*C45</f>
        <v>320000</v>
      </c>
      <c r="E45" s="474">
        <f t="shared" si="0"/>
        <v>320000</v>
      </c>
      <c r="F45" s="475"/>
      <c r="G45" s="476">
        <f t="shared" si="1"/>
        <v>1600000</v>
      </c>
    </row>
    <row r="46" spans="1:7" x14ac:dyDescent="0.2">
      <c r="A46" s="438" t="s">
        <v>53</v>
      </c>
      <c r="B46" s="473">
        <f>B11+B14</f>
        <v>896489.46250000002</v>
      </c>
      <c r="C46" s="474">
        <f>1/InfoInicial!B10</f>
        <v>0.1</v>
      </c>
      <c r="D46" s="474">
        <f t="shared" si="2"/>
        <v>89648.946250000008</v>
      </c>
      <c r="E46" s="474">
        <f t="shared" si="0"/>
        <v>89648.946250000008</v>
      </c>
      <c r="F46" s="475"/>
      <c r="G46" s="476">
        <f t="shared" si="1"/>
        <v>448244.73124999995</v>
      </c>
    </row>
    <row r="47" spans="1:7" x14ac:dyDescent="0.2">
      <c r="A47" s="438" t="s">
        <v>58</v>
      </c>
      <c r="B47" s="473">
        <f>B15</f>
        <v>200000</v>
      </c>
      <c r="C47" s="474">
        <f>1/InfoInicial!B11</f>
        <v>0.2</v>
      </c>
      <c r="D47" s="474">
        <f>B47*C47</f>
        <v>40000</v>
      </c>
      <c r="E47" s="474">
        <f t="shared" si="0"/>
        <v>40000</v>
      </c>
      <c r="F47" s="475"/>
      <c r="G47" s="476">
        <f t="shared" si="1"/>
        <v>0</v>
      </c>
    </row>
    <row r="48" spans="1:7" x14ac:dyDescent="0.2">
      <c r="A48" s="438" t="s">
        <v>59</v>
      </c>
      <c r="B48" s="473">
        <f>B16</f>
        <v>200000</v>
      </c>
      <c r="C48" s="474">
        <f>1/InfoInicial!B12</f>
        <v>0.2</v>
      </c>
      <c r="D48" s="474">
        <f t="shared" si="2"/>
        <v>40000</v>
      </c>
      <c r="E48" s="474">
        <f t="shared" si="0"/>
        <v>40000</v>
      </c>
      <c r="F48" s="475"/>
      <c r="G48" s="476">
        <f t="shared" si="1"/>
        <v>0</v>
      </c>
    </row>
    <row r="49" spans="1:9" x14ac:dyDescent="0.2">
      <c r="A49" s="438" t="s">
        <v>15</v>
      </c>
      <c r="B49" s="473">
        <f>B18</f>
        <v>1088613.840875</v>
      </c>
      <c r="C49" s="474">
        <f>1/InfoInicial!B14</f>
        <v>0.2</v>
      </c>
      <c r="D49" s="474">
        <f>B49*C49</f>
        <v>217722.768175</v>
      </c>
      <c r="E49" s="474">
        <f t="shared" si="0"/>
        <v>217722.768175</v>
      </c>
      <c r="F49" s="475"/>
      <c r="G49" s="476">
        <f t="shared" si="1"/>
        <v>0</v>
      </c>
    </row>
    <row r="50" spans="1:9" x14ac:dyDescent="0.2">
      <c r="A50" s="438" t="s">
        <v>82</v>
      </c>
      <c r="B50" s="473">
        <v>20000</v>
      </c>
      <c r="C50" s="474">
        <f>1/InfoInicial!B13</f>
        <v>0.33333333333333331</v>
      </c>
      <c r="D50" s="474">
        <f t="shared" si="2"/>
        <v>6666.6666666666661</v>
      </c>
      <c r="E50" s="474"/>
      <c r="F50" s="475"/>
      <c r="G50" s="476">
        <f>B50-(D50*3)</f>
        <v>0</v>
      </c>
    </row>
    <row r="51" spans="1:9" x14ac:dyDescent="0.2">
      <c r="A51" s="439" t="s">
        <v>83</v>
      </c>
      <c r="B51" s="473">
        <f>SUM(B43:B50)</f>
        <v>11005103.303375</v>
      </c>
      <c r="C51" s="474"/>
      <c r="D51" s="474">
        <f>SUM(D44:D49)</f>
        <v>840705.04775833338</v>
      </c>
      <c r="E51" s="474">
        <f>SUM(E44:E49)</f>
        <v>840705.04775833338</v>
      </c>
      <c r="F51" s="475"/>
      <c r="G51" s="476">
        <f>SUM(G43:G50)</f>
        <v>6781578.0645833332</v>
      </c>
    </row>
    <row r="52" spans="1:9" x14ac:dyDescent="0.2">
      <c r="A52" s="440"/>
      <c r="B52" s="477"/>
      <c r="C52" s="478"/>
      <c r="D52" s="478"/>
      <c r="E52" s="478"/>
      <c r="F52" s="479"/>
      <c r="G52" s="480"/>
    </row>
    <row r="53" spans="1:9" x14ac:dyDescent="0.2">
      <c r="A53" s="439" t="s">
        <v>84</v>
      </c>
      <c r="B53" s="473">
        <f>B31+C31</f>
        <v>1315350</v>
      </c>
      <c r="C53" s="474">
        <f>1/InfoInicial!B14</f>
        <v>0.2</v>
      </c>
      <c r="D53" s="474">
        <f>B53*C53</f>
        <v>263070</v>
      </c>
      <c r="E53" s="474">
        <f>B53*C53</f>
        <v>263070</v>
      </c>
      <c r="F53" s="475"/>
      <c r="G53" s="476">
        <f>B53-(D53*5)</f>
        <v>0</v>
      </c>
    </row>
    <row r="54" spans="1:9" x14ac:dyDescent="0.2">
      <c r="A54" s="439"/>
      <c r="B54" s="473"/>
      <c r="C54" s="474"/>
      <c r="D54" s="474"/>
      <c r="E54" s="474"/>
      <c r="F54" s="475"/>
      <c r="G54" s="476"/>
    </row>
    <row r="55" spans="1:9" x14ac:dyDescent="0.2">
      <c r="A55" s="440"/>
      <c r="B55" s="477"/>
      <c r="C55" s="478"/>
      <c r="D55" s="478"/>
      <c r="E55" s="478"/>
      <c r="F55" s="479"/>
      <c r="G55" s="480"/>
      <c r="H55" s="13"/>
      <c r="I55" s="13"/>
    </row>
    <row r="56" spans="1:9" ht="13.5" thickBot="1" x14ac:dyDescent="0.25">
      <c r="A56" s="441" t="s">
        <v>85</v>
      </c>
      <c r="B56" s="481">
        <f>B51+B53</f>
        <v>12320453.303375</v>
      </c>
      <c r="C56" s="482"/>
      <c r="D56" s="482">
        <f>D51+D53</f>
        <v>1103775.0477583334</v>
      </c>
      <c r="E56" s="482">
        <f>E51+E53</f>
        <v>1103775.0477583334</v>
      </c>
      <c r="F56" s="483"/>
      <c r="G56" s="484">
        <f>G51+G53</f>
        <v>6781578.0645833332</v>
      </c>
      <c r="H56" s="15"/>
      <c r="I56" s="15"/>
    </row>
  </sheetData>
  <sheetProtection selectLockedCells="1" selectUnlockedCells="1"/>
  <mergeCells count="7">
    <mergeCell ref="B3:C3"/>
    <mergeCell ref="D3:E3"/>
    <mergeCell ref="D39:F39"/>
    <mergeCell ref="A1:D1"/>
    <mergeCell ref="F11:G11"/>
    <mergeCell ref="A3:A4"/>
    <mergeCell ref="A39:A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140"/>
  <sheetViews>
    <sheetView topLeftCell="A82" zoomScale="70" zoomScaleNormal="70" workbookViewId="0">
      <selection activeCell="I31" sqref="I31"/>
    </sheetView>
  </sheetViews>
  <sheetFormatPr baseColWidth="10" defaultRowHeight="12.75" x14ac:dyDescent="0.2"/>
  <cols>
    <col min="1" max="1" width="17" customWidth="1"/>
    <col min="2" max="2" width="18.28515625" customWidth="1"/>
    <col min="3" max="3" width="14.28515625" bestFit="1" customWidth="1"/>
    <col min="6" max="6" width="23.5703125" bestFit="1" customWidth="1"/>
    <col min="7" max="7" width="16.85546875" customWidth="1"/>
    <col min="8" max="8" width="14.85546875" customWidth="1"/>
    <col min="9" max="9" width="12.5703125" customWidth="1"/>
    <col min="11" max="11" width="12.85546875" bestFit="1" customWidth="1"/>
    <col min="12" max="12" width="13" customWidth="1"/>
    <col min="13" max="13" width="17.28515625" customWidth="1"/>
    <col min="14" max="14" width="14.28515625" customWidth="1"/>
    <col min="15" max="15" width="13.28515625" customWidth="1"/>
    <col min="16" max="16" width="14.140625" customWidth="1"/>
    <col min="17" max="17" width="13.5703125" customWidth="1"/>
    <col min="18" max="18" width="12.5703125" customWidth="1"/>
    <col min="20" max="20" width="17.28515625" customWidth="1"/>
    <col min="25" max="25" width="12.42578125" customWidth="1"/>
  </cols>
  <sheetData>
    <row r="1" spans="1:23" ht="13.5" thickBot="1" x14ac:dyDescent="0.25">
      <c r="A1" s="225"/>
      <c r="B1" s="213"/>
      <c r="C1" s="213"/>
      <c r="D1" s="213"/>
      <c r="E1" s="213"/>
      <c r="F1" s="213"/>
      <c r="G1" s="213"/>
      <c r="H1" s="213"/>
      <c r="I1" s="213"/>
      <c r="J1" s="213"/>
      <c r="K1" s="225"/>
      <c r="L1" s="213"/>
      <c r="M1" s="213"/>
      <c r="N1" s="213"/>
      <c r="O1" s="213"/>
      <c r="P1" s="213"/>
      <c r="Q1" s="555" t="s">
        <v>532</v>
      </c>
      <c r="R1" s="556"/>
      <c r="S1" s="213"/>
      <c r="T1" s="213"/>
      <c r="U1" s="213"/>
      <c r="V1" s="213"/>
      <c r="W1" s="214"/>
    </row>
    <row r="2" spans="1:23" ht="13.5" thickBot="1" x14ac:dyDescent="0.25">
      <c r="A2" s="538" t="s">
        <v>533</v>
      </c>
      <c r="B2" s="192"/>
      <c r="C2" s="190"/>
      <c r="D2" s="43"/>
      <c r="E2" s="43"/>
      <c r="F2" s="43"/>
      <c r="G2" s="43"/>
      <c r="H2" s="43"/>
      <c r="I2" s="43"/>
      <c r="J2" s="43"/>
      <c r="K2" s="557" t="s">
        <v>531</v>
      </c>
      <c r="L2" s="554"/>
      <c r="M2" s="43"/>
      <c r="N2" s="43"/>
      <c r="O2" s="205" t="s">
        <v>82</v>
      </c>
      <c r="P2" s="43"/>
      <c r="Q2" s="43"/>
      <c r="R2" s="43"/>
      <c r="S2" s="43"/>
      <c r="T2" s="43"/>
      <c r="U2" s="43"/>
      <c r="V2" s="43"/>
      <c r="W2" s="215"/>
    </row>
    <row r="3" spans="1:23" ht="13.5" thickBot="1" x14ac:dyDescent="0.25">
      <c r="A3" s="216"/>
      <c r="B3" s="43"/>
      <c r="C3" s="43"/>
      <c r="D3" s="43"/>
      <c r="E3" s="43"/>
      <c r="F3" s="43"/>
      <c r="G3" s="43"/>
      <c r="H3" s="43"/>
      <c r="I3" s="43"/>
      <c r="J3" s="43"/>
      <c r="K3" s="216"/>
      <c r="L3" s="43"/>
      <c r="M3" s="43"/>
      <c r="N3" s="328" t="s">
        <v>541</v>
      </c>
      <c r="O3" s="196" t="s">
        <v>542</v>
      </c>
      <c r="P3" s="43"/>
      <c r="Q3" s="43"/>
      <c r="R3" s="43"/>
      <c r="S3" s="43"/>
      <c r="T3" s="43"/>
      <c r="U3" s="43"/>
      <c r="V3" s="43"/>
      <c r="W3" s="215"/>
    </row>
    <row r="4" spans="1:23" ht="13.5" thickBot="1" x14ac:dyDescent="0.25">
      <c r="A4" s="539"/>
      <c r="B4" s="193"/>
      <c r="C4" s="193"/>
      <c r="D4" s="193"/>
      <c r="E4" s="193"/>
      <c r="F4" s="43"/>
      <c r="G4" s="508" t="s">
        <v>769</v>
      </c>
      <c r="H4" s="509"/>
      <c r="I4" s="510"/>
      <c r="J4" s="507"/>
      <c r="K4" s="216"/>
      <c r="L4" s="501" t="s">
        <v>530</v>
      </c>
      <c r="M4" s="501"/>
      <c r="N4" s="195">
        <v>0.9</v>
      </c>
      <c r="O4" s="197">
        <v>1</v>
      </c>
      <c r="P4" s="551"/>
      <c r="Q4" s="43"/>
      <c r="R4" s="43"/>
      <c r="S4" s="43"/>
      <c r="T4" s="43"/>
      <c r="U4" s="43"/>
      <c r="V4" s="43"/>
      <c r="W4" s="215"/>
    </row>
    <row r="5" spans="1:23" ht="13.5" thickBot="1" x14ac:dyDescent="0.25">
      <c r="A5" s="216"/>
      <c r="B5" s="43"/>
      <c r="C5" s="43"/>
      <c r="D5" s="43"/>
      <c r="E5" s="43"/>
      <c r="F5" s="43"/>
      <c r="G5" s="511" t="s">
        <v>529</v>
      </c>
      <c r="H5" s="506"/>
      <c r="I5" s="512">
        <v>52</v>
      </c>
      <c r="J5" s="43"/>
      <c r="K5" s="216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215"/>
    </row>
    <row r="6" spans="1:23" ht="13.5" thickBot="1" x14ac:dyDescent="0.25">
      <c r="A6" s="558" t="s">
        <v>528</v>
      </c>
      <c r="B6" s="559"/>
      <c r="C6" s="43"/>
      <c r="D6" s="43"/>
      <c r="E6" s="43"/>
      <c r="F6" s="43"/>
      <c r="G6" s="500" t="s">
        <v>527</v>
      </c>
      <c r="H6" s="501"/>
      <c r="I6" s="494">
        <v>5</v>
      </c>
      <c r="J6" s="43"/>
      <c r="K6" s="216"/>
      <c r="L6" s="570" t="s">
        <v>230</v>
      </c>
      <c r="M6" s="571" t="s">
        <v>526</v>
      </c>
      <c r="N6" s="572" t="s">
        <v>525</v>
      </c>
      <c r="O6" s="572" t="s">
        <v>585</v>
      </c>
      <c r="P6" s="572" t="s">
        <v>586</v>
      </c>
      <c r="Q6" s="572" t="s">
        <v>524</v>
      </c>
      <c r="R6" s="572"/>
      <c r="S6" s="573" t="s">
        <v>523</v>
      </c>
      <c r="T6" s="574"/>
      <c r="U6" s="43"/>
      <c r="V6" s="43"/>
      <c r="W6" s="215"/>
    </row>
    <row r="7" spans="1:23" x14ac:dyDescent="0.2">
      <c r="A7" s="216"/>
      <c r="B7" s="43"/>
      <c r="C7" s="43"/>
      <c r="D7" s="43"/>
      <c r="E7" s="43"/>
      <c r="F7" s="43"/>
      <c r="G7" s="500" t="s">
        <v>522</v>
      </c>
      <c r="H7" s="501"/>
      <c r="I7" s="494">
        <v>8</v>
      </c>
      <c r="J7" s="43"/>
      <c r="K7" s="216"/>
      <c r="L7" s="588"/>
      <c r="M7" s="560"/>
      <c r="N7" s="561"/>
      <c r="O7" s="561"/>
      <c r="P7" s="561"/>
      <c r="Q7" s="561"/>
      <c r="R7" s="561"/>
      <c r="S7" s="562"/>
      <c r="T7" s="589"/>
      <c r="U7" s="43"/>
      <c r="V7" s="43"/>
      <c r="W7" s="215"/>
    </row>
    <row r="8" spans="1:23" ht="13.5" thickBot="1" x14ac:dyDescent="0.25">
      <c r="A8" s="216"/>
      <c r="B8" s="43"/>
      <c r="C8" s="43"/>
      <c r="D8" s="43"/>
      <c r="E8" s="43"/>
      <c r="F8" s="43"/>
      <c r="G8" s="504" t="s">
        <v>521</v>
      </c>
      <c r="H8" s="505"/>
      <c r="I8" s="496">
        <f>I5*I6*I7</f>
        <v>2080</v>
      </c>
      <c r="J8" s="43"/>
      <c r="K8" s="216"/>
      <c r="L8" s="575"/>
      <c r="M8" s="576"/>
      <c r="N8" s="577"/>
      <c r="O8" s="577"/>
      <c r="P8" s="577"/>
      <c r="Q8" s="577"/>
      <c r="R8" s="577"/>
      <c r="S8" s="578"/>
      <c r="T8" s="579"/>
      <c r="U8" s="43"/>
      <c r="V8" s="43"/>
      <c r="W8" s="215"/>
    </row>
    <row r="9" spans="1:23" ht="13.5" thickBot="1" x14ac:dyDescent="0.25">
      <c r="A9" s="540" t="s">
        <v>520</v>
      </c>
      <c r="B9" s="497"/>
      <c r="C9" s="498"/>
      <c r="D9" s="43"/>
      <c r="E9" s="43"/>
      <c r="F9" s="43"/>
      <c r="G9" s="43"/>
      <c r="H9" s="43"/>
      <c r="I9" s="43"/>
      <c r="J9" s="43"/>
      <c r="K9" s="216"/>
      <c r="L9" s="590" t="s">
        <v>519</v>
      </c>
      <c r="M9" s="591">
        <f>B22</f>
        <v>600000</v>
      </c>
      <c r="N9" s="592">
        <f>'E-Inv AF y Am'!E56</f>
        <v>1103775.0477583334</v>
      </c>
      <c r="O9" s="592">
        <v>0</v>
      </c>
      <c r="P9" s="592">
        <f>N9+O9</f>
        <v>1103775.0477583334</v>
      </c>
      <c r="Q9" s="593">
        <f>P9*N4</f>
        <v>993397.54298250005</v>
      </c>
      <c r="R9" s="593"/>
      <c r="S9" s="650">
        <f>Q9/M9</f>
        <v>1.6556625716375</v>
      </c>
      <c r="T9" s="651"/>
      <c r="U9" s="587" t="s">
        <v>543</v>
      </c>
      <c r="V9" s="43"/>
      <c r="W9" s="215"/>
    </row>
    <row r="10" spans="1:23" x14ac:dyDescent="0.2">
      <c r="A10" s="541" t="s">
        <v>518</v>
      </c>
      <c r="B10" s="499"/>
      <c r="C10" s="493">
        <v>7</v>
      </c>
      <c r="D10" s="43"/>
      <c r="E10" s="43"/>
      <c r="F10" s="43"/>
      <c r="G10" s="43"/>
      <c r="H10" s="43"/>
      <c r="I10" s="43"/>
      <c r="J10" s="43"/>
      <c r="K10" s="216"/>
      <c r="L10" s="243" t="s">
        <v>517</v>
      </c>
      <c r="M10" s="536">
        <f>B22</f>
        <v>600000</v>
      </c>
      <c r="N10" s="531">
        <f>'E-Inv AF y Am'!D56</f>
        <v>1103775.0477583334</v>
      </c>
      <c r="O10" s="531">
        <f>'E-Inv AF y Am'!D50</f>
        <v>6666.6666666666661</v>
      </c>
      <c r="P10" s="531">
        <f>N10-O10</f>
        <v>1097108.3810916666</v>
      </c>
      <c r="Q10" s="586">
        <f>(P10*N4)+O10</f>
        <v>994064.20964916667</v>
      </c>
      <c r="R10" s="586"/>
      <c r="S10" s="346">
        <f>Q10/M10</f>
        <v>1.656773682748611</v>
      </c>
      <c r="T10" s="357"/>
      <c r="U10" s="587" t="s">
        <v>543</v>
      </c>
      <c r="V10" s="43"/>
      <c r="W10" s="215"/>
    </row>
    <row r="11" spans="1:23" ht="13.5" thickBot="1" x14ac:dyDescent="0.25">
      <c r="A11" s="542" t="s">
        <v>443</v>
      </c>
      <c r="B11" s="501"/>
      <c r="C11" s="494">
        <v>1</v>
      </c>
      <c r="D11" s="43"/>
      <c r="E11" s="43"/>
      <c r="F11" s="43"/>
      <c r="G11" s="43"/>
      <c r="H11" s="43"/>
      <c r="I11" s="43"/>
      <c r="J11" s="43"/>
      <c r="K11" s="216"/>
      <c r="L11" s="244">
        <v>1</v>
      </c>
      <c r="M11" s="537">
        <f>F22</f>
        <v>518750</v>
      </c>
      <c r="N11" s="533">
        <f>'E-Inv AF y Am'!D56</f>
        <v>1103775.0477583334</v>
      </c>
      <c r="O11" s="533">
        <f>'E-Inv AF y Am'!D50</f>
        <v>6666.6666666666661</v>
      </c>
      <c r="P11" s="533">
        <f>N11-O11</f>
        <v>1097108.3810916666</v>
      </c>
      <c r="Q11" s="532">
        <f>(P11*N4)+O11</f>
        <v>994064.20964916667</v>
      </c>
      <c r="R11" s="532"/>
      <c r="S11" s="652">
        <f>Q11/(M11+(F26/2))</f>
        <v>1.9116680606155894</v>
      </c>
      <c r="T11" s="653"/>
      <c r="U11" s="587" t="s">
        <v>543</v>
      </c>
      <c r="V11" s="43"/>
      <c r="W11" s="215"/>
    </row>
    <row r="12" spans="1:23" x14ac:dyDescent="0.2">
      <c r="A12" s="542" t="s">
        <v>516</v>
      </c>
      <c r="B12" s="501"/>
      <c r="C12" s="494">
        <v>65</v>
      </c>
      <c r="D12" s="332" t="s">
        <v>440</v>
      </c>
      <c r="E12" s="43"/>
      <c r="F12" s="43"/>
      <c r="G12" s="503" t="s">
        <v>515</v>
      </c>
      <c r="H12" s="503"/>
      <c r="I12" s="367">
        <f>C12+(C12*C15)+(C12*C16)</f>
        <v>152.75</v>
      </c>
      <c r="J12" s="380" t="s">
        <v>440</v>
      </c>
      <c r="K12" s="216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215"/>
    </row>
    <row r="13" spans="1:23" x14ac:dyDescent="0.2">
      <c r="A13" s="543" t="s">
        <v>514</v>
      </c>
      <c r="B13" s="503"/>
      <c r="C13" s="370">
        <v>7</v>
      </c>
      <c r="D13" s="43"/>
      <c r="E13" s="43"/>
      <c r="F13" s="43"/>
      <c r="G13" s="503"/>
      <c r="H13" s="503"/>
      <c r="I13" s="367"/>
      <c r="J13" s="380"/>
      <c r="K13" s="216"/>
      <c r="L13" s="156" t="s">
        <v>513</v>
      </c>
      <c r="M13" s="156"/>
      <c r="N13" s="156"/>
      <c r="O13" s="156"/>
      <c r="P13" s="156"/>
      <c r="Q13" s="43"/>
      <c r="R13" s="43"/>
      <c r="S13" s="43"/>
      <c r="T13" s="43"/>
      <c r="U13" s="43"/>
      <c r="V13" s="43"/>
      <c r="W13" s="215"/>
    </row>
    <row r="14" spans="1:23" ht="13.5" thickBot="1" x14ac:dyDescent="0.25">
      <c r="A14" s="543"/>
      <c r="B14" s="503"/>
      <c r="C14" s="370"/>
      <c r="D14" s="43"/>
      <c r="E14" s="43"/>
      <c r="F14" s="43"/>
      <c r="G14" s="43"/>
      <c r="H14" s="43"/>
      <c r="I14" s="43"/>
      <c r="J14" s="43"/>
      <c r="K14" s="216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215"/>
    </row>
    <row r="15" spans="1:23" x14ac:dyDescent="0.2">
      <c r="A15" s="542" t="s">
        <v>475</v>
      </c>
      <c r="B15" s="501"/>
      <c r="C15" s="495">
        <v>0.7</v>
      </c>
      <c r="D15" s="43"/>
      <c r="E15" s="43"/>
      <c r="F15" s="43"/>
      <c r="G15" s="43"/>
      <c r="H15" s="43"/>
      <c r="I15" s="43"/>
      <c r="J15" s="43"/>
      <c r="K15" s="216"/>
      <c r="L15" s="570" t="s">
        <v>230</v>
      </c>
      <c r="M15" s="571" t="s">
        <v>544</v>
      </c>
      <c r="N15" s="571"/>
      <c r="O15" s="572" t="s">
        <v>512</v>
      </c>
      <c r="P15" s="572"/>
      <c r="Q15" s="571" t="s">
        <v>511</v>
      </c>
      <c r="R15" s="573" t="s">
        <v>510</v>
      </c>
      <c r="S15" s="573"/>
      <c r="T15" s="573" t="s">
        <v>509</v>
      </c>
      <c r="U15" s="574"/>
      <c r="V15" s="43"/>
      <c r="W15" s="215"/>
    </row>
    <row r="16" spans="1:23" ht="13.5" thickBot="1" x14ac:dyDescent="0.25">
      <c r="A16" s="542" t="s">
        <v>508</v>
      </c>
      <c r="B16" s="501"/>
      <c r="C16" s="495">
        <v>0.65</v>
      </c>
      <c r="D16" s="43"/>
      <c r="E16" s="43"/>
      <c r="F16" s="43"/>
      <c r="G16" s="513" t="s">
        <v>507</v>
      </c>
      <c r="H16" s="513"/>
      <c r="I16" s="373">
        <v>0.95</v>
      </c>
      <c r="J16" s="43"/>
      <c r="K16" s="216"/>
      <c r="L16" s="575"/>
      <c r="M16" s="576"/>
      <c r="N16" s="576"/>
      <c r="O16" s="577"/>
      <c r="P16" s="577"/>
      <c r="Q16" s="576"/>
      <c r="R16" s="578"/>
      <c r="S16" s="578"/>
      <c r="T16" s="578"/>
      <c r="U16" s="579"/>
      <c r="V16" s="43"/>
      <c r="W16" s="215"/>
    </row>
    <row r="17" spans="1:23" ht="13.5" thickBot="1" x14ac:dyDescent="0.25">
      <c r="A17" s="544" t="s">
        <v>506</v>
      </c>
      <c r="B17" s="505"/>
      <c r="C17" s="496">
        <f>I8</f>
        <v>2080</v>
      </c>
      <c r="D17" s="381" t="s">
        <v>505</v>
      </c>
      <c r="E17" s="367"/>
      <c r="F17" s="43"/>
      <c r="G17" s="513"/>
      <c r="H17" s="513"/>
      <c r="I17" s="374"/>
      <c r="J17" s="43"/>
      <c r="K17" s="216"/>
      <c r="L17" s="580">
        <v>5</v>
      </c>
      <c r="M17" s="566">
        <f>S9</f>
        <v>1.6556625716375</v>
      </c>
      <c r="N17" s="566"/>
      <c r="O17" s="647">
        <f>F26/2</f>
        <v>1248.335552596538</v>
      </c>
      <c r="P17" s="647"/>
      <c r="Q17" s="567">
        <f>M17*O17</f>
        <v>2066.8224512785036</v>
      </c>
      <c r="R17" s="568"/>
      <c r="S17" s="568"/>
      <c r="T17" s="569"/>
      <c r="U17" s="581"/>
      <c r="V17" s="43"/>
      <c r="W17" s="215"/>
    </row>
    <row r="18" spans="1:23" ht="13.5" thickBot="1" x14ac:dyDescent="0.25">
      <c r="A18" s="216"/>
      <c r="B18" s="43"/>
      <c r="C18" s="43"/>
      <c r="D18" s="43"/>
      <c r="E18" s="43"/>
      <c r="F18" s="43"/>
      <c r="G18" s="43"/>
      <c r="H18" s="43"/>
      <c r="I18" s="43"/>
      <c r="J18" s="43"/>
      <c r="K18" s="216"/>
      <c r="L18" s="529">
        <v>4</v>
      </c>
      <c r="M18" s="563">
        <f>S9</f>
        <v>1.6556625716375</v>
      </c>
      <c r="N18" s="563"/>
      <c r="O18" s="648">
        <f>F26/2</f>
        <v>1248.335552596538</v>
      </c>
      <c r="P18" s="648"/>
      <c r="Q18" s="528">
        <f>M18*O18</f>
        <v>2066.8224512785036</v>
      </c>
      <c r="R18" s="564"/>
      <c r="S18" s="564"/>
      <c r="T18" s="565"/>
      <c r="U18" s="582"/>
      <c r="V18" s="43"/>
      <c r="W18" s="215"/>
    </row>
    <row r="19" spans="1:23" ht="13.5" thickBot="1" x14ac:dyDescent="0.25">
      <c r="A19" s="545" t="s">
        <v>504</v>
      </c>
      <c r="B19" s="518"/>
      <c r="C19" s="43"/>
      <c r="D19" s="43"/>
      <c r="E19" s="519" t="s">
        <v>48</v>
      </c>
      <c r="F19" s="43"/>
      <c r="G19" s="43"/>
      <c r="H19" s="43"/>
      <c r="I19" s="43"/>
      <c r="J19" s="43"/>
      <c r="K19" s="216"/>
      <c r="L19" s="529">
        <v>3</v>
      </c>
      <c r="M19" s="563">
        <f>S10</f>
        <v>1.656773682748611</v>
      </c>
      <c r="N19" s="563"/>
      <c r="O19" s="648">
        <f>F26/2</f>
        <v>1248.335552596538</v>
      </c>
      <c r="P19" s="648"/>
      <c r="Q19" s="528">
        <f>M19*O19</f>
        <v>2068.2094907813889</v>
      </c>
      <c r="R19" s="564"/>
      <c r="S19" s="564"/>
      <c r="T19" s="565"/>
      <c r="U19" s="582"/>
      <c r="V19" s="43"/>
      <c r="W19" s="215"/>
    </row>
    <row r="20" spans="1:23" x14ac:dyDescent="0.2">
      <c r="A20" s="216"/>
      <c r="B20" s="43"/>
      <c r="C20" s="43"/>
      <c r="D20" s="43"/>
      <c r="E20" s="43"/>
      <c r="F20" s="43"/>
      <c r="G20" s="43"/>
      <c r="H20" s="43"/>
      <c r="I20" s="43"/>
      <c r="J20" s="43"/>
      <c r="K20" s="216"/>
      <c r="L20" s="529">
        <v>2</v>
      </c>
      <c r="M20" s="563">
        <f>S10</f>
        <v>1.656773682748611</v>
      </c>
      <c r="N20" s="563"/>
      <c r="O20" s="648">
        <f>F26/2</f>
        <v>1248.335552596538</v>
      </c>
      <c r="P20" s="648"/>
      <c r="Q20" s="528">
        <f>M20*O20</f>
        <v>2068.2094907813889</v>
      </c>
      <c r="R20" s="564"/>
      <c r="S20" s="564"/>
      <c r="T20" s="565"/>
      <c r="U20" s="582"/>
      <c r="V20" s="43"/>
      <c r="W20" s="215"/>
    </row>
    <row r="21" spans="1:23" ht="13.5" thickBot="1" x14ac:dyDescent="0.25">
      <c r="A21" s="844" t="s">
        <v>405</v>
      </c>
      <c r="B21" s="520">
        <f>C10*C11*C17*I12</f>
        <v>2224040</v>
      </c>
      <c r="C21" s="43"/>
      <c r="D21" s="43"/>
      <c r="E21" s="842" t="s">
        <v>405</v>
      </c>
      <c r="F21" s="520">
        <f>B21*I16</f>
        <v>2112838</v>
      </c>
      <c r="G21" s="43"/>
      <c r="H21" s="43"/>
      <c r="I21" s="43"/>
      <c r="J21" s="43"/>
      <c r="K21" s="216"/>
      <c r="L21" s="530">
        <v>1</v>
      </c>
      <c r="M21" s="583">
        <f>S11</f>
        <v>1.9116680606155894</v>
      </c>
      <c r="N21" s="583"/>
      <c r="O21" s="649">
        <f>F26/2</f>
        <v>1248.335552596538</v>
      </c>
      <c r="P21" s="649"/>
      <c r="Q21" s="527">
        <f>M21*O21</f>
        <v>2386.403204829714</v>
      </c>
      <c r="R21" s="584">
        <f>M21*$F$22</f>
        <v>991677.80644433701</v>
      </c>
      <c r="S21" s="584"/>
      <c r="T21" s="526">
        <f>Q11-R21-O21</f>
        <v>1138.0676522331269</v>
      </c>
      <c r="U21" s="585"/>
      <c r="V21" s="43"/>
      <c r="W21" s="215"/>
    </row>
    <row r="22" spans="1:23" x14ac:dyDescent="0.2">
      <c r="A22" s="546" t="s">
        <v>503</v>
      </c>
      <c r="B22" s="534">
        <v>600000</v>
      </c>
      <c r="C22" s="43"/>
      <c r="D22" s="43"/>
      <c r="E22" s="515" t="s">
        <v>502</v>
      </c>
      <c r="F22" s="521">
        <v>518750</v>
      </c>
      <c r="G22" s="43"/>
      <c r="H22" s="43"/>
      <c r="I22" s="43"/>
      <c r="J22" s="43"/>
      <c r="K22" s="216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215"/>
    </row>
    <row r="23" spans="1:23" x14ac:dyDescent="0.2">
      <c r="A23" s="546"/>
      <c r="B23" s="535"/>
      <c r="C23" s="43"/>
      <c r="D23" s="43"/>
      <c r="E23" s="515"/>
      <c r="F23" s="521"/>
      <c r="G23" s="43"/>
      <c r="H23" s="43"/>
      <c r="I23" s="43"/>
      <c r="J23" s="43"/>
      <c r="K23" s="216"/>
      <c r="L23" s="552"/>
      <c r="M23" s="552"/>
      <c r="N23" s="552"/>
      <c r="O23" s="552"/>
      <c r="P23" s="552"/>
      <c r="Q23" s="552"/>
      <c r="R23" s="552"/>
      <c r="S23" s="43"/>
      <c r="T23" s="43"/>
      <c r="U23" s="43"/>
      <c r="V23" s="43"/>
      <c r="W23" s="215"/>
    </row>
    <row r="24" spans="1:23" x14ac:dyDescent="0.2">
      <c r="A24" s="546" t="s">
        <v>435</v>
      </c>
      <c r="B24" s="525">
        <f>B21/B22</f>
        <v>3.7067333333333332</v>
      </c>
      <c r="C24" s="368" t="s">
        <v>440</v>
      </c>
      <c r="D24" s="43"/>
      <c r="E24" s="515"/>
      <c r="F24" s="521"/>
      <c r="G24" s="43"/>
      <c r="H24" s="43"/>
      <c r="I24" s="43"/>
      <c r="J24" s="43"/>
      <c r="K24" s="217"/>
      <c r="L24" s="553"/>
      <c r="M24" s="553"/>
      <c r="N24" s="553"/>
      <c r="O24" s="553"/>
      <c r="P24" s="553"/>
      <c r="Q24" s="553"/>
      <c r="R24" s="553"/>
      <c r="S24" s="211"/>
      <c r="T24" s="211"/>
      <c r="U24" s="211"/>
      <c r="V24" s="211"/>
      <c r="W24" s="218"/>
    </row>
    <row r="25" spans="1:23" ht="13.5" thickBot="1" x14ac:dyDescent="0.25">
      <c r="A25" s="546"/>
      <c r="B25" s="525"/>
      <c r="C25" s="368"/>
      <c r="D25" s="43"/>
      <c r="E25" s="842" t="s">
        <v>501</v>
      </c>
      <c r="F25" s="522">
        <f>B24*F22</f>
        <v>1922867.9166666665</v>
      </c>
      <c r="G25" s="43"/>
      <c r="H25" s="43"/>
      <c r="I25" s="43"/>
      <c r="J25" s="43"/>
      <c r="K25" s="225"/>
      <c r="L25" s="693"/>
      <c r="M25" s="693"/>
      <c r="N25" s="693"/>
      <c r="O25" s="693"/>
      <c r="P25" s="693"/>
      <c r="Q25" s="693"/>
      <c r="R25" s="693"/>
      <c r="S25" s="213"/>
      <c r="T25" s="214"/>
    </row>
    <row r="26" spans="1:23" x14ac:dyDescent="0.2">
      <c r="A26" s="216"/>
      <c r="B26" s="43"/>
      <c r="C26" s="43">
        <f>B25*0.15</f>
        <v>0</v>
      </c>
      <c r="D26" s="43"/>
      <c r="E26" s="515" t="s">
        <v>500</v>
      </c>
      <c r="F26" s="523">
        <f>3000/1.2016</f>
        <v>2496.6711051930761</v>
      </c>
      <c r="G26" s="43"/>
      <c r="H26" s="547"/>
      <c r="I26" s="43"/>
      <c r="J26" s="43"/>
      <c r="K26" s="694" t="s">
        <v>499</v>
      </c>
      <c r="L26" s="595"/>
      <c r="M26" s="43"/>
      <c r="N26" s="43"/>
      <c r="O26" s="43"/>
      <c r="P26" s="43"/>
      <c r="Q26" s="43"/>
      <c r="R26" s="43"/>
      <c r="S26" s="43"/>
      <c r="T26" s="215"/>
    </row>
    <row r="27" spans="1:23" ht="13.5" thickBot="1" x14ac:dyDescent="0.25">
      <c r="A27" s="216"/>
      <c r="B27" s="43"/>
      <c r="C27" s="43"/>
      <c r="D27" s="43"/>
      <c r="E27" s="515"/>
      <c r="F27" s="523"/>
      <c r="G27" s="43"/>
      <c r="H27" s="43"/>
      <c r="I27" s="43"/>
      <c r="J27" s="43"/>
      <c r="K27" s="383" t="s">
        <v>498</v>
      </c>
      <c r="L27" s="383"/>
      <c r="M27" s="383"/>
      <c r="N27" s="43"/>
      <c r="O27" s="43"/>
      <c r="P27" s="43"/>
      <c r="Q27" s="43"/>
      <c r="R27" s="43"/>
      <c r="S27" s="43"/>
      <c r="T27" s="215"/>
    </row>
    <row r="28" spans="1:23" ht="13.5" thickBot="1" x14ac:dyDescent="0.25">
      <c r="A28" s="548" t="s">
        <v>497</v>
      </c>
      <c r="B28" s="549"/>
      <c r="C28" s="43"/>
      <c r="D28" s="43"/>
      <c r="E28" s="515"/>
      <c r="F28" s="523"/>
      <c r="G28" s="43"/>
      <c r="H28" s="43"/>
      <c r="I28" s="43"/>
      <c r="J28" s="43"/>
      <c r="K28" s="216"/>
      <c r="L28" s="43"/>
      <c r="M28" s="43"/>
      <c r="N28" s="43"/>
      <c r="O28" s="43"/>
      <c r="P28" s="607" t="s">
        <v>496</v>
      </c>
      <c r="Q28" s="608"/>
      <c r="R28" s="645">
        <v>0.96</v>
      </c>
      <c r="S28" s="43" t="s">
        <v>495</v>
      </c>
      <c r="T28" s="215"/>
      <c r="U28" t="s">
        <v>537</v>
      </c>
    </row>
    <row r="29" spans="1:23" ht="13.5" thickBot="1" x14ac:dyDescent="0.25">
      <c r="A29" s="548"/>
      <c r="B29" s="549"/>
      <c r="C29" s="43"/>
      <c r="D29" s="43"/>
      <c r="E29" s="515" t="s">
        <v>404</v>
      </c>
      <c r="F29" s="521">
        <f>B24*F26/2</f>
        <v>4627.2470039946738</v>
      </c>
      <c r="G29" s="43"/>
      <c r="H29" s="43"/>
      <c r="I29" s="43"/>
      <c r="J29" s="43"/>
      <c r="K29" s="604" t="s">
        <v>494</v>
      </c>
      <c r="L29" s="604"/>
      <c r="M29" s="641">
        <v>27.454999999999998</v>
      </c>
      <c r="N29" s="219" t="s">
        <v>493</v>
      </c>
      <c r="O29" s="43"/>
      <c r="P29" s="609" t="s">
        <v>492</v>
      </c>
      <c r="Q29" s="610"/>
      <c r="R29" s="646">
        <v>0.95</v>
      </c>
      <c r="S29" s="43" t="s">
        <v>491</v>
      </c>
      <c r="T29" s="215"/>
    </row>
    <row r="30" spans="1:23" x14ac:dyDescent="0.2">
      <c r="A30" s="548"/>
      <c r="B30" s="549"/>
      <c r="C30" s="43"/>
      <c r="D30" s="43"/>
      <c r="E30" s="515"/>
      <c r="F30" s="521"/>
      <c r="G30" s="43"/>
      <c r="H30" s="43"/>
      <c r="I30" s="43"/>
      <c r="J30" s="43"/>
      <c r="K30" s="603" t="s">
        <v>534</v>
      </c>
      <c r="L30" s="603"/>
      <c r="M30" s="642">
        <v>0.69599999999999995</v>
      </c>
      <c r="N30" s="219" t="s">
        <v>463</v>
      </c>
      <c r="O30" s="43" t="s">
        <v>535</v>
      </c>
      <c r="P30" s="43" t="s">
        <v>536</v>
      </c>
      <c r="Q30" s="43"/>
      <c r="R30" s="43"/>
      <c r="S30" s="43"/>
      <c r="T30" s="215"/>
    </row>
    <row r="31" spans="1:23" ht="13.5" thickBot="1" x14ac:dyDescent="0.25">
      <c r="A31" s="548"/>
      <c r="B31" s="549"/>
      <c r="C31" s="43"/>
      <c r="D31" s="43"/>
      <c r="E31" s="515" t="s">
        <v>490</v>
      </c>
      <c r="F31" s="524">
        <f>F21-F25-F29</f>
        <v>185342.83632933881</v>
      </c>
      <c r="G31" s="43"/>
      <c r="H31" s="43"/>
      <c r="I31" s="43"/>
      <c r="J31" s="43"/>
      <c r="K31" s="603" t="s">
        <v>488</v>
      </c>
      <c r="L31" s="603"/>
      <c r="M31" s="642">
        <v>212.44499999999999</v>
      </c>
      <c r="N31" s="219" t="s">
        <v>489</v>
      </c>
      <c r="O31" s="43"/>
      <c r="P31" s="43"/>
      <c r="Q31" s="43"/>
      <c r="R31" s="43"/>
      <c r="S31" s="43"/>
      <c r="T31" s="215"/>
    </row>
    <row r="32" spans="1:23" ht="13.5" thickBot="1" x14ac:dyDescent="0.25">
      <c r="A32" s="548"/>
      <c r="B32" s="549"/>
      <c r="C32" s="43"/>
      <c r="D32" s="43"/>
      <c r="E32" s="515"/>
      <c r="F32" s="524"/>
      <c r="G32" s="43"/>
      <c r="H32" s="43"/>
      <c r="I32" s="43"/>
      <c r="J32" s="43"/>
      <c r="K32" s="603" t="s">
        <v>488</v>
      </c>
      <c r="L32" s="603"/>
      <c r="M32" s="642">
        <f>M31/8</f>
        <v>26.555624999999999</v>
      </c>
      <c r="N32" s="219" t="s">
        <v>487</v>
      </c>
      <c r="O32" s="43"/>
      <c r="P32" s="611" t="s">
        <v>486</v>
      </c>
      <c r="Q32" s="612"/>
      <c r="R32" s="644">
        <f>(M32*I8)*R28</f>
        <v>53026.271999999997</v>
      </c>
      <c r="S32" s="219" t="s">
        <v>485</v>
      </c>
      <c r="T32" s="215"/>
    </row>
    <row r="33" spans="1:23" ht="13.5" thickBot="1" x14ac:dyDescent="0.25">
      <c r="A33" s="216"/>
      <c r="B33" s="43"/>
      <c r="C33" s="43"/>
      <c r="D33" s="43"/>
      <c r="E33" s="515"/>
      <c r="F33" s="524"/>
      <c r="G33" s="43"/>
      <c r="H33" s="43"/>
      <c r="I33" s="43"/>
      <c r="J33" s="43"/>
      <c r="K33" s="605" t="s">
        <v>484</v>
      </c>
      <c r="L33" s="605"/>
      <c r="M33" s="643">
        <v>77.56</v>
      </c>
      <c r="N33" s="219" t="s">
        <v>483</v>
      </c>
      <c r="O33" s="43" t="s">
        <v>535</v>
      </c>
      <c r="P33" s="193" t="s">
        <v>536</v>
      </c>
      <c r="Q33" s="43"/>
      <c r="R33" s="43"/>
      <c r="S33" s="43"/>
      <c r="T33" s="215"/>
    </row>
    <row r="34" spans="1:23" ht="13.5" thickBot="1" x14ac:dyDescent="0.25">
      <c r="A34" s="217"/>
      <c r="B34" s="211"/>
      <c r="C34" s="211"/>
      <c r="D34" s="211"/>
      <c r="E34" s="843"/>
      <c r="F34" s="550"/>
      <c r="G34" s="211"/>
      <c r="H34" s="211"/>
      <c r="I34" s="211"/>
      <c r="J34" s="211"/>
      <c r="K34" s="216"/>
      <c r="L34" s="43"/>
      <c r="M34" s="43"/>
      <c r="N34" s="43"/>
      <c r="O34" s="43"/>
      <c r="P34" s="43"/>
      <c r="Q34" s="43"/>
      <c r="R34" s="43"/>
      <c r="S34" s="43"/>
      <c r="T34" s="215"/>
    </row>
    <row r="35" spans="1:23" ht="13.5" thickBot="1" x14ac:dyDescent="0.25">
      <c r="A35" s="169"/>
      <c r="B35" s="43"/>
      <c r="C35" s="43"/>
      <c r="D35" s="43"/>
      <c r="E35" s="43"/>
      <c r="F35" s="43"/>
      <c r="G35" s="43"/>
      <c r="H35" s="43"/>
      <c r="I35" s="43"/>
      <c r="J35" s="43"/>
      <c r="K35" s="216"/>
      <c r="L35" s="170" t="s">
        <v>416</v>
      </c>
      <c r="M35" s="43"/>
      <c r="N35" s="675" t="s">
        <v>482</v>
      </c>
      <c r="O35" s="43"/>
      <c r="P35" s="697" t="s">
        <v>48</v>
      </c>
      <c r="Q35" s="43"/>
      <c r="R35" s="43"/>
      <c r="S35" s="43"/>
      <c r="T35" s="215"/>
    </row>
    <row r="36" spans="1:23" ht="13.5" thickBot="1" x14ac:dyDescent="0.25">
      <c r="A36" s="594" t="s">
        <v>481</v>
      </c>
      <c r="B36" s="595"/>
      <c r="J36" s="43"/>
      <c r="K36" s="216"/>
      <c r="L36" s="43"/>
      <c r="M36" s="43"/>
      <c r="N36" s="676"/>
      <c r="O36" s="43"/>
      <c r="P36" s="43"/>
      <c r="Q36" s="43"/>
      <c r="R36" s="43"/>
      <c r="S36" s="43"/>
      <c r="T36" s="215"/>
    </row>
    <row r="37" spans="1:23" ht="13.5" thickBot="1" x14ac:dyDescent="0.25">
      <c r="A37" s="634" t="s">
        <v>770</v>
      </c>
      <c r="B37" s="635"/>
      <c r="C37" s="636"/>
      <c r="D37" s="614"/>
      <c r="E37" s="614"/>
      <c r="G37" s="501" t="s">
        <v>480</v>
      </c>
      <c r="H37" s="501"/>
      <c r="I37" s="613">
        <v>12</v>
      </c>
      <c r="K37" s="695" t="s">
        <v>462</v>
      </c>
      <c r="L37" s="665"/>
      <c r="M37" s="673">
        <f>(M29*M33)</f>
        <v>2129.4097999999999</v>
      </c>
      <c r="N37" s="690">
        <f>M37*R28</f>
        <v>2044.2334079999998</v>
      </c>
      <c r="O37" s="664" t="s">
        <v>479</v>
      </c>
      <c r="P37" s="665"/>
      <c r="Q37" s="679">
        <f>M41*R29</f>
        <v>53091.97949759999</v>
      </c>
      <c r="R37" s="43"/>
      <c r="S37" s="43"/>
      <c r="T37" s="215"/>
    </row>
    <row r="38" spans="1:23" ht="13.5" thickBot="1" x14ac:dyDescent="0.25">
      <c r="A38" s="632" t="s">
        <v>478</v>
      </c>
      <c r="B38" s="633"/>
      <c r="C38" s="637">
        <v>0.5</v>
      </c>
      <c r="K38" s="659" t="s">
        <v>459</v>
      </c>
      <c r="L38" s="660"/>
      <c r="M38" s="674">
        <f>(M32*I8)</f>
        <v>55235.7</v>
      </c>
      <c r="N38" s="691">
        <f>(M38+M39)*$R$28</f>
        <v>53842.060799999992</v>
      </c>
      <c r="O38" s="666" t="s">
        <v>464</v>
      </c>
      <c r="P38" s="660"/>
      <c r="Q38" s="688">
        <f>Q37/R32</f>
        <v>1.0012391498614119</v>
      </c>
      <c r="R38" s="43"/>
      <c r="S38" s="43"/>
      <c r="T38" s="215"/>
    </row>
    <row r="39" spans="1:23" ht="13.5" thickBot="1" x14ac:dyDescent="0.25">
      <c r="A39" s="629" t="s">
        <v>477</v>
      </c>
      <c r="B39" s="573"/>
      <c r="C39" s="572" t="s">
        <v>476</v>
      </c>
      <c r="D39" s="572" t="s">
        <v>475</v>
      </c>
      <c r="E39" s="572" t="s">
        <v>474</v>
      </c>
      <c r="F39" s="572" t="s">
        <v>473</v>
      </c>
      <c r="G39" s="574" t="s">
        <v>405</v>
      </c>
      <c r="K39" s="659" t="s">
        <v>472</v>
      </c>
      <c r="L39" s="660"/>
      <c r="M39" s="674">
        <f>(C63*C66*C65*M32)</f>
        <v>849.78</v>
      </c>
      <c r="N39" s="692"/>
      <c r="O39" s="666" t="s">
        <v>431</v>
      </c>
      <c r="P39" s="660"/>
      <c r="Q39" s="688">
        <f>Q37/F22</f>
        <v>0.10234598457368672</v>
      </c>
      <c r="R39" s="43"/>
      <c r="S39" s="43"/>
      <c r="T39" s="215"/>
    </row>
    <row r="40" spans="1:23" ht="13.5" thickBot="1" x14ac:dyDescent="0.25">
      <c r="A40" s="630"/>
      <c r="B40" s="578"/>
      <c r="C40" s="577"/>
      <c r="D40" s="577"/>
      <c r="E40" s="577"/>
      <c r="F40" s="577"/>
      <c r="G40" s="579"/>
      <c r="K40" s="661" t="s">
        <v>471</v>
      </c>
      <c r="L40" s="662"/>
      <c r="M40" s="667">
        <f>SUM(M37:M39)</f>
        <v>58214.889799999997</v>
      </c>
      <c r="N40" s="672"/>
      <c r="O40" s="680" t="s">
        <v>470</v>
      </c>
      <c r="P40" s="654"/>
      <c r="Q40" s="681">
        <f>Q39*(F22-F26)</f>
        <v>52836.455235182329</v>
      </c>
      <c r="R40" s="43"/>
      <c r="S40" s="160"/>
      <c r="T40" s="215"/>
    </row>
    <row r="41" spans="1:23" x14ac:dyDescent="0.2">
      <c r="A41" s="624" t="s">
        <v>469</v>
      </c>
      <c r="B41" s="625"/>
      <c r="C41" s="626">
        <v>50000</v>
      </c>
      <c r="D41" s="627">
        <f t="shared" ref="D41:D48" si="0">$C$38</f>
        <v>0.5</v>
      </c>
      <c r="E41" s="628">
        <v>1</v>
      </c>
      <c r="F41" s="628">
        <v>0.33329999999999999</v>
      </c>
      <c r="G41" s="638">
        <f t="shared" ref="G41:G48" si="1">(C41+C41*D41)*E41*F41*$I$37</f>
        <v>299970</v>
      </c>
      <c r="K41" s="663" t="s">
        <v>468</v>
      </c>
      <c r="L41" s="663"/>
      <c r="M41" s="668">
        <f>M40*R28</f>
        <v>55886.294207999992</v>
      </c>
      <c r="N41" s="672"/>
      <c r="O41" s="680" t="s">
        <v>467</v>
      </c>
      <c r="P41" s="654"/>
      <c r="Q41" s="689">
        <f>Q39*F26/2</f>
        <v>127.76213120882997</v>
      </c>
      <c r="R41" s="43"/>
      <c r="S41" s="43"/>
      <c r="T41" s="215"/>
    </row>
    <row r="42" spans="1:23" x14ac:dyDescent="0.2">
      <c r="A42" s="618" t="s">
        <v>466</v>
      </c>
      <c r="B42" s="383"/>
      <c r="C42" s="206">
        <v>35000</v>
      </c>
      <c r="D42" s="207">
        <f t="shared" si="0"/>
        <v>0.5</v>
      </c>
      <c r="E42" s="208">
        <v>1</v>
      </c>
      <c r="F42" s="208">
        <v>0.6</v>
      </c>
      <c r="G42" s="639">
        <f t="shared" si="1"/>
        <v>378000</v>
      </c>
      <c r="K42" s="663"/>
      <c r="L42" s="663"/>
      <c r="M42" s="668"/>
      <c r="N42" s="672"/>
      <c r="O42" s="680" t="s">
        <v>587</v>
      </c>
      <c r="P42" s="654"/>
      <c r="Q42" s="689">
        <f>Q37-Q40-Q41</f>
        <v>127.76213120883082</v>
      </c>
      <c r="R42" s="43"/>
      <c r="S42" s="43"/>
      <c r="T42" s="215"/>
    </row>
    <row r="43" spans="1:23" x14ac:dyDescent="0.2">
      <c r="A43" s="618" t="s">
        <v>465</v>
      </c>
      <c r="B43" s="383"/>
      <c r="C43" s="206">
        <v>35000</v>
      </c>
      <c r="D43" s="207">
        <f t="shared" si="0"/>
        <v>0.5</v>
      </c>
      <c r="E43" s="208">
        <v>1</v>
      </c>
      <c r="F43" s="208">
        <v>0.33329999999999999</v>
      </c>
      <c r="G43" s="639">
        <f t="shared" si="1"/>
        <v>209979</v>
      </c>
      <c r="K43" s="659" t="s">
        <v>464</v>
      </c>
      <c r="L43" s="660"/>
      <c r="M43" s="669">
        <f>M41/R32</f>
        <v>1.0539359472225389</v>
      </c>
      <c r="N43" s="677" t="s">
        <v>463</v>
      </c>
      <c r="O43" s="682" t="s">
        <v>462</v>
      </c>
      <c r="P43" s="606"/>
      <c r="Q43" s="681">
        <f>M37*R28*R29</f>
        <v>1942.0217375999998</v>
      </c>
      <c r="R43" s="43"/>
      <c r="S43" s="43"/>
      <c r="T43" s="215"/>
    </row>
    <row r="44" spans="1:23" ht="13.5" thickBot="1" x14ac:dyDescent="0.25">
      <c r="A44" s="618" t="s">
        <v>461</v>
      </c>
      <c r="B44" s="383"/>
      <c r="C44" s="206">
        <v>20000</v>
      </c>
      <c r="D44" s="207">
        <f t="shared" si="0"/>
        <v>0.5</v>
      </c>
      <c r="E44" s="208">
        <v>1</v>
      </c>
      <c r="F44" s="208">
        <v>0.33329999999999999</v>
      </c>
      <c r="G44" s="639">
        <f t="shared" si="1"/>
        <v>119988</v>
      </c>
      <c r="K44" s="659" t="s">
        <v>460</v>
      </c>
      <c r="L44" s="660"/>
      <c r="M44" s="669">
        <f>M38/B22</f>
        <v>9.2059499999999989E-2</v>
      </c>
      <c r="N44" s="678"/>
      <c r="O44" s="683" t="s">
        <v>459</v>
      </c>
      <c r="P44" s="684"/>
      <c r="Q44" s="685">
        <f>(M38+M39)*R28*R29</f>
        <v>51149.95775999999</v>
      </c>
      <c r="R44" s="43"/>
      <c r="S44" s="43"/>
      <c r="T44" s="215"/>
    </row>
    <row r="45" spans="1:23" x14ac:dyDescent="0.2">
      <c r="A45" s="618" t="s">
        <v>458</v>
      </c>
      <c r="B45" s="383"/>
      <c r="C45" s="206">
        <v>20000</v>
      </c>
      <c r="D45" s="207">
        <f t="shared" si="0"/>
        <v>0.5</v>
      </c>
      <c r="E45" s="208">
        <v>1</v>
      </c>
      <c r="F45" s="208">
        <v>1</v>
      </c>
      <c r="G45" s="639">
        <f t="shared" si="1"/>
        <v>360000</v>
      </c>
      <c r="K45" s="659" t="s">
        <v>457</v>
      </c>
      <c r="L45" s="660"/>
      <c r="M45" s="669">
        <f>M41/B22</f>
        <v>9.3143823679999987E-2</v>
      </c>
      <c r="N45" s="672"/>
      <c r="O45" s="43"/>
      <c r="P45" s="43"/>
      <c r="Q45" s="43"/>
      <c r="R45" s="43"/>
      <c r="S45" s="43"/>
      <c r="T45" s="215"/>
    </row>
    <row r="46" spans="1:23" ht="13.5" thickBot="1" x14ac:dyDescent="0.25">
      <c r="A46" s="618" t="s">
        <v>456</v>
      </c>
      <c r="B46" s="383"/>
      <c r="C46" s="206">
        <v>13000</v>
      </c>
      <c r="D46" s="207">
        <f t="shared" si="0"/>
        <v>0.5</v>
      </c>
      <c r="E46" s="208">
        <v>1</v>
      </c>
      <c r="F46" s="208">
        <v>0.8</v>
      </c>
      <c r="G46" s="639">
        <f t="shared" si="1"/>
        <v>187200</v>
      </c>
      <c r="K46" s="696" t="s">
        <v>455</v>
      </c>
      <c r="L46" s="670"/>
      <c r="M46" s="671">
        <f>(F26*M45)/2</f>
        <v>116.27474660452729</v>
      </c>
      <c r="N46" s="672"/>
      <c r="O46" s="43"/>
      <c r="P46" s="43"/>
      <c r="Q46" s="698" t="s">
        <v>771</v>
      </c>
      <c r="R46" s="698"/>
      <c r="S46" s="698"/>
      <c r="T46" s="215"/>
    </row>
    <row r="47" spans="1:23" x14ac:dyDescent="0.2">
      <c r="A47" s="618" t="s">
        <v>454</v>
      </c>
      <c r="B47" s="383"/>
      <c r="C47" s="206">
        <v>12000</v>
      </c>
      <c r="D47" s="207">
        <f t="shared" si="0"/>
        <v>0.5</v>
      </c>
      <c r="E47" s="208">
        <v>1</v>
      </c>
      <c r="F47" s="208">
        <v>0.33329999999999999</v>
      </c>
      <c r="G47" s="639">
        <f t="shared" si="1"/>
        <v>71992.799999999988</v>
      </c>
      <c r="J47" s="43"/>
      <c r="K47" s="216"/>
      <c r="L47" s="43"/>
      <c r="M47" s="43"/>
      <c r="N47" s="43"/>
      <c r="O47" s="43"/>
      <c r="P47" s="43"/>
      <c r="Q47" s="698"/>
      <c r="R47" s="698"/>
      <c r="S47" s="698"/>
      <c r="T47" s="215"/>
    </row>
    <row r="48" spans="1:23" x14ac:dyDescent="0.2">
      <c r="A48" s="618" t="s">
        <v>545</v>
      </c>
      <c r="B48" s="383"/>
      <c r="C48" s="206">
        <v>12000</v>
      </c>
      <c r="D48" s="207">
        <f t="shared" si="0"/>
        <v>0.5</v>
      </c>
      <c r="E48" s="208">
        <v>1</v>
      </c>
      <c r="F48" s="208">
        <v>0.66659999999999997</v>
      </c>
      <c r="G48" s="639">
        <f t="shared" si="1"/>
        <v>143985.59999999998</v>
      </c>
      <c r="J48" s="43"/>
      <c r="K48" s="216"/>
      <c r="L48" s="43"/>
      <c r="M48" s="43"/>
      <c r="N48" s="43"/>
      <c r="O48" s="43"/>
      <c r="P48" s="43"/>
      <c r="Q48" s="43"/>
      <c r="R48" s="43"/>
      <c r="S48" s="43"/>
      <c r="T48" s="215"/>
      <c r="W48" s="43"/>
    </row>
    <row r="49" spans="1:30" ht="12.75" customHeight="1" x14ac:dyDescent="0.2">
      <c r="A49" s="618"/>
      <c r="B49" s="383"/>
      <c r="C49" s="206"/>
      <c r="D49" s="207"/>
      <c r="E49" s="208"/>
      <c r="F49" s="208"/>
      <c r="G49" s="639"/>
      <c r="J49" s="43"/>
      <c r="K49" s="216"/>
      <c r="L49" s="43"/>
      <c r="M49" s="43"/>
      <c r="N49" s="43"/>
      <c r="O49" s="43"/>
      <c r="P49" s="43"/>
      <c r="Q49" s="43"/>
      <c r="R49" s="43"/>
      <c r="S49" s="43"/>
      <c r="T49" s="215"/>
      <c r="U49" s="43"/>
      <c r="V49" s="43"/>
      <c r="W49" s="43"/>
    </row>
    <row r="50" spans="1:30" ht="13.5" thickBot="1" x14ac:dyDescent="0.25">
      <c r="A50" s="619" t="s">
        <v>152</v>
      </c>
      <c r="B50" s="620"/>
      <c r="C50" s="621"/>
      <c r="D50" s="622"/>
      <c r="E50" s="623"/>
      <c r="F50" s="623"/>
      <c r="G50" s="640">
        <f>SUM(G41:G48)</f>
        <v>1771115.4</v>
      </c>
      <c r="J50" s="43"/>
      <c r="K50" s="225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4"/>
    </row>
    <row r="51" spans="1:30" ht="13.5" thickBot="1" x14ac:dyDescent="0.25">
      <c r="A51" s="371"/>
      <c r="B51" s="371"/>
      <c r="C51" s="203"/>
      <c r="D51" s="204"/>
      <c r="E51" s="205"/>
      <c r="F51" s="205"/>
      <c r="G51" s="209"/>
      <c r="H51" s="43"/>
      <c r="J51" s="43"/>
      <c r="K51" s="216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215"/>
    </row>
    <row r="52" spans="1:30" ht="13.5" thickBot="1" x14ac:dyDescent="0.25">
      <c r="A52" s="371"/>
      <c r="B52" s="371"/>
      <c r="C52" s="203"/>
      <c r="D52" s="204"/>
      <c r="E52" s="205"/>
      <c r="F52" s="205"/>
      <c r="G52" s="209"/>
      <c r="H52" s="43"/>
      <c r="K52" s="701" t="s">
        <v>453</v>
      </c>
      <c r="L52" s="559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215"/>
    </row>
    <row r="53" spans="1:30" ht="13.5" thickBot="1" x14ac:dyDescent="0.25">
      <c r="A53" s="371"/>
      <c r="B53" s="371"/>
      <c r="C53" s="203"/>
      <c r="D53" s="204"/>
      <c r="E53" s="205"/>
      <c r="F53" s="205"/>
      <c r="G53" s="209"/>
      <c r="H53" s="43"/>
      <c r="K53" s="699" t="s">
        <v>213</v>
      </c>
      <c r="L53" s="700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 t="s">
        <v>567</v>
      </c>
      <c r="Z53" s="43"/>
      <c r="AA53" s="43"/>
      <c r="AB53" s="43"/>
      <c r="AC53" s="43"/>
      <c r="AD53" s="215"/>
    </row>
    <row r="54" spans="1:30" ht="13.5" customHeight="1" thickBot="1" x14ac:dyDescent="0.25">
      <c r="A54" s="371"/>
      <c r="B54" s="371"/>
      <c r="C54" s="776" t="s">
        <v>547</v>
      </c>
      <c r="D54" s="776"/>
      <c r="E54" s="776"/>
      <c r="F54" s="776"/>
      <c r="G54" s="776"/>
      <c r="H54" s="776"/>
      <c r="I54" s="776"/>
      <c r="K54" s="216"/>
      <c r="L54" s="43"/>
      <c r="M54" s="43"/>
      <c r="N54" s="43"/>
      <c r="O54" s="43"/>
      <c r="P54" s="43"/>
      <c r="Q54" s="43"/>
      <c r="R54" s="43"/>
      <c r="S54" s="19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215"/>
    </row>
    <row r="55" spans="1:30" x14ac:dyDescent="0.2">
      <c r="A55" s="371"/>
      <c r="B55" s="371"/>
      <c r="C55" s="776"/>
      <c r="D55" s="776"/>
      <c r="E55" s="776"/>
      <c r="F55" s="776"/>
      <c r="G55" s="776"/>
      <c r="H55" s="776"/>
      <c r="I55" s="776"/>
      <c r="K55" s="726" t="s">
        <v>416</v>
      </c>
      <c r="L55" s="727"/>
      <c r="M55" s="738" t="s">
        <v>548</v>
      </c>
      <c r="N55" s="571" t="s">
        <v>549</v>
      </c>
      <c r="O55" s="573" t="s">
        <v>553</v>
      </c>
      <c r="P55" s="573" t="s">
        <v>550</v>
      </c>
      <c r="Q55" s="573" t="s">
        <v>551</v>
      </c>
      <c r="R55" s="573" t="s">
        <v>552</v>
      </c>
      <c r="S55" s="739" t="s">
        <v>559</v>
      </c>
      <c r="T55" s="740" t="s">
        <v>152</v>
      </c>
      <c r="U55" s="43"/>
      <c r="V55" s="43"/>
      <c r="W55" s="43"/>
      <c r="X55" s="43"/>
      <c r="Y55" s="43"/>
      <c r="Z55" s="43"/>
      <c r="AA55" s="43"/>
      <c r="AB55" s="43"/>
      <c r="AC55" s="43"/>
      <c r="AD55" s="215"/>
    </row>
    <row r="56" spans="1:30" ht="13.5" thickBot="1" x14ac:dyDescent="0.25">
      <c r="A56" s="43"/>
      <c r="B56" s="43"/>
      <c r="C56" s="776"/>
      <c r="D56" s="776"/>
      <c r="E56" s="776"/>
      <c r="F56" s="776"/>
      <c r="G56" s="776"/>
      <c r="H56" s="776"/>
      <c r="I56" s="776"/>
      <c r="K56" s="728"/>
      <c r="L56" s="729"/>
      <c r="M56" s="741"/>
      <c r="N56" s="576"/>
      <c r="O56" s="578"/>
      <c r="P56" s="578"/>
      <c r="Q56" s="578"/>
      <c r="R56" s="578"/>
      <c r="S56" s="742"/>
      <c r="T56" s="743"/>
      <c r="U56" s="43"/>
      <c r="V56" s="43"/>
      <c r="W56" s="43"/>
      <c r="X56" s="43"/>
      <c r="Y56" s="654"/>
      <c r="Z56" s="654" t="s">
        <v>566</v>
      </c>
      <c r="AA56" s="654" t="s">
        <v>303</v>
      </c>
      <c r="AB56" s="43"/>
      <c r="AC56" s="43"/>
      <c r="AD56" s="215"/>
    </row>
    <row r="57" spans="1:30" ht="15" x14ac:dyDescent="0.2">
      <c r="A57" s="169"/>
      <c r="K57" s="744" t="s">
        <v>452</v>
      </c>
      <c r="L57" s="745"/>
      <c r="M57" s="706">
        <f>AA69*AA58</f>
        <v>32850</v>
      </c>
      <c r="N57" s="707">
        <f>AA69*AA59</f>
        <v>9855</v>
      </c>
      <c r="O57" s="707">
        <f>AA60*AA69</f>
        <v>657</v>
      </c>
      <c r="P57" s="707">
        <f>AA61*AA69</f>
        <v>2628</v>
      </c>
      <c r="Q57" s="707">
        <f>AA62*AA69</f>
        <v>10512</v>
      </c>
      <c r="R57" s="707">
        <f>AA69*AA63</f>
        <v>6570</v>
      </c>
      <c r="S57" s="708">
        <f>AA57*AA69</f>
        <v>2628</v>
      </c>
      <c r="T57" s="234"/>
      <c r="U57" s="43"/>
      <c r="V57" s="43"/>
      <c r="W57" s="43"/>
      <c r="X57" s="43"/>
      <c r="Y57" s="654" t="s">
        <v>559</v>
      </c>
      <c r="Z57" s="208">
        <v>4</v>
      </c>
      <c r="AA57" s="772">
        <f>$Z$57/$Z$64</f>
        <v>0.04</v>
      </c>
      <c r="AB57" s="43"/>
      <c r="AC57" s="43"/>
      <c r="AD57" s="215"/>
    </row>
    <row r="58" spans="1:30" x14ac:dyDescent="0.2">
      <c r="A58" s="187"/>
      <c r="B58" s="187"/>
      <c r="K58" s="746" t="s">
        <v>451</v>
      </c>
      <c r="L58" s="747"/>
      <c r="M58" s="723">
        <f>B22</f>
        <v>600000</v>
      </c>
      <c r="N58" s="724"/>
      <c r="O58" s="724"/>
      <c r="P58" s="724"/>
      <c r="Q58" s="724"/>
      <c r="R58" s="724"/>
      <c r="S58" s="725"/>
      <c r="T58" s="235"/>
      <c r="U58" s="43"/>
      <c r="V58" s="43"/>
      <c r="W58" s="43"/>
      <c r="X58" s="43"/>
      <c r="Y58" s="654" t="s">
        <v>548</v>
      </c>
      <c r="Z58" s="208">
        <v>50</v>
      </c>
      <c r="AA58" s="772">
        <f>$Z$58/$Z$64</f>
        <v>0.5</v>
      </c>
      <c r="AB58" s="43"/>
      <c r="AC58" s="43"/>
      <c r="AD58" s="215"/>
    </row>
    <row r="59" spans="1:30" ht="13.5" thickBot="1" x14ac:dyDescent="0.25">
      <c r="A59" s="187"/>
      <c r="B59" s="187"/>
      <c r="K59" s="746" t="s">
        <v>450</v>
      </c>
      <c r="L59" s="747"/>
      <c r="M59" s="720">
        <f t="shared" ref="M59:S59" si="2">M57/$M$58</f>
        <v>5.475E-2</v>
      </c>
      <c r="N59" s="721">
        <f t="shared" si="2"/>
        <v>1.6424999999999999E-2</v>
      </c>
      <c r="O59" s="721">
        <f t="shared" si="2"/>
        <v>1.0950000000000001E-3</v>
      </c>
      <c r="P59" s="721">
        <f t="shared" si="2"/>
        <v>4.3800000000000002E-3</v>
      </c>
      <c r="Q59" s="721">
        <f t="shared" si="2"/>
        <v>1.7520000000000001E-2</v>
      </c>
      <c r="R59" s="721">
        <f t="shared" si="2"/>
        <v>1.095E-2</v>
      </c>
      <c r="S59" s="722">
        <f t="shared" si="2"/>
        <v>4.3800000000000002E-3</v>
      </c>
      <c r="T59" s="236"/>
      <c r="U59" s="43"/>
      <c r="V59" s="43"/>
      <c r="W59" s="43"/>
      <c r="X59" s="43"/>
      <c r="Y59" s="654" t="s">
        <v>549</v>
      </c>
      <c r="Z59" s="208">
        <v>15</v>
      </c>
      <c r="AA59" s="772">
        <f>$Z$59/$Z$64</f>
        <v>0.15</v>
      </c>
      <c r="AB59" s="43"/>
      <c r="AC59" s="43"/>
      <c r="AD59" s="215"/>
    </row>
    <row r="60" spans="1:30" ht="13.5" thickBot="1" x14ac:dyDescent="0.25">
      <c r="A60" s="186" t="s">
        <v>449</v>
      </c>
      <c r="B60" s="185"/>
      <c r="C60" s="185"/>
      <c r="D60" s="185"/>
      <c r="E60" s="184"/>
      <c r="K60" s="746" t="s">
        <v>387</v>
      </c>
      <c r="L60" s="747"/>
      <c r="M60" s="712">
        <v>160</v>
      </c>
      <c r="N60" s="713">
        <v>34</v>
      </c>
      <c r="O60" s="713">
        <v>250</v>
      </c>
      <c r="P60" s="713">
        <v>27.44</v>
      </c>
      <c r="Q60" s="713">
        <v>60</v>
      </c>
      <c r="R60" s="713">
        <v>100</v>
      </c>
      <c r="S60" s="714">
        <v>20</v>
      </c>
      <c r="T60" s="237"/>
      <c r="U60" s="43"/>
      <c r="V60" s="43"/>
      <c r="W60" s="43"/>
      <c r="X60" s="43"/>
      <c r="Y60" s="654" t="s">
        <v>772</v>
      </c>
      <c r="Z60" s="208">
        <v>1</v>
      </c>
      <c r="AA60" s="772">
        <f>$Z$60/$Z$64</f>
        <v>0.01</v>
      </c>
      <c r="AB60" s="43"/>
      <c r="AC60" s="43"/>
      <c r="AD60" s="215"/>
    </row>
    <row r="61" spans="1:30" x14ac:dyDescent="0.2">
      <c r="K61" s="746" t="s">
        <v>448</v>
      </c>
      <c r="L61" s="747"/>
      <c r="M61" s="715">
        <f t="shared" ref="M61:S61" si="3">M57*M60</f>
        <v>5256000</v>
      </c>
      <c r="N61" s="257">
        <f t="shared" si="3"/>
        <v>335070</v>
      </c>
      <c r="O61" s="257">
        <f t="shared" si="3"/>
        <v>164250</v>
      </c>
      <c r="P61" s="257">
        <f t="shared" si="3"/>
        <v>72112.320000000007</v>
      </c>
      <c r="Q61" s="257">
        <f t="shared" si="3"/>
        <v>630720</v>
      </c>
      <c r="R61" s="257">
        <f t="shared" si="3"/>
        <v>657000</v>
      </c>
      <c r="S61" s="716">
        <f t="shared" si="3"/>
        <v>52560</v>
      </c>
      <c r="T61" s="238">
        <f>SUM(M61:R61)</f>
        <v>7115152.3200000003</v>
      </c>
      <c r="U61" s="43"/>
      <c r="V61" s="43"/>
      <c r="W61" s="43"/>
      <c r="X61" s="43"/>
      <c r="Y61" s="654" t="s">
        <v>550</v>
      </c>
      <c r="Z61" s="208">
        <v>4</v>
      </c>
      <c r="AA61" s="772">
        <f>$Z$61/$Z$64</f>
        <v>0.04</v>
      </c>
      <c r="AB61" s="43"/>
      <c r="AC61" s="43"/>
      <c r="AD61" s="215"/>
    </row>
    <row r="62" spans="1:30" ht="13.5" thickBot="1" x14ac:dyDescent="0.25">
      <c r="A62" s="169"/>
      <c r="K62" s="748" t="s">
        <v>431</v>
      </c>
      <c r="L62" s="749"/>
      <c r="M62" s="717">
        <f t="shared" ref="M62:S62" si="4">M61/$M$58</f>
        <v>8.76</v>
      </c>
      <c r="N62" s="718">
        <f t="shared" si="4"/>
        <v>0.55845</v>
      </c>
      <c r="O62" s="718">
        <f t="shared" si="4"/>
        <v>0.27374999999999999</v>
      </c>
      <c r="P62" s="718">
        <f t="shared" si="4"/>
        <v>0.12018720000000001</v>
      </c>
      <c r="Q62" s="718">
        <f t="shared" si="4"/>
        <v>1.0511999999999999</v>
      </c>
      <c r="R62" s="718">
        <f t="shared" si="4"/>
        <v>1.095</v>
      </c>
      <c r="S62" s="719">
        <f t="shared" si="4"/>
        <v>8.7599999999999997E-2</v>
      </c>
      <c r="T62" s="239">
        <f>SUM(M62:R62)</f>
        <v>11.858587200000001</v>
      </c>
      <c r="U62" s="43"/>
      <c r="V62" s="43"/>
      <c r="W62" s="43"/>
      <c r="X62" s="43"/>
      <c r="Y62" s="654" t="s">
        <v>551</v>
      </c>
      <c r="Z62" s="208">
        <v>16</v>
      </c>
      <c r="AA62" s="772">
        <f>$Z$62/$Z$64</f>
        <v>0.16</v>
      </c>
      <c r="AB62" s="43"/>
      <c r="AC62" s="43"/>
      <c r="AD62" s="215"/>
    </row>
    <row r="63" spans="1:30" x14ac:dyDescent="0.2">
      <c r="A63" s="501" t="s">
        <v>447</v>
      </c>
      <c r="B63" s="777"/>
      <c r="C63" s="180">
        <v>4</v>
      </c>
      <c r="D63" s="784" t="s">
        <v>446</v>
      </c>
      <c r="K63" s="216"/>
      <c r="L63" s="43"/>
      <c r="M63" s="43"/>
      <c r="N63" s="43"/>
      <c r="O63" s="43"/>
      <c r="P63" s="43"/>
      <c r="Q63" s="43"/>
      <c r="R63" s="43"/>
      <c r="S63" s="193"/>
      <c r="T63" s="43"/>
      <c r="U63" s="43"/>
      <c r="V63" s="212"/>
      <c r="W63" s="212"/>
      <c r="X63" s="43"/>
      <c r="Y63" s="654" t="s">
        <v>552</v>
      </c>
      <c r="Z63" s="208">
        <v>10</v>
      </c>
      <c r="AA63" s="772">
        <f>$Z$63/$Z$64</f>
        <v>0.1</v>
      </c>
      <c r="AB63" s="43"/>
      <c r="AC63" s="43"/>
      <c r="AD63" s="215"/>
    </row>
    <row r="64" spans="1:30" ht="13.5" thickBot="1" x14ac:dyDescent="0.25">
      <c r="A64" s="501" t="s">
        <v>445</v>
      </c>
      <c r="B64" s="777"/>
      <c r="C64" s="180">
        <v>1</v>
      </c>
      <c r="D64" s="182"/>
      <c r="K64" s="216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212"/>
      <c r="W64" s="212"/>
      <c r="X64" s="43"/>
      <c r="Y64" s="654" t="s">
        <v>573</v>
      </c>
      <c r="Z64" s="208">
        <f>SUM(Z57:Z63)</f>
        <v>100</v>
      </c>
      <c r="AA64" s="772">
        <f>$Z$64/$Z$64</f>
        <v>1</v>
      </c>
      <c r="AB64" s="43"/>
      <c r="AC64" s="43"/>
      <c r="AD64" s="215"/>
    </row>
    <row r="65" spans="1:30" ht="13.5" thickBot="1" x14ac:dyDescent="0.25">
      <c r="A65" s="501" t="s">
        <v>444</v>
      </c>
      <c r="B65" s="777"/>
      <c r="C65" s="180">
        <v>8</v>
      </c>
      <c r="D65" s="182"/>
      <c r="K65" s="594" t="s">
        <v>48</v>
      </c>
      <c r="L65" s="595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215"/>
    </row>
    <row r="66" spans="1:30" ht="15" x14ac:dyDescent="0.2">
      <c r="A66" s="501" t="s">
        <v>443</v>
      </c>
      <c r="B66" s="777"/>
      <c r="C66" s="180">
        <v>1</v>
      </c>
      <c r="D66" s="182"/>
      <c r="F66" s="198"/>
      <c r="G66" s="198"/>
      <c r="H66" s="198"/>
      <c r="I66" s="198"/>
      <c r="K66" s="750" t="s">
        <v>442</v>
      </c>
      <c r="L66" s="751"/>
      <c r="M66" s="733">
        <f>AA58*AA67</f>
        <v>29100</v>
      </c>
      <c r="N66" s="730">
        <f>AA59*AA67</f>
        <v>8730</v>
      </c>
      <c r="O66" s="730">
        <f>AA67*AA60</f>
        <v>582</v>
      </c>
      <c r="P66" s="730">
        <f>AA67*AA61</f>
        <v>2328</v>
      </c>
      <c r="Q66" s="731">
        <f>AA67*AA62</f>
        <v>9312</v>
      </c>
      <c r="R66" s="730">
        <f>AA63*AA67</f>
        <v>5820</v>
      </c>
      <c r="S66" s="732">
        <f>AA67*AA57</f>
        <v>2328</v>
      </c>
      <c r="T66" s="43"/>
      <c r="U66" s="43"/>
      <c r="V66" s="43"/>
      <c r="W66" s="43"/>
      <c r="X66" s="43"/>
      <c r="Y66" s="704" t="s">
        <v>526</v>
      </c>
      <c r="Z66" s="705" t="s">
        <v>568</v>
      </c>
      <c r="AA66" s="705" t="s">
        <v>570</v>
      </c>
      <c r="AB66" s="43"/>
      <c r="AC66" s="43"/>
      <c r="AD66" s="215"/>
    </row>
    <row r="67" spans="1:30" ht="12.75" customHeight="1" x14ac:dyDescent="0.2">
      <c r="A67" s="501" t="s">
        <v>441</v>
      </c>
      <c r="B67" s="777"/>
      <c r="C67" s="180">
        <v>200</v>
      </c>
      <c r="D67" s="784" t="s">
        <v>440</v>
      </c>
      <c r="F67" s="372" t="s">
        <v>546</v>
      </c>
      <c r="G67" s="372"/>
      <c r="H67" s="372"/>
      <c r="I67" s="372"/>
      <c r="K67" s="752" t="s">
        <v>439</v>
      </c>
      <c r="L67" s="753"/>
      <c r="M67" s="734">
        <f t="shared" ref="M67:S67" si="5">M59*$F$22</f>
        <v>28401.5625</v>
      </c>
      <c r="N67" s="358">
        <f t="shared" si="5"/>
        <v>8520.46875</v>
      </c>
      <c r="O67" s="358">
        <f t="shared" si="5"/>
        <v>568.03125</v>
      </c>
      <c r="P67" s="358">
        <f t="shared" si="5"/>
        <v>2272.125</v>
      </c>
      <c r="Q67" s="356">
        <f t="shared" si="5"/>
        <v>9088.5</v>
      </c>
      <c r="R67" s="346">
        <f t="shared" si="5"/>
        <v>5680.3125</v>
      </c>
      <c r="S67" s="357">
        <f t="shared" si="5"/>
        <v>2272.125</v>
      </c>
      <c r="T67" s="202"/>
      <c r="U67" s="43"/>
      <c r="V67" s="43"/>
      <c r="W67" s="43"/>
      <c r="X67" s="631" t="s">
        <v>48</v>
      </c>
      <c r="Y67" s="219" t="s">
        <v>571</v>
      </c>
      <c r="Z67" s="333">
        <v>582000</v>
      </c>
      <c r="AA67" s="333">
        <f>Z67/10</f>
        <v>58200</v>
      </c>
      <c r="AB67" s="43"/>
      <c r="AC67" s="43"/>
      <c r="AD67" s="215"/>
    </row>
    <row r="68" spans="1:30" x14ac:dyDescent="0.2">
      <c r="A68" s="169"/>
      <c r="F68" s="198"/>
      <c r="G68" s="198"/>
      <c r="H68" s="198"/>
      <c r="I68" s="198"/>
      <c r="K68" s="754"/>
      <c r="L68" s="755"/>
      <c r="M68" s="734"/>
      <c r="N68" s="358"/>
      <c r="O68" s="358"/>
      <c r="P68" s="358"/>
      <c r="Q68" s="356"/>
      <c r="R68" s="346"/>
      <c r="S68" s="357"/>
      <c r="T68" s="202"/>
      <c r="U68" s="43"/>
      <c r="V68" s="43"/>
      <c r="W68" s="43"/>
      <c r="X68" s="702"/>
      <c r="Y68" s="219" t="s">
        <v>572</v>
      </c>
      <c r="Z68" s="333">
        <v>3000</v>
      </c>
      <c r="AA68" s="333">
        <v>300</v>
      </c>
      <c r="AB68" s="43"/>
      <c r="AC68" s="43"/>
      <c r="AD68" s="215"/>
    </row>
    <row r="69" spans="1:30" ht="15" x14ac:dyDescent="0.2">
      <c r="A69" s="501" t="s">
        <v>438</v>
      </c>
      <c r="B69" s="501"/>
      <c r="C69" s="501"/>
      <c r="D69" s="183">
        <f>C63*C64*C65*C66*C67</f>
        <v>6400</v>
      </c>
      <c r="K69" s="756" t="s">
        <v>437</v>
      </c>
      <c r="L69" s="747"/>
      <c r="M69" s="735">
        <f>AA58*AA68</f>
        <v>150</v>
      </c>
      <c r="N69" s="240">
        <f>AA59*AA68</f>
        <v>45</v>
      </c>
      <c r="O69" s="240">
        <f>AA60*AA68</f>
        <v>3</v>
      </c>
      <c r="P69" s="240">
        <f>AA61*AA68</f>
        <v>12</v>
      </c>
      <c r="Q69" s="241">
        <f>AA62*AA68</f>
        <v>48</v>
      </c>
      <c r="R69" s="240">
        <f>AA63*AA68</f>
        <v>30</v>
      </c>
      <c r="S69" s="242">
        <f>AA57*AA68</f>
        <v>12</v>
      </c>
      <c r="T69" s="199"/>
      <c r="U69" s="43"/>
      <c r="V69" s="43"/>
      <c r="W69" s="43"/>
      <c r="X69" s="703" t="s">
        <v>569</v>
      </c>
      <c r="Y69" s="161" t="s">
        <v>571</v>
      </c>
      <c r="Z69" s="333">
        <v>657000</v>
      </c>
      <c r="AA69" s="333">
        <f>Z69/10</f>
        <v>65700</v>
      </c>
      <c r="AB69" s="43"/>
      <c r="AC69" s="43"/>
      <c r="AD69" s="215"/>
    </row>
    <row r="70" spans="1:30" ht="13.5" thickBot="1" x14ac:dyDescent="0.25">
      <c r="A70" s="169"/>
      <c r="K70" s="752" t="s">
        <v>436</v>
      </c>
      <c r="L70" s="753"/>
      <c r="M70" s="736">
        <f t="shared" ref="M70:S70" si="6">M66-M67-M69</f>
        <v>548.4375</v>
      </c>
      <c r="N70" s="362">
        <f t="shared" si="6"/>
        <v>164.53125</v>
      </c>
      <c r="O70" s="362">
        <f t="shared" si="6"/>
        <v>10.96875</v>
      </c>
      <c r="P70" s="362">
        <f t="shared" si="6"/>
        <v>43.875</v>
      </c>
      <c r="Q70" s="364">
        <f t="shared" si="6"/>
        <v>175.5</v>
      </c>
      <c r="R70" s="347">
        <f t="shared" si="6"/>
        <v>109.6875</v>
      </c>
      <c r="S70" s="359">
        <f t="shared" si="6"/>
        <v>43.875</v>
      </c>
      <c r="T70" s="200"/>
      <c r="U70" s="43"/>
      <c r="V70" s="43"/>
      <c r="W70" s="43"/>
      <c r="X70" s="43"/>
      <c r="Y70" s="43"/>
      <c r="Z70" s="43"/>
      <c r="AA70" s="43" t="s">
        <v>755</v>
      </c>
      <c r="AB70" s="43"/>
      <c r="AC70" s="43"/>
      <c r="AD70" s="215"/>
    </row>
    <row r="71" spans="1:30" ht="13.5" thickBot="1" x14ac:dyDescent="0.25">
      <c r="A71" s="164" t="s">
        <v>416</v>
      </c>
      <c r="K71" s="757"/>
      <c r="L71" s="758"/>
      <c r="M71" s="737"/>
      <c r="N71" s="363"/>
      <c r="O71" s="363"/>
      <c r="P71" s="363"/>
      <c r="Q71" s="365"/>
      <c r="R71" s="348"/>
      <c r="S71" s="360"/>
      <c r="T71" s="201"/>
      <c r="U71" s="43"/>
      <c r="V71" s="43"/>
      <c r="W71" s="43"/>
      <c r="X71" s="43"/>
      <c r="Y71" s="43"/>
      <c r="Z71" s="43"/>
      <c r="AA71" s="43"/>
      <c r="AB71" s="43"/>
      <c r="AC71" s="43"/>
      <c r="AD71" s="215"/>
    </row>
    <row r="72" spans="1:30" ht="13.5" thickBot="1" x14ac:dyDescent="0.25">
      <c r="A72" s="779" t="s">
        <v>432</v>
      </c>
      <c r="B72" s="780"/>
      <c r="C72" s="786">
        <f>D69+G50</f>
        <v>1777515.4</v>
      </c>
      <c r="D72" s="182"/>
      <c r="K72" s="216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215"/>
    </row>
    <row r="73" spans="1:30" x14ac:dyDescent="0.2">
      <c r="A73" s="598" t="s">
        <v>435</v>
      </c>
      <c r="B73" s="599"/>
      <c r="C73" s="781">
        <f>C72/B22</f>
        <v>2.9625256666666666</v>
      </c>
      <c r="D73" s="785" t="s">
        <v>543</v>
      </c>
      <c r="K73" s="773" t="s">
        <v>405</v>
      </c>
      <c r="L73" s="759"/>
      <c r="M73" s="232">
        <f t="shared" ref="M73:S73" si="7">M66*M60</f>
        <v>4656000</v>
      </c>
      <c r="N73" s="232">
        <f t="shared" si="7"/>
        <v>296820</v>
      </c>
      <c r="O73" s="232">
        <f t="shared" si="7"/>
        <v>145500</v>
      </c>
      <c r="P73" s="232">
        <f t="shared" si="7"/>
        <v>63880.32</v>
      </c>
      <c r="Q73" s="232">
        <f t="shared" si="7"/>
        <v>558720</v>
      </c>
      <c r="R73" s="232">
        <f t="shared" si="7"/>
        <v>582000</v>
      </c>
      <c r="S73" s="232">
        <f t="shared" si="7"/>
        <v>46560</v>
      </c>
      <c r="T73" s="233">
        <f>SUM(M73:S73)</f>
        <v>6349480.3200000003</v>
      </c>
      <c r="U73" s="43"/>
      <c r="V73" s="43"/>
      <c r="W73" s="43"/>
      <c r="X73" s="43"/>
      <c r="Y73" s="43"/>
      <c r="Z73" s="43"/>
      <c r="AA73" s="43"/>
      <c r="AB73" s="43"/>
      <c r="AC73" s="43"/>
      <c r="AD73" s="215"/>
    </row>
    <row r="74" spans="1:30" x14ac:dyDescent="0.2">
      <c r="A74" s="782" t="s">
        <v>429</v>
      </c>
      <c r="B74" s="783"/>
      <c r="C74" s="787">
        <f>C73*(F26/2)</f>
        <v>3698.2261151797607</v>
      </c>
      <c r="D74" s="182"/>
      <c r="K74" s="502" t="s">
        <v>434</v>
      </c>
      <c r="L74" s="503"/>
      <c r="M74" s="349">
        <f t="shared" ref="M74:S74" si="8">M67*M60</f>
        <v>4544250</v>
      </c>
      <c r="N74" s="349">
        <f t="shared" si="8"/>
        <v>289695.9375</v>
      </c>
      <c r="O74" s="349">
        <f t="shared" si="8"/>
        <v>142007.8125</v>
      </c>
      <c r="P74" s="349">
        <f t="shared" si="8"/>
        <v>62347.11</v>
      </c>
      <c r="Q74" s="349">
        <f t="shared" si="8"/>
        <v>545310</v>
      </c>
      <c r="R74" s="349">
        <f t="shared" si="8"/>
        <v>568031.25</v>
      </c>
      <c r="S74" s="349">
        <f t="shared" si="8"/>
        <v>45442.5</v>
      </c>
      <c r="T74" s="354">
        <f>SUM(M74:S75)</f>
        <v>6197084.6100000003</v>
      </c>
      <c r="U74" s="43"/>
      <c r="V74" s="43"/>
      <c r="W74" s="43"/>
      <c r="X74" s="43"/>
      <c r="Y74" s="43"/>
      <c r="Z74" s="43"/>
      <c r="AA74" s="43"/>
      <c r="AB74" s="43"/>
      <c r="AC74" s="43"/>
      <c r="AD74" s="215"/>
    </row>
    <row r="75" spans="1:30" ht="13.5" thickBot="1" x14ac:dyDescent="0.25">
      <c r="A75" s="169"/>
      <c r="C75" s="182"/>
      <c r="D75" s="182"/>
      <c r="K75" s="502"/>
      <c r="L75" s="503"/>
      <c r="M75" s="349"/>
      <c r="N75" s="349"/>
      <c r="O75" s="349"/>
      <c r="P75" s="349"/>
      <c r="Q75" s="349"/>
      <c r="R75" s="349"/>
      <c r="S75" s="349"/>
      <c r="T75" s="354"/>
      <c r="U75" s="43"/>
      <c r="V75" s="43"/>
      <c r="W75" s="43"/>
      <c r="X75" s="43"/>
      <c r="Y75" s="43"/>
      <c r="Z75" s="43"/>
      <c r="AA75" s="43"/>
      <c r="AB75" s="43"/>
      <c r="AC75" s="43"/>
      <c r="AD75" s="215"/>
    </row>
    <row r="76" spans="1:30" ht="13.5" thickBot="1" x14ac:dyDescent="0.25">
      <c r="A76" s="170" t="s">
        <v>48</v>
      </c>
      <c r="C76" s="182"/>
      <c r="D76" s="182"/>
      <c r="K76" s="774" t="s">
        <v>433</v>
      </c>
      <c r="L76" s="513"/>
      <c r="M76" s="349">
        <f t="shared" ref="M76:S76" si="9">M69*M60</f>
        <v>24000</v>
      </c>
      <c r="N76" s="349">
        <f t="shared" si="9"/>
        <v>1530</v>
      </c>
      <c r="O76" s="349">
        <f t="shared" si="9"/>
        <v>750</v>
      </c>
      <c r="P76" s="349">
        <f t="shared" si="9"/>
        <v>329.28000000000003</v>
      </c>
      <c r="Q76" s="349">
        <f t="shared" si="9"/>
        <v>2880</v>
      </c>
      <c r="R76" s="349">
        <f t="shared" si="9"/>
        <v>3000</v>
      </c>
      <c r="S76" s="349">
        <f t="shared" si="9"/>
        <v>240</v>
      </c>
      <c r="T76" s="354">
        <f>SUM(M76:S77)</f>
        <v>32729.279999999999</v>
      </c>
      <c r="U76" s="43"/>
      <c r="V76" s="43"/>
      <c r="W76" s="43"/>
      <c r="X76" s="43"/>
      <c r="Y76" s="43"/>
      <c r="Z76" s="43"/>
      <c r="AA76" s="43"/>
      <c r="AB76" s="43"/>
      <c r="AC76" s="43"/>
      <c r="AD76" s="215"/>
    </row>
    <row r="77" spans="1:30" x14ac:dyDescent="0.2">
      <c r="A77" s="778" t="s">
        <v>432</v>
      </c>
      <c r="B77" s="514"/>
      <c r="C77" s="245">
        <f>(G50+D69)*0.9</f>
        <v>1599763.8599999999</v>
      </c>
      <c r="D77" s="182"/>
      <c r="K77" s="774"/>
      <c r="L77" s="513"/>
      <c r="M77" s="349"/>
      <c r="N77" s="349"/>
      <c r="O77" s="349"/>
      <c r="P77" s="349"/>
      <c r="Q77" s="349"/>
      <c r="R77" s="349"/>
      <c r="S77" s="349"/>
      <c r="T77" s="354"/>
      <c r="U77" s="43"/>
      <c r="V77" s="43"/>
      <c r="W77" s="43"/>
      <c r="X77" s="43"/>
      <c r="Y77" s="43"/>
      <c r="Z77" s="43"/>
      <c r="AA77" s="43"/>
      <c r="AB77" s="43"/>
      <c r="AC77" s="43"/>
      <c r="AD77" s="215"/>
    </row>
    <row r="78" spans="1:30" x14ac:dyDescent="0.2">
      <c r="A78" s="514" t="s">
        <v>431</v>
      </c>
      <c r="B78" s="514"/>
      <c r="C78" s="181">
        <f>C77/F22</f>
        <v>3.0838821397590359</v>
      </c>
      <c r="D78" s="784" t="s">
        <v>543</v>
      </c>
      <c r="K78" s="774" t="s">
        <v>430</v>
      </c>
      <c r="L78" s="513"/>
      <c r="M78" s="349">
        <f t="shared" ref="M78:S78" si="10">M70*M60</f>
        <v>87750</v>
      </c>
      <c r="N78" s="349">
        <f t="shared" si="10"/>
        <v>5594.0625</v>
      </c>
      <c r="O78" s="349">
        <f t="shared" si="10"/>
        <v>2742.1875</v>
      </c>
      <c r="P78" s="349">
        <f t="shared" si="10"/>
        <v>1203.93</v>
      </c>
      <c r="Q78" s="349">
        <f t="shared" si="10"/>
        <v>10530</v>
      </c>
      <c r="R78" s="349">
        <f t="shared" si="10"/>
        <v>10968.75</v>
      </c>
      <c r="S78" s="349">
        <f t="shared" si="10"/>
        <v>877.5</v>
      </c>
      <c r="T78" s="354">
        <f>SUM(M78:S79)</f>
        <v>119666.43</v>
      </c>
      <c r="U78" s="43"/>
      <c r="V78" s="43"/>
      <c r="W78" s="43"/>
      <c r="X78" s="43"/>
      <c r="Y78" s="43"/>
      <c r="Z78" s="43"/>
      <c r="AA78" s="43"/>
      <c r="AB78" s="43"/>
      <c r="AC78" s="43"/>
      <c r="AD78" s="215"/>
    </row>
    <row r="79" spans="1:30" ht="13.5" thickBot="1" x14ac:dyDescent="0.25">
      <c r="A79" s="514" t="s">
        <v>429</v>
      </c>
      <c r="B79" s="514"/>
      <c r="C79" s="245">
        <f>C78*(F26/2)</f>
        <v>3849.7197150786901</v>
      </c>
      <c r="D79" s="179"/>
      <c r="E79" s="167"/>
      <c r="F79" s="167"/>
      <c r="G79" s="167"/>
      <c r="H79" s="167"/>
      <c r="I79" s="167"/>
      <c r="J79" s="167"/>
      <c r="K79" s="775"/>
      <c r="L79" s="760"/>
      <c r="M79" s="350"/>
      <c r="N79" s="350"/>
      <c r="O79" s="350"/>
      <c r="P79" s="350"/>
      <c r="Q79" s="350"/>
      <c r="R79" s="350"/>
      <c r="S79" s="350"/>
      <c r="T79" s="355"/>
      <c r="U79" s="43"/>
      <c r="V79" s="43"/>
      <c r="W79" s="43"/>
      <c r="X79" s="43"/>
      <c r="Y79" s="43"/>
      <c r="Z79" s="43"/>
      <c r="AA79" s="43"/>
      <c r="AB79" s="43"/>
      <c r="AC79" s="43"/>
      <c r="AD79" s="215"/>
    </row>
    <row r="80" spans="1:30" ht="13.5" thickBot="1" x14ac:dyDescent="0.25">
      <c r="A80" s="178"/>
      <c r="B80" s="177"/>
      <c r="C80" s="177"/>
      <c r="D80" s="177"/>
      <c r="E80" s="177"/>
      <c r="F80" s="177"/>
      <c r="G80" s="177"/>
      <c r="H80" s="177"/>
      <c r="I80" s="177"/>
      <c r="J80" s="177"/>
      <c r="K80" s="217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8"/>
    </row>
    <row r="81" spans="1:22" ht="13.5" thickBot="1" x14ac:dyDescent="0.25">
      <c r="A81" s="170" t="s">
        <v>428</v>
      </c>
      <c r="K81" s="216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215"/>
    </row>
    <row r="82" spans="1:22" x14ac:dyDescent="0.2">
      <c r="A82" s="158" t="s">
        <v>427</v>
      </c>
      <c r="B82" s="156"/>
      <c r="C82" s="156"/>
      <c r="E82" s="788" t="s">
        <v>557</v>
      </c>
      <c r="F82" s="788"/>
      <c r="G82" s="176">
        <v>200000</v>
      </c>
      <c r="H82" s="210" t="s">
        <v>558</v>
      </c>
      <c r="K82" s="594" t="s">
        <v>426</v>
      </c>
      <c r="L82" s="595"/>
      <c r="M82" s="43"/>
      <c r="N82" s="43"/>
      <c r="O82" s="43"/>
      <c r="P82" s="43"/>
      <c r="Q82" s="43"/>
      <c r="R82" s="43"/>
      <c r="S82" s="43"/>
      <c r="T82" s="43"/>
      <c r="U82" s="43"/>
      <c r="V82" s="215"/>
    </row>
    <row r="83" spans="1:22" ht="13.5" thickBot="1" x14ac:dyDescent="0.25">
      <c r="A83" s="169"/>
      <c r="K83" s="811" t="s">
        <v>425</v>
      </c>
      <c r="L83" s="812"/>
      <c r="M83" s="813"/>
      <c r="N83" s="43"/>
      <c r="O83" s="43"/>
      <c r="P83" s="43"/>
      <c r="Q83" s="43"/>
      <c r="R83" s="43"/>
      <c r="S83" s="43"/>
      <c r="T83" s="43"/>
      <c r="U83" s="43"/>
      <c r="V83" s="215"/>
    </row>
    <row r="84" spans="1:22" ht="13.5" customHeight="1" thickBot="1" x14ac:dyDescent="0.25">
      <c r="A84" s="789" t="s">
        <v>424</v>
      </c>
      <c r="B84" s="790"/>
      <c r="C84" s="799">
        <v>8.0000000000000002E-3</v>
      </c>
      <c r="D84" s="369" t="s">
        <v>422</v>
      </c>
      <c r="E84" s="794"/>
      <c r="F84" s="573" t="s">
        <v>421</v>
      </c>
      <c r="G84" s="573"/>
      <c r="H84" s="805">
        <v>0.9</v>
      </c>
      <c r="K84" s="216"/>
      <c r="L84" s="43"/>
      <c r="M84" s="43"/>
      <c r="N84" s="43"/>
      <c r="O84" s="43"/>
      <c r="P84" s="43"/>
      <c r="Q84" s="43"/>
      <c r="R84" s="43"/>
      <c r="S84" s="212"/>
      <c r="T84" s="212"/>
      <c r="U84" s="212"/>
      <c r="V84" s="215"/>
    </row>
    <row r="85" spans="1:22" x14ac:dyDescent="0.2">
      <c r="A85" s="791"/>
      <c r="B85" s="788"/>
      <c r="C85" s="800"/>
      <c r="D85" s="366"/>
      <c r="E85" s="380"/>
      <c r="F85" s="562"/>
      <c r="G85" s="562"/>
      <c r="H85" s="795"/>
      <c r="K85" s="761" t="s">
        <v>416</v>
      </c>
      <c r="L85" s="762"/>
      <c r="M85" s="763"/>
      <c r="N85" s="43"/>
      <c r="O85" s="764" t="s">
        <v>48</v>
      </c>
      <c r="P85" s="765"/>
      <c r="Q85" s="766"/>
      <c r="R85" s="43"/>
      <c r="S85" s="43"/>
      <c r="T85" s="43"/>
      <c r="U85" s="43"/>
      <c r="V85" s="215"/>
    </row>
    <row r="86" spans="1:22" ht="12.75" customHeight="1" x14ac:dyDescent="0.2">
      <c r="A86" s="791" t="s">
        <v>423</v>
      </c>
      <c r="B86" s="788"/>
      <c r="C86" s="801">
        <v>0.01</v>
      </c>
      <c r="D86" s="366" t="s">
        <v>422</v>
      </c>
      <c r="E86" s="380"/>
      <c r="F86" s="562" t="s">
        <v>421</v>
      </c>
      <c r="G86" s="562"/>
      <c r="H86" s="795">
        <v>0.9</v>
      </c>
      <c r="K86" s="656" t="s">
        <v>405</v>
      </c>
      <c r="L86" s="656"/>
      <c r="M86" s="227">
        <f>M97*O97+M98*O98+S98</f>
        <v>271372.83999999997</v>
      </c>
      <c r="N86" s="43"/>
      <c r="O86" s="767" t="s">
        <v>405</v>
      </c>
      <c r="P86" s="501"/>
      <c r="Q86" s="228">
        <f>M86*U86</f>
        <v>257804.19799999995</v>
      </c>
      <c r="R86" s="361" t="s">
        <v>584</v>
      </c>
      <c r="S86" s="361"/>
      <c r="T86" s="361"/>
      <c r="U86" s="226">
        <v>0.95</v>
      </c>
      <c r="V86" s="215" t="s">
        <v>583</v>
      </c>
    </row>
    <row r="87" spans="1:22" x14ac:dyDescent="0.2">
      <c r="A87" s="791"/>
      <c r="B87" s="788"/>
      <c r="C87" s="801"/>
      <c r="D87" s="366"/>
      <c r="E87" s="380"/>
      <c r="F87" s="562"/>
      <c r="G87" s="562"/>
      <c r="H87" s="795"/>
      <c r="K87" s="561" t="s">
        <v>435</v>
      </c>
      <c r="L87" s="561"/>
      <c r="M87" s="224">
        <f>M86/B22</f>
        <v>0.4522880666666666</v>
      </c>
      <c r="N87" s="43"/>
      <c r="O87" s="768" t="s">
        <v>404</v>
      </c>
      <c r="P87" s="503"/>
      <c r="Q87" s="228">
        <f>F26*M87/2</f>
        <v>564.60727363515309</v>
      </c>
      <c r="R87" s="43"/>
      <c r="S87" s="43"/>
      <c r="T87" s="43"/>
      <c r="U87" s="43"/>
      <c r="V87" s="215"/>
    </row>
    <row r="88" spans="1:22" ht="12.75" customHeight="1" thickBot="1" x14ac:dyDescent="0.25">
      <c r="A88" s="791" t="s">
        <v>420</v>
      </c>
      <c r="B88" s="788"/>
      <c r="C88" s="802">
        <v>0.03</v>
      </c>
      <c r="D88" s="342" t="s">
        <v>419</v>
      </c>
      <c r="E88" s="797"/>
      <c r="F88" s="562" t="s">
        <v>555</v>
      </c>
      <c r="G88" s="562"/>
      <c r="H88" s="795">
        <v>0.5</v>
      </c>
      <c r="K88" s="577" t="s">
        <v>582</v>
      </c>
      <c r="L88" s="577"/>
      <c r="M88" s="231">
        <f>F26*M87/2</f>
        <v>564.60727363515309</v>
      </c>
      <c r="N88" s="43"/>
      <c r="O88" s="769" t="s">
        <v>418</v>
      </c>
      <c r="P88" s="514"/>
      <c r="Q88" s="229">
        <f>M87*F22</f>
        <v>234624.43458333329</v>
      </c>
      <c r="R88" s="43"/>
      <c r="S88" s="43"/>
      <c r="T88" s="43"/>
      <c r="U88" s="43"/>
      <c r="V88" s="215"/>
    </row>
    <row r="89" spans="1:22" ht="13.5" thickBot="1" x14ac:dyDescent="0.25">
      <c r="A89" s="791"/>
      <c r="B89" s="788"/>
      <c r="C89" s="802"/>
      <c r="D89" s="343"/>
      <c r="E89" s="798"/>
      <c r="F89" s="562"/>
      <c r="G89" s="562"/>
      <c r="H89" s="796"/>
      <c r="K89" s="216"/>
      <c r="L89" s="43"/>
      <c r="M89" s="43"/>
      <c r="N89" s="43"/>
      <c r="O89" s="770" t="s">
        <v>417</v>
      </c>
      <c r="P89" s="771"/>
      <c r="Q89" s="230">
        <f>Q86-Q87-Q88</f>
        <v>22615.156143031491</v>
      </c>
      <c r="R89" s="43"/>
      <c r="S89" s="43"/>
      <c r="T89" s="43"/>
      <c r="U89" s="43"/>
      <c r="V89" s="215"/>
    </row>
    <row r="90" spans="1:22" ht="13.5" thickBot="1" x14ac:dyDescent="0.25">
      <c r="A90" s="792"/>
      <c r="B90" s="793"/>
      <c r="C90" s="803"/>
      <c r="D90" s="343"/>
      <c r="E90" s="798"/>
      <c r="F90" s="562"/>
      <c r="G90" s="562"/>
      <c r="H90" s="796"/>
      <c r="K90" s="216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215"/>
    </row>
    <row r="91" spans="1:22" ht="13.5" customHeight="1" thickBot="1" x14ac:dyDescent="0.25">
      <c r="A91" s="169"/>
      <c r="D91" s="343"/>
      <c r="E91" s="798"/>
      <c r="F91" s="562" t="s">
        <v>554</v>
      </c>
      <c r="G91" s="562"/>
      <c r="H91" s="795">
        <v>1</v>
      </c>
      <c r="K91" s="216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215"/>
    </row>
    <row r="92" spans="1:22" ht="13.5" thickBot="1" x14ac:dyDescent="0.25">
      <c r="A92" s="164" t="s">
        <v>416</v>
      </c>
      <c r="D92" s="343"/>
      <c r="E92" s="798"/>
      <c r="F92" s="562"/>
      <c r="G92" s="562"/>
      <c r="H92" s="796"/>
      <c r="K92" s="216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215"/>
    </row>
    <row r="93" spans="1:22" ht="13.5" thickBot="1" x14ac:dyDescent="0.25">
      <c r="A93" s="814" t="s">
        <v>415</v>
      </c>
      <c r="B93" s="596"/>
      <c r="C93" s="804">
        <f>'E-Inv AF y Am'!B7*C84*H84</f>
        <v>10080</v>
      </c>
      <c r="D93" s="806"/>
      <c r="E93" s="807"/>
      <c r="F93" s="578"/>
      <c r="G93" s="578"/>
      <c r="H93" s="808"/>
      <c r="K93" s="216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215"/>
    </row>
    <row r="94" spans="1:22" x14ac:dyDescent="0.2">
      <c r="A94" s="815" t="s">
        <v>414</v>
      </c>
      <c r="B94" s="599"/>
      <c r="C94" s="175">
        <f>'E-Inv AF y Am'!B7*C86*H86</f>
        <v>12600</v>
      </c>
      <c r="K94" s="216"/>
      <c r="L94" s="810" t="s">
        <v>581</v>
      </c>
      <c r="M94" s="810"/>
      <c r="N94" s="810"/>
      <c r="O94" s="810"/>
      <c r="P94" s="43"/>
      <c r="Q94" s="43"/>
      <c r="R94" s="43"/>
      <c r="S94" s="43"/>
      <c r="T94" s="43"/>
      <c r="U94" s="43"/>
      <c r="V94" s="215"/>
    </row>
    <row r="95" spans="1:22" x14ac:dyDescent="0.2">
      <c r="A95" s="816" t="s">
        <v>413</v>
      </c>
      <c r="B95" s="817"/>
      <c r="C95" s="175">
        <f>G82*C88*H88</f>
        <v>3000</v>
      </c>
      <c r="K95" s="216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215"/>
    </row>
    <row r="96" spans="1:22" ht="12.75" customHeight="1" x14ac:dyDescent="0.2">
      <c r="A96" s="815" t="s">
        <v>405</v>
      </c>
      <c r="B96" s="599"/>
      <c r="C96" s="163">
        <f>SUM(C93:C95)</f>
        <v>25680</v>
      </c>
      <c r="F96" s="517" t="s">
        <v>773</v>
      </c>
      <c r="G96" s="517"/>
      <c r="H96" s="517"/>
      <c r="K96" s="216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215"/>
    </row>
    <row r="97" spans="1:22" x14ac:dyDescent="0.2">
      <c r="A97" s="815" t="s">
        <v>412</v>
      </c>
      <c r="B97" s="599"/>
      <c r="C97" s="175">
        <f>C96/B22</f>
        <v>4.2799999999999998E-2</v>
      </c>
      <c r="F97" s="517"/>
      <c r="G97" s="517"/>
      <c r="H97" s="517"/>
      <c r="K97" s="216"/>
      <c r="L97" s="655" t="s">
        <v>574</v>
      </c>
      <c r="M97" s="222">
        <v>10000</v>
      </c>
      <c r="N97" s="222" t="s">
        <v>575</v>
      </c>
      <c r="O97" s="222">
        <v>19</v>
      </c>
      <c r="P97" s="222" t="s">
        <v>577</v>
      </c>
      <c r="Q97" s="351"/>
      <c r="R97" s="353"/>
      <c r="S97" s="352"/>
      <c r="T97" s="43"/>
      <c r="U97" s="43"/>
      <c r="V97" s="215"/>
    </row>
    <row r="98" spans="1:22" ht="13.5" thickBot="1" x14ac:dyDescent="0.25">
      <c r="A98" s="602" t="s">
        <v>411</v>
      </c>
      <c r="B98" s="600"/>
      <c r="C98" s="174">
        <f>(C97*F26)/2</f>
        <v>53.428761651131822</v>
      </c>
      <c r="F98" s="517"/>
      <c r="G98" s="517"/>
      <c r="H98" s="517"/>
      <c r="K98" s="216"/>
      <c r="L98" s="655" t="s">
        <v>633</v>
      </c>
      <c r="M98" s="222">
        <v>5000</v>
      </c>
      <c r="N98" s="222" t="s">
        <v>576</v>
      </c>
      <c r="O98" s="222">
        <v>0.117768</v>
      </c>
      <c r="P98" s="222" t="s">
        <v>579</v>
      </c>
      <c r="Q98" s="351" t="s">
        <v>580</v>
      </c>
      <c r="R98" s="352"/>
      <c r="S98" s="223">
        <f>6732*12</f>
        <v>80784</v>
      </c>
      <c r="T98" s="43" t="s">
        <v>578</v>
      </c>
      <c r="U98" s="43" t="s">
        <v>536</v>
      </c>
      <c r="V98" s="215"/>
    </row>
    <row r="99" spans="1:22" ht="13.5" customHeight="1" thickBot="1" x14ac:dyDescent="0.25">
      <c r="A99" s="169"/>
      <c r="F99" s="344" t="s">
        <v>556</v>
      </c>
      <c r="G99" s="344"/>
      <c r="H99" s="344"/>
      <c r="I99" s="344"/>
      <c r="K99" s="216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215"/>
    </row>
    <row r="100" spans="1:22" ht="13.5" thickBot="1" x14ac:dyDescent="0.25">
      <c r="A100" s="164" t="s">
        <v>48</v>
      </c>
      <c r="F100" s="344"/>
      <c r="G100" s="344"/>
      <c r="H100" s="344"/>
      <c r="I100" s="344"/>
      <c r="K100" s="216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215"/>
    </row>
    <row r="101" spans="1:22" x14ac:dyDescent="0.2">
      <c r="A101" s="601" t="s">
        <v>405</v>
      </c>
      <c r="B101" s="597"/>
      <c r="C101" s="173">
        <f>C96</f>
        <v>25680</v>
      </c>
      <c r="F101" s="344"/>
      <c r="G101" s="344"/>
      <c r="H101" s="344"/>
      <c r="I101" s="344"/>
      <c r="K101" s="216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215"/>
    </row>
    <row r="102" spans="1:22" x14ac:dyDescent="0.2">
      <c r="A102" s="815" t="s">
        <v>412</v>
      </c>
      <c r="B102" s="599"/>
      <c r="C102" s="172">
        <f>C101/F22</f>
        <v>4.9503614457831323E-2</v>
      </c>
      <c r="F102" s="344"/>
      <c r="G102" s="344"/>
      <c r="H102" s="344"/>
      <c r="I102" s="344"/>
      <c r="K102" s="216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215"/>
    </row>
    <row r="103" spans="1:22" ht="13.5" thickBot="1" x14ac:dyDescent="0.25">
      <c r="A103" s="602" t="s">
        <v>411</v>
      </c>
      <c r="B103" s="600"/>
      <c r="C103" s="171">
        <f>(C102*F26)/2</f>
        <v>61.797121909742835</v>
      </c>
      <c r="F103" s="344"/>
      <c r="G103" s="344"/>
      <c r="H103" s="344"/>
      <c r="I103" s="344"/>
      <c r="K103" s="216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215"/>
    </row>
    <row r="104" spans="1:22" x14ac:dyDescent="0.2">
      <c r="A104" s="168"/>
      <c r="B104" s="167"/>
      <c r="C104" s="167"/>
      <c r="D104" s="167"/>
      <c r="E104" s="167"/>
      <c r="F104" s="345"/>
      <c r="G104" s="345"/>
      <c r="H104" s="345"/>
      <c r="I104" s="345"/>
      <c r="J104" s="167"/>
      <c r="K104" s="216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215"/>
    </row>
    <row r="105" spans="1:22" ht="13.5" thickBot="1" x14ac:dyDescent="0.25">
      <c r="A105" s="274"/>
      <c r="B105" s="274"/>
      <c r="C105" s="274"/>
      <c r="D105" s="274"/>
      <c r="E105" s="274"/>
      <c r="F105" s="274"/>
      <c r="G105" s="274"/>
      <c r="H105" s="274"/>
      <c r="I105" s="274"/>
      <c r="J105" s="274"/>
      <c r="K105" s="295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215"/>
    </row>
    <row r="106" spans="1:22" ht="13.5" customHeight="1" thickBot="1" x14ac:dyDescent="0.25">
      <c r="A106" s="821" t="s">
        <v>410</v>
      </c>
      <c r="B106" s="822"/>
      <c r="C106" s="275"/>
      <c r="D106" s="275"/>
      <c r="E106" s="837" t="s">
        <v>409</v>
      </c>
      <c r="F106" s="837"/>
      <c r="G106" s="837"/>
      <c r="H106" s="275"/>
      <c r="I106" s="275"/>
      <c r="J106" s="275"/>
      <c r="K106" s="296"/>
      <c r="L106" s="297"/>
      <c r="M106" s="43"/>
      <c r="N106" s="43"/>
      <c r="O106" s="43"/>
      <c r="P106" s="43"/>
      <c r="Q106" s="43"/>
      <c r="R106" s="43"/>
      <c r="S106" s="43"/>
      <c r="T106" s="43"/>
      <c r="U106" s="43"/>
      <c r="V106" s="215"/>
    </row>
    <row r="107" spans="1:22" x14ac:dyDescent="0.2">
      <c r="A107" s="819" t="s">
        <v>408</v>
      </c>
      <c r="B107" s="820"/>
      <c r="C107" s="818"/>
      <c r="D107" s="275"/>
      <c r="E107" s="837"/>
      <c r="F107" s="837"/>
      <c r="G107" s="837"/>
      <c r="H107" s="275"/>
      <c r="I107" s="275"/>
      <c r="J107" s="275"/>
      <c r="K107" s="298"/>
      <c r="L107" s="299"/>
      <c r="M107" s="211"/>
      <c r="N107" s="211"/>
      <c r="O107" s="211"/>
      <c r="P107" s="211"/>
      <c r="Q107" s="211"/>
      <c r="R107" s="211"/>
      <c r="S107" s="211"/>
      <c r="T107" s="211"/>
      <c r="U107" s="211"/>
      <c r="V107" s="218"/>
    </row>
    <row r="108" spans="1:22" ht="13.5" thickBot="1" x14ac:dyDescent="0.25">
      <c r="A108" s="275"/>
      <c r="B108" s="275"/>
      <c r="C108" s="275"/>
      <c r="D108" s="275"/>
      <c r="E108" s="275"/>
      <c r="F108" s="275"/>
      <c r="G108" s="275"/>
      <c r="H108" s="275"/>
      <c r="I108" s="275"/>
      <c r="J108" s="275"/>
      <c r="K108" s="275"/>
      <c r="L108" s="300"/>
    </row>
    <row r="109" spans="1:22" x14ac:dyDescent="0.2">
      <c r="A109" s="301" t="s">
        <v>407</v>
      </c>
      <c r="B109" s="275"/>
      <c r="C109" s="275"/>
      <c r="D109" s="275"/>
      <c r="E109" s="301" t="s">
        <v>406</v>
      </c>
      <c r="F109" s="275"/>
      <c r="G109" s="275"/>
      <c r="H109" s="275"/>
      <c r="I109" s="301" t="s">
        <v>48</v>
      </c>
      <c r="J109" s="275"/>
      <c r="K109" s="275"/>
      <c r="L109" s="300"/>
    </row>
    <row r="110" spans="1:22" x14ac:dyDescent="0.2">
      <c r="A110" s="823" t="s">
        <v>405</v>
      </c>
      <c r="B110" s="823"/>
      <c r="C110" s="828">
        <f>SUM(D132:D135)</f>
        <v>325904.62935787498</v>
      </c>
      <c r="D110" s="275"/>
      <c r="E110" s="823" t="s">
        <v>405</v>
      </c>
      <c r="F110" s="823"/>
      <c r="G110" s="828">
        <f>SUM(C132:C135)</f>
        <v>325855.37301787501</v>
      </c>
      <c r="H110" s="275"/>
      <c r="I110" s="823" t="s">
        <v>405</v>
      </c>
      <c r="J110" s="823"/>
      <c r="K110" s="828">
        <f>SUM(B132:B135)</f>
        <v>293269.83571608749</v>
      </c>
      <c r="L110" s="300"/>
    </row>
    <row r="111" spans="1:22" x14ac:dyDescent="0.2">
      <c r="A111" s="823" t="s">
        <v>404</v>
      </c>
      <c r="B111" s="823"/>
      <c r="C111" s="828">
        <f>C112*F26/2</f>
        <v>678.06389263872131</v>
      </c>
      <c r="D111" s="275"/>
      <c r="E111" s="825" t="s">
        <v>404</v>
      </c>
      <c r="F111" s="825"/>
      <c r="G111" s="828">
        <f>G112*F26/2</f>
        <v>677.96141190470007</v>
      </c>
      <c r="H111" s="275"/>
      <c r="I111" s="825" t="s">
        <v>404</v>
      </c>
      <c r="J111" s="825"/>
      <c r="K111" s="828">
        <f>G112*F26/2</f>
        <v>677.96141190470007</v>
      </c>
      <c r="L111" s="300"/>
    </row>
    <row r="112" spans="1:22" ht="12.75" customHeight="1" x14ac:dyDescent="0.2">
      <c r="A112" s="823" t="s">
        <v>435</v>
      </c>
      <c r="B112" s="823"/>
      <c r="C112" s="827">
        <f>C110/B22</f>
        <v>0.54317438226312498</v>
      </c>
      <c r="D112" s="275"/>
      <c r="E112" s="823" t="s">
        <v>435</v>
      </c>
      <c r="F112" s="823"/>
      <c r="G112" s="830">
        <f>G110/B22</f>
        <v>0.54309228836312506</v>
      </c>
      <c r="H112" s="275"/>
      <c r="I112" s="826" t="s">
        <v>403</v>
      </c>
      <c r="J112" s="826"/>
      <c r="K112" s="831">
        <f>G112*F22</f>
        <v>281729.12458837114</v>
      </c>
      <c r="L112" s="300"/>
    </row>
    <row r="113" spans="1:12" x14ac:dyDescent="0.2">
      <c r="A113" s="833" t="s">
        <v>758</v>
      </c>
      <c r="B113" s="834"/>
      <c r="C113" s="829">
        <f>6/12*C110</f>
        <v>162952.31467893749</v>
      </c>
      <c r="D113" s="275"/>
      <c r="E113" s="833" t="s">
        <v>758</v>
      </c>
      <c r="F113" s="834"/>
      <c r="G113" s="829">
        <f>6/12*G110</f>
        <v>162927.68650893751</v>
      </c>
      <c r="H113" s="275"/>
      <c r="I113" s="826"/>
      <c r="J113" s="826"/>
      <c r="K113" s="831"/>
      <c r="L113" s="300"/>
    </row>
    <row r="114" spans="1:12" ht="12.75" customHeight="1" x14ac:dyDescent="0.2">
      <c r="A114" s="275"/>
      <c r="B114" s="275"/>
      <c r="C114" s="275"/>
      <c r="D114" s="275"/>
      <c r="E114" s="275"/>
      <c r="F114" s="275"/>
      <c r="G114" s="275"/>
      <c r="H114" s="275"/>
      <c r="I114" s="826" t="s">
        <v>402</v>
      </c>
      <c r="J114" s="826"/>
      <c r="K114" s="831">
        <f>K110-K111-K112</f>
        <v>10862.749715811631</v>
      </c>
      <c r="L114" s="300"/>
    </row>
    <row r="115" spans="1:12" x14ac:dyDescent="0.2">
      <c r="A115" s="275"/>
      <c r="B115" s="275"/>
      <c r="C115" s="275"/>
      <c r="D115" s="275"/>
      <c r="E115" s="275"/>
      <c r="F115" s="275"/>
      <c r="G115" s="275"/>
      <c r="H115" s="275"/>
      <c r="I115" s="826"/>
      <c r="J115" s="826"/>
      <c r="K115" s="831"/>
      <c r="L115" s="300"/>
    </row>
    <row r="116" spans="1:12" x14ac:dyDescent="0.2">
      <c r="A116" s="275"/>
      <c r="B116" s="275"/>
      <c r="C116" s="275"/>
      <c r="D116" s="275"/>
      <c r="E116" s="275"/>
      <c r="F116" s="275"/>
      <c r="G116" s="275"/>
      <c r="H116" s="275"/>
      <c r="I116" s="833" t="s">
        <v>758</v>
      </c>
      <c r="J116" s="834"/>
      <c r="K116" s="829">
        <f>K110*6/12</f>
        <v>146634.91785804374</v>
      </c>
      <c r="L116" s="300"/>
    </row>
    <row r="117" spans="1:12" x14ac:dyDescent="0.2">
      <c r="A117" s="838" t="s">
        <v>726</v>
      </c>
      <c r="B117" s="838"/>
      <c r="C117" s="838"/>
      <c r="D117" s="275"/>
      <c r="E117" s="275"/>
      <c r="F117" s="275"/>
      <c r="G117" s="275"/>
      <c r="H117" s="275"/>
      <c r="I117" s="275"/>
      <c r="J117" s="275"/>
      <c r="K117" s="275"/>
      <c r="L117" s="300"/>
    </row>
    <row r="118" spans="1:12" x14ac:dyDescent="0.2">
      <c r="A118" s="275"/>
      <c r="B118" s="275"/>
      <c r="C118" s="275"/>
      <c r="D118" s="275"/>
      <c r="E118" s="275"/>
      <c r="F118" s="275"/>
      <c r="G118" s="275"/>
      <c r="H118" s="275"/>
      <c r="I118" s="275"/>
      <c r="J118" s="275"/>
      <c r="K118" s="275"/>
      <c r="L118" s="300"/>
    </row>
    <row r="119" spans="1:12" x14ac:dyDescent="0.2">
      <c r="A119" s="6" t="s">
        <v>456</v>
      </c>
      <c r="B119" s="835">
        <v>0.01</v>
      </c>
      <c r="C119" s="275" t="s">
        <v>727</v>
      </c>
      <c r="D119" s="275"/>
      <c r="E119" s="275"/>
      <c r="F119" s="275"/>
      <c r="G119" s="275"/>
      <c r="H119" s="275"/>
      <c r="I119" s="275"/>
      <c r="J119" s="275"/>
      <c r="K119" s="275"/>
      <c r="L119" s="300"/>
    </row>
    <row r="120" spans="1:12" x14ac:dyDescent="0.2">
      <c r="A120" s="275"/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  <c r="L120" s="300"/>
    </row>
    <row r="121" spans="1:12" x14ac:dyDescent="0.2">
      <c r="A121" s="6" t="s">
        <v>82</v>
      </c>
      <c r="B121" s="835">
        <v>1.6E-2</v>
      </c>
      <c r="C121" s="275" t="s">
        <v>728</v>
      </c>
      <c r="D121" s="275"/>
      <c r="E121" s="275"/>
      <c r="F121" s="275"/>
      <c r="G121" s="275"/>
      <c r="H121" s="275"/>
      <c r="I121" s="275"/>
      <c r="J121" s="275"/>
      <c r="K121" s="275"/>
      <c r="L121" s="300"/>
    </row>
    <row r="122" spans="1:12" x14ac:dyDescent="0.2">
      <c r="A122" s="275"/>
      <c r="B122" s="275"/>
      <c r="C122" s="275"/>
      <c r="D122" s="275"/>
      <c r="E122" s="275"/>
      <c r="F122" s="275"/>
      <c r="G122" s="275"/>
      <c r="H122" s="275"/>
      <c r="I122" s="275"/>
      <c r="J122" s="275"/>
      <c r="K122" s="275"/>
      <c r="L122" s="300"/>
    </row>
    <row r="123" spans="1:12" x14ac:dyDescent="0.2">
      <c r="A123" s="6" t="s">
        <v>526</v>
      </c>
      <c r="B123" s="835">
        <v>1.4999999999999999E-2</v>
      </c>
      <c r="C123" s="275" t="s">
        <v>729</v>
      </c>
      <c r="D123" s="275"/>
      <c r="E123" s="275"/>
      <c r="F123" s="275"/>
      <c r="G123" s="275"/>
      <c r="H123" s="275"/>
      <c r="I123" s="275"/>
      <c r="J123" s="275"/>
      <c r="K123" s="275"/>
      <c r="L123" s="300"/>
    </row>
    <row r="124" spans="1:12" x14ac:dyDescent="0.2">
      <c r="A124" s="275"/>
      <c r="B124" s="275"/>
      <c r="C124" s="275"/>
      <c r="D124" s="275"/>
      <c r="E124" s="275"/>
      <c r="F124" s="275"/>
      <c r="G124" s="275"/>
      <c r="H124" s="275"/>
      <c r="I124" s="275"/>
      <c r="J124" s="275"/>
      <c r="K124" s="275"/>
      <c r="L124" s="300"/>
    </row>
    <row r="125" spans="1:12" x14ac:dyDescent="0.2">
      <c r="A125" s="6" t="s">
        <v>120</v>
      </c>
      <c r="B125" s="835">
        <v>0.03</v>
      </c>
      <c r="C125" s="275" t="s">
        <v>730</v>
      </c>
      <c r="D125" s="275"/>
      <c r="E125" s="275"/>
      <c r="F125" s="275"/>
      <c r="G125" s="275"/>
      <c r="H125" s="275"/>
      <c r="I125" s="275"/>
      <c r="J125" s="275"/>
      <c r="K125" s="275"/>
      <c r="L125" s="300"/>
    </row>
    <row r="126" spans="1:12" x14ac:dyDescent="0.2">
      <c r="A126" s="275"/>
      <c r="B126" s="275"/>
      <c r="C126" s="275"/>
      <c r="D126" s="275"/>
      <c r="E126" s="275"/>
      <c r="F126" s="275"/>
      <c r="G126" s="275"/>
      <c r="H126" s="275"/>
      <c r="I126" s="275"/>
      <c r="J126" s="275"/>
      <c r="K126" s="275"/>
      <c r="L126" s="300"/>
    </row>
    <row r="127" spans="1:12" x14ac:dyDescent="0.2">
      <c r="A127" s="841" t="s">
        <v>731</v>
      </c>
      <c r="B127" s="841"/>
      <c r="C127" s="841"/>
      <c r="D127" s="836">
        <v>0.1</v>
      </c>
      <c r="E127" s="275" t="s">
        <v>732</v>
      </c>
      <c r="F127" s="275"/>
      <c r="G127" s="275"/>
      <c r="H127" s="275"/>
      <c r="I127" s="275"/>
      <c r="J127" s="275"/>
      <c r="K127" s="275"/>
      <c r="L127" s="300"/>
    </row>
    <row r="128" spans="1:12" x14ac:dyDescent="0.2">
      <c r="A128" s="275"/>
      <c r="B128" s="275"/>
      <c r="C128" s="275"/>
      <c r="D128" s="275"/>
      <c r="E128" s="275"/>
      <c r="F128" s="275"/>
      <c r="G128" s="275"/>
      <c r="H128" s="275"/>
      <c r="I128" s="275"/>
      <c r="J128" s="275"/>
      <c r="K128" s="275"/>
      <c r="L128" s="300"/>
    </row>
    <row r="129" spans="1:12" x14ac:dyDescent="0.2">
      <c r="A129" s="5" t="s">
        <v>733</v>
      </c>
      <c r="B129" s="836">
        <v>0.9</v>
      </c>
      <c r="C129" s="275" t="s">
        <v>89</v>
      </c>
      <c r="D129" s="275"/>
      <c r="E129" s="275"/>
      <c r="F129" s="275"/>
      <c r="G129" s="275"/>
      <c r="H129" s="275"/>
      <c r="I129" s="275"/>
      <c r="J129" s="275"/>
      <c r="K129" s="275"/>
      <c r="L129" s="300"/>
    </row>
    <row r="130" spans="1:12" x14ac:dyDescent="0.2">
      <c r="A130" s="275"/>
      <c r="B130" s="275"/>
      <c r="C130" s="275"/>
      <c r="D130" s="275"/>
      <c r="E130" s="275"/>
      <c r="F130" s="275"/>
      <c r="G130" s="275"/>
      <c r="H130" s="275"/>
      <c r="I130" s="275"/>
      <c r="J130" s="275"/>
      <c r="K130" s="275"/>
      <c r="L130" s="300"/>
    </row>
    <row r="131" spans="1:12" x14ac:dyDescent="0.2">
      <c r="A131" s="832"/>
      <c r="B131" s="832" t="s">
        <v>48</v>
      </c>
      <c r="C131" s="832" t="s">
        <v>406</v>
      </c>
      <c r="D131" s="832" t="s">
        <v>407</v>
      </c>
      <c r="E131" s="275"/>
      <c r="F131" s="275"/>
      <c r="G131" s="275"/>
      <c r="H131" s="275"/>
      <c r="I131" s="275"/>
      <c r="J131" s="275"/>
      <c r="K131" s="275"/>
      <c r="L131" s="300"/>
    </row>
    <row r="132" spans="1:12" x14ac:dyDescent="0.2">
      <c r="A132" s="832" t="s">
        <v>456</v>
      </c>
      <c r="B132" s="839">
        <f>C132*$B$129</f>
        <v>88729.976536087503</v>
      </c>
      <c r="C132" s="840">
        <f>('E-Inv AF y Am'!B20-'E-Inv AF y Am'!B11+'E-Inv AF y Am'!L12)*PRODUCCION!B129*PRODUCCION!B119</f>
        <v>98588.862817874993</v>
      </c>
      <c r="D132" s="840">
        <f>('E-Inv AF y Am'!B20-'E-Inv AF y Am'!B11+'E-Inv AF y Am'!L12)*PRODUCCION!B129*PRODUCCION!B119</f>
        <v>98588.862817874993</v>
      </c>
      <c r="E132" s="275"/>
      <c r="F132" s="275"/>
      <c r="G132" s="275"/>
      <c r="H132" s="275"/>
      <c r="I132" s="275"/>
      <c r="J132" s="275"/>
      <c r="K132" s="275"/>
      <c r="L132" s="300"/>
    </row>
    <row r="133" spans="1:12" x14ac:dyDescent="0.2">
      <c r="A133" s="832" t="s">
        <v>82</v>
      </c>
      <c r="B133" s="839">
        <f>C133*$B$129</f>
        <v>443.30706000000038</v>
      </c>
      <c r="C133" s="840">
        <f>(('E-Inv AF y Am'!B11-'E-Inv AF y Am'!L12)*PRODUCCION!B121)</f>
        <v>492.5634000000004</v>
      </c>
      <c r="D133" s="840">
        <f>(('E-Inv AF y Am'!B11-'E-Inv AF y Am'!L12)*PRODUCCION!B121)*(1+D127)</f>
        <v>541.81974000000048</v>
      </c>
      <c r="E133" s="275"/>
      <c r="F133" s="275"/>
      <c r="G133" s="275"/>
      <c r="H133" s="275"/>
      <c r="I133" s="275"/>
      <c r="J133" s="275"/>
      <c r="K133" s="275"/>
      <c r="L133" s="300"/>
    </row>
    <row r="134" spans="1:12" x14ac:dyDescent="0.2">
      <c r="A134" s="832" t="s">
        <v>526</v>
      </c>
      <c r="B134" s="839">
        <f>C134*$B$129</f>
        <v>96054.556320000003</v>
      </c>
      <c r="C134" s="840">
        <f>T61*B123</f>
        <v>106727.28479999999</v>
      </c>
      <c r="D134" s="840">
        <f>T61*B123</f>
        <v>106727.28479999999</v>
      </c>
      <c r="E134" s="275"/>
      <c r="F134" s="275"/>
      <c r="G134" s="275"/>
      <c r="H134" s="275"/>
      <c r="I134" s="275"/>
      <c r="J134" s="275"/>
      <c r="K134" s="275"/>
      <c r="L134" s="300"/>
    </row>
    <row r="135" spans="1:12" x14ac:dyDescent="0.2">
      <c r="A135" s="832" t="s">
        <v>120</v>
      </c>
      <c r="B135" s="839">
        <f>C135*$B$129</f>
        <v>108041.9958</v>
      </c>
      <c r="C135" s="840">
        <f>B125*(B21+C72)</f>
        <v>120046.662</v>
      </c>
      <c r="D135" s="840">
        <f>B125*(C72+B21)</f>
        <v>120046.662</v>
      </c>
      <c r="E135" s="275"/>
      <c r="F135" s="275"/>
      <c r="G135" s="275"/>
      <c r="H135" s="275"/>
      <c r="I135" s="275"/>
      <c r="J135" s="275"/>
      <c r="K135" s="275"/>
      <c r="L135" s="300"/>
    </row>
    <row r="136" spans="1:12" x14ac:dyDescent="0.2">
      <c r="A136" s="275"/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300"/>
    </row>
    <row r="137" spans="1:12" x14ac:dyDescent="0.2">
      <c r="A137" s="275"/>
      <c r="B137" s="275"/>
      <c r="C137" s="275"/>
      <c r="D137" s="275"/>
      <c r="E137" s="275"/>
      <c r="F137" s="275"/>
      <c r="G137" s="275"/>
      <c r="H137" s="275"/>
      <c r="I137" s="275"/>
      <c r="J137" s="275"/>
      <c r="K137" s="275"/>
      <c r="L137" s="300"/>
    </row>
    <row r="138" spans="1:12" x14ac:dyDescent="0.2">
      <c r="A138" s="275"/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300"/>
    </row>
    <row r="139" spans="1:12" x14ac:dyDescent="0.2">
      <c r="A139" s="275"/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300"/>
    </row>
    <row r="140" spans="1:12" x14ac:dyDescent="0.2">
      <c r="A140" s="302"/>
      <c r="B140" s="302"/>
      <c r="C140" s="302"/>
      <c r="D140" s="302"/>
      <c r="E140" s="302"/>
      <c r="F140" s="302"/>
      <c r="G140" s="302"/>
      <c r="H140" s="302"/>
      <c r="I140" s="302"/>
      <c r="J140" s="302"/>
      <c r="K140" s="302"/>
      <c r="L140" s="303"/>
    </row>
  </sheetData>
  <mergeCells count="268">
    <mergeCell ref="A102:B102"/>
    <mergeCell ref="A103:B103"/>
    <mergeCell ref="A107:C107"/>
    <mergeCell ref="A106:B106"/>
    <mergeCell ref="I116:J116"/>
    <mergeCell ref="E113:F113"/>
    <mergeCell ref="A113:B113"/>
    <mergeCell ref="A127:C127"/>
    <mergeCell ref="A117:C117"/>
    <mergeCell ref="A72:B72"/>
    <mergeCell ref="A73:B73"/>
    <mergeCell ref="A74:B74"/>
    <mergeCell ref="D88:E93"/>
    <mergeCell ref="L94:O94"/>
    <mergeCell ref="A94:B94"/>
    <mergeCell ref="A95:B95"/>
    <mergeCell ref="A96:B96"/>
    <mergeCell ref="A101:B101"/>
    <mergeCell ref="A98:B98"/>
    <mergeCell ref="A97:B97"/>
    <mergeCell ref="K52:L52"/>
    <mergeCell ref="K53:L53"/>
    <mergeCell ref="X67:X68"/>
    <mergeCell ref="K55:L56"/>
    <mergeCell ref="K65:L65"/>
    <mergeCell ref="K82:L82"/>
    <mergeCell ref="K83:M83"/>
    <mergeCell ref="K85:M85"/>
    <mergeCell ref="O85:Q85"/>
    <mergeCell ref="P32:Q32"/>
    <mergeCell ref="A36:B36"/>
    <mergeCell ref="A37:C37"/>
    <mergeCell ref="K40:L40"/>
    <mergeCell ref="K46:L46"/>
    <mergeCell ref="K45:L45"/>
    <mergeCell ref="K44:L44"/>
    <mergeCell ref="K43:L43"/>
    <mergeCell ref="K37:L37"/>
    <mergeCell ref="K38:L38"/>
    <mergeCell ref="K39:L39"/>
    <mergeCell ref="O37:P37"/>
    <mergeCell ref="O38:P38"/>
    <mergeCell ref="O39:P39"/>
    <mergeCell ref="G4:I4"/>
    <mergeCell ref="A19:B19"/>
    <mergeCell ref="Q1:R1"/>
    <mergeCell ref="K2:L2"/>
    <mergeCell ref="A6:B6"/>
    <mergeCell ref="K26:L26"/>
    <mergeCell ref="K27:M27"/>
    <mergeCell ref="K29:L29"/>
    <mergeCell ref="P28:Q28"/>
    <mergeCell ref="P29:Q29"/>
    <mergeCell ref="A112:B112"/>
    <mergeCell ref="E112:F112"/>
    <mergeCell ref="K41:L42"/>
    <mergeCell ref="M41:M42"/>
    <mergeCell ref="Q46:S47"/>
    <mergeCell ref="M55:M56"/>
    <mergeCell ref="N55:N56"/>
    <mergeCell ref="G5:H5"/>
    <mergeCell ref="G6:H6"/>
    <mergeCell ref="G7:H7"/>
    <mergeCell ref="G8:H8"/>
    <mergeCell ref="G12:H13"/>
    <mergeCell ref="G16:H17"/>
    <mergeCell ref="G39:G40"/>
    <mergeCell ref="K33:L33"/>
    <mergeCell ref="N35:N36"/>
    <mergeCell ref="N38:N39"/>
    <mergeCell ref="A38:B38"/>
    <mergeCell ref="A39:B40"/>
    <mergeCell ref="C39:C40"/>
    <mergeCell ref="D39:D40"/>
    <mergeCell ref="E39:E40"/>
    <mergeCell ref="F39:F40"/>
    <mergeCell ref="A47:B47"/>
    <mergeCell ref="L4:M4"/>
    <mergeCell ref="N6:N8"/>
    <mergeCell ref="L6:L8"/>
    <mergeCell ref="M6:M8"/>
    <mergeCell ref="M19:N19"/>
    <mergeCell ref="M20:N20"/>
    <mergeCell ref="M17:N17"/>
    <mergeCell ref="M18:N18"/>
    <mergeCell ref="S10:T10"/>
    <mergeCell ref="S11:T11"/>
    <mergeCell ref="R18:S18"/>
    <mergeCell ref="R19:S19"/>
    <mergeCell ref="R20:S20"/>
    <mergeCell ref="S6:T8"/>
    <mergeCell ref="T15:U16"/>
    <mergeCell ref="T17:U17"/>
    <mergeCell ref="T18:U18"/>
    <mergeCell ref="T19:U19"/>
    <mergeCell ref="T20:U20"/>
    <mergeCell ref="Q9:R9"/>
    <mergeCell ref="Q10:R10"/>
    <mergeCell ref="O15:P16"/>
    <mergeCell ref="M15:N16"/>
    <mergeCell ref="L15:L16"/>
    <mergeCell ref="Q6:R8"/>
    <mergeCell ref="A10:B10"/>
    <mergeCell ref="R21:S21"/>
    <mergeCell ref="Q15:Q16"/>
    <mergeCell ref="M21:N21"/>
    <mergeCell ref="I12:I13"/>
    <mergeCell ref="J12:J13"/>
    <mergeCell ref="I16:I17"/>
    <mergeCell ref="S9:T9"/>
    <mergeCell ref="T21:U21"/>
    <mergeCell ref="R15:S16"/>
    <mergeCell ref="R17:S17"/>
    <mergeCell ref="A11:B11"/>
    <mergeCell ref="A12:B12"/>
    <mergeCell ref="A13:B14"/>
    <mergeCell ref="A15:B15"/>
    <mergeCell ref="A16:B16"/>
    <mergeCell ref="A17:B17"/>
    <mergeCell ref="Q11:R11"/>
    <mergeCell ref="O17:P17"/>
    <mergeCell ref="O18:P18"/>
    <mergeCell ref="O19:P19"/>
    <mergeCell ref="D17:E17"/>
    <mergeCell ref="O20:P20"/>
    <mergeCell ref="O21:P21"/>
    <mergeCell ref="O6:O8"/>
    <mergeCell ref="G37:H37"/>
    <mergeCell ref="A22:A23"/>
    <mergeCell ref="B22:B23"/>
    <mergeCell ref="A24:A25"/>
    <mergeCell ref="C13:C14"/>
    <mergeCell ref="P6:P8"/>
    <mergeCell ref="E31:E34"/>
    <mergeCell ref="F31:F34"/>
    <mergeCell ref="F26:F28"/>
    <mergeCell ref="E29:E30"/>
    <mergeCell ref="F29:F30"/>
    <mergeCell ref="C24:C25"/>
    <mergeCell ref="E22:E24"/>
    <mergeCell ref="F22:F24"/>
    <mergeCell ref="B24:B25"/>
    <mergeCell ref="E26:E28"/>
    <mergeCell ref="A28:B32"/>
    <mergeCell ref="A9:C9"/>
    <mergeCell ref="K30:L30"/>
    <mergeCell ref="K31:L31"/>
    <mergeCell ref="K32:L32"/>
    <mergeCell ref="A48:B48"/>
    <mergeCell ref="A49:B49"/>
    <mergeCell ref="A50:B50"/>
    <mergeCell ref="A53:B53"/>
    <mergeCell ref="A41:B41"/>
    <mergeCell ref="A42:B42"/>
    <mergeCell ref="A43:B43"/>
    <mergeCell ref="A44:B44"/>
    <mergeCell ref="A45:B45"/>
    <mergeCell ref="A46:B46"/>
    <mergeCell ref="A69:C69"/>
    <mergeCell ref="K69:L69"/>
    <mergeCell ref="K67:L68"/>
    <mergeCell ref="K74:L75"/>
    <mergeCell ref="A51:B51"/>
    <mergeCell ref="A52:B52"/>
    <mergeCell ref="K70:L71"/>
    <mergeCell ref="A54:B54"/>
    <mergeCell ref="A55:B55"/>
    <mergeCell ref="K57:L57"/>
    <mergeCell ref="A65:B65"/>
    <mergeCell ref="A66:B66"/>
    <mergeCell ref="A67:B67"/>
    <mergeCell ref="A63:B63"/>
    <mergeCell ref="A64:B64"/>
    <mergeCell ref="K61:L61"/>
    <mergeCell ref="K73:L73"/>
    <mergeCell ref="K66:L66"/>
    <mergeCell ref="K62:L62"/>
    <mergeCell ref="F67:I67"/>
    <mergeCell ref="K60:L60"/>
    <mergeCell ref="K58:L58"/>
    <mergeCell ref="K59:L59"/>
    <mergeCell ref="C86:C87"/>
    <mergeCell ref="D86:E87"/>
    <mergeCell ref="H86:H87"/>
    <mergeCell ref="K78:L79"/>
    <mergeCell ref="H84:H85"/>
    <mergeCell ref="M78:M79"/>
    <mergeCell ref="N78:N79"/>
    <mergeCell ref="O78:O79"/>
    <mergeCell ref="P78:P79"/>
    <mergeCell ref="E111:F111"/>
    <mergeCell ref="A110:B110"/>
    <mergeCell ref="A111:B111"/>
    <mergeCell ref="E110:F110"/>
    <mergeCell ref="I110:J110"/>
    <mergeCell ref="I111:J111"/>
    <mergeCell ref="E106:G107"/>
    <mergeCell ref="O43:P43"/>
    <mergeCell ref="O87:P87"/>
    <mergeCell ref="K87:L87"/>
    <mergeCell ref="K86:L86"/>
    <mergeCell ref="O86:P86"/>
    <mergeCell ref="H88:H90"/>
    <mergeCell ref="A88:B90"/>
    <mergeCell ref="C88:C90"/>
    <mergeCell ref="E82:F82"/>
    <mergeCell ref="A84:B85"/>
    <mergeCell ref="C84:C85"/>
    <mergeCell ref="D84:E85"/>
    <mergeCell ref="A86:B87"/>
    <mergeCell ref="F84:G85"/>
    <mergeCell ref="F86:G87"/>
    <mergeCell ref="M76:M77"/>
    <mergeCell ref="I114:J115"/>
    <mergeCell ref="K114:K115"/>
    <mergeCell ref="R86:T86"/>
    <mergeCell ref="M70:M71"/>
    <mergeCell ref="N70:N71"/>
    <mergeCell ref="N74:N75"/>
    <mergeCell ref="O74:O75"/>
    <mergeCell ref="T76:T77"/>
    <mergeCell ref="K76:L77"/>
    <mergeCell ref="N76:N77"/>
    <mergeCell ref="O76:O77"/>
    <mergeCell ref="P76:P77"/>
    <mergeCell ref="M74:M75"/>
    <mergeCell ref="Q78:Q79"/>
    <mergeCell ref="R78:R79"/>
    <mergeCell ref="P74:P75"/>
    <mergeCell ref="Q74:Q75"/>
    <mergeCell ref="Q76:Q77"/>
    <mergeCell ref="R76:R77"/>
    <mergeCell ref="R74:R75"/>
    <mergeCell ref="T74:T75"/>
    <mergeCell ref="O70:O71"/>
    <mergeCell ref="P70:P71"/>
    <mergeCell ref="Q70:Q71"/>
    <mergeCell ref="I112:J113"/>
    <mergeCell ref="K112:K113"/>
    <mergeCell ref="Q67:Q68"/>
    <mergeCell ref="S67:S68"/>
    <mergeCell ref="M67:M68"/>
    <mergeCell ref="N67:N68"/>
    <mergeCell ref="O67:O68"/>
    <mergeCell ref="P67:P68"/>
    <mergeCell ref="S70:S71"/>
    <mergeCell ref="T55:T56"/>
    <mergeCell ref="P55:P56"/>
    <mergeCell ref="Q55:Q56"/>
    <mergeCell ref="R55:R56"/>
    <mergeCell ref="F88:G90"/>
    <mergeCell ref="F91:G93"/>
    <mergeCell ref="F96:H98"/>
    <mergeCell ref="F99:I104"/>
    <mergeCell ref="S55:S56"/>
    <mergeCell ref="R67:R68"/>
    <mergeCell ref="R70:R71"/>
    <mergeCell ref="S74:S75"/>
    <mergeCell ref="S76:S77"/>
    <mergeCell ref="S78:S79"/>
    <mergeCell ref="O55:O56"/>
    <mergeCell ref="H91:H93"/>
    <mergeCell ref="M58:S58"/>
    <mergeCell ref="Q98:R98"/>
    <mergeCell ref="Q97:S97"/>
    <mergeCell ref="K88:L88"/>
    <mergeCell ref="T78:T79"/>
    <mergeCell ref="C54:I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59"/>
  <sheetViews>
    <sheetView topLeftCell="A16" zoomScale="85" zoomScaleNormal="85" workbookViewId="0">
      <selection activeCell="K36" sqref="K36"/>
    </sheetView>
  </sheetViews>
  <sheetFormatPr baseColWidth="10" defaultRowHeight="12.75" x14ac:dyDescent="0.2"/>
  <cols>
    <col min="2" max="2" width="15.5703125" customWidth="1"/>
    <col min="3" max="3" width="14.5703125" customWidth="1"/>
    <col min="4" max="4" width="16.42578125" bestFit="1" customWidth="1"/>
    <col min="5" max="5" width="17.140625" bestFit="1" customWidth="1"/>
    <col min="6" max="6" width="16.28515625" bestFit="1" customWidth="1"/>
    <col min="7" max="7" width="15" bestFit="1" customWidth="1"/>
    <col min="11" max="11" width="12.5703125" bestFit="1" customWidth="1"/>
  </cols>
  <sheetData>
    <row r="1" spans="1:20" ht="13.5" thickBot="1" x14ac:dyDescent="0.25">
      <c r="A1" s="220" t="s">
        <v>657</v>
      </c>
      <c r="B1" s="177"/>
      <c r="C1" s="177"/>
      <c r="D1" s="177"/>
      <c r="E1" s="177"/>
      <c r="F1" s="177"/>
      <c r="G1" s="177"/>
      <c r="H1" s="177"/>
      <c r="I1" s="220" t="s">
        <v>658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65"/>
    </row>
    <row r="2" spans="1:20" x14ac:dyDescent="0.2">
      <c r="A2" s="847" t="s">
        <v>659</v>
      </c>
      <c r="B2" s="846"/>
      <c r="C2" s="846"/>
      <c r="D2" s="846"/>
      <c r="H2" s="43"/>
      <c r="I2" s="859" t="s">
        <v>746</v>
      </c>
      <c r="J2" s="383"/>
      <c r="T2" s="162"/>
    </row>
    <row r="3" spans="1:20" ht="13.5" thickBot="1" x14ac:dyDescent="0.25">
      <c r="A3" s="378" t="s">
        <v>593</v>
      </c>
      <c r="B3" s="379"/>
      <c r="C3" s="845">
        <v>0.9</v>
      </c>
      <c r="D3" t="s">
        <v>491</v>
      </c>
      <c r="H3" s="162"/>
      <c r="I3" s="169"/>
      <c r="T3" s="162"/>
    </row>
    <row r="4" spans="1:20" x14ac:dyDescent="0.2">
      <c r="A4" s="773" t="s">
        <v>660</v>
      </c>
      <c r="B4" s="759"/>
      <c r="C4" s="855" t="s">
        <v>661</v>
      </c>
      <c r="D4" s="855" t="s">
        <v>662</v>
      </c>
      <c r="E4" s="855" t="s">
        <v>774</v>
      </c>
      <c r="F4" s="855" t="s">
        <v>663</v>
      </c>
      <c r="G4" s="856" t="s">
        <v>664</v>
      </c>
      <c r="H4" s="43"/>
      <c r="I4" s="617" t="s">
        <v>107</v>
      </c>
      <c r="J4" s="617"/>
      <c r="K4" s="330"/>
      <c r="L4" s="330"/>
      <c r="M4" s="330"/>
      <c r="N4" s="330"/>
      <c r="O4" s="330"/>
      <c r="P4" s="330"/>
      <c r="Q4" s="330"/>
      <c r="R4" s="330"/>
      <c r="S4" s="330"/>
      <c r="T4" s="162"/>
    </row>
    <row r="5" spans="1:20" x14ac:dyDescent="0.2">
      <c r="A5" s="756" t="s">
        <v>469</v>
      </c>
      <c r="B5" s="852"/>
      <c r="C5" s="263">
        <v>50000</v>
      </c>
      <c r="D5" s="188">
        <f>PRODUCCION!$C$38</f>
        <v>0.5</v>
      </c>
      <c r="E5" s="327">
        <v>1</v>
      </c>
      <c r="F5" s="327">
        <f>ADM!F7</f>
        <v>0.33</v>
      </c>
      <c r="G5" s="848">
        <f>(C5+C5*D5)*E5*F5*PRODUCCION!$I$37</f>
        <v>297000</v>
      </c>
      <c r="H5" s="43"/>
      <c r="I5" s="617" t="s">
        <v>407</v>
      </c>
      <c r="J5" s="617"/>
      <c r="K5" s="330"/>
      <c r="L5" s="330"/>
      <c r="M5" s="617" t="s">
        <v>406</v>
      </c>
      <c r="N5" s="617"/>
      <c r="O5" s="330"/>
      <c r="P5" s="330"/>
      <c r="Q5" s="617" t="s">
        <v>48</v>
      </c>
      <c r="R5" s="617"/>
      <c r="S5" s="330"/>
      <c r="T5" s="162"/>
    </row>
    <row r="6" spans="1:20" x14ac:dyDescent="0.2">
      <c r="A6" s="756" t="s">
        <v>454</v>
      </c>
      <c r="B6" s="852"/>
      <c r="C6" s="263">
        <v>12000</v>
      </c>
      <c r="D6" s="188">
        <f>PRODUCCION!$C$38</f>
        <v>0.5</v>
      </c>
      <c r="E6" s="327">
        <v>1</v>
      </c>
      <c r="F6" s="327">
        <v>0.33329999999999999</v>
      </c>
      <c r="G6" s="848">
        <f>(C6+C6*D6)*E6*F6*PRODUCCION!$I$37</f>
        <v>71992.799999999988</v>
      </c>
      <c r="H6" s="43"/>
      <c r="I6" s="560" t="s">
        <v>665</v>
      </c>
      <c r="J6" s="560"/>
      <c r="K6" s="861">
        <f>ADM!$M$8</f>
        <v>55188.752387916669</v>
      </c>
      <c r="L6" s="330"/>
      <c r="M6" s="560" t="s">
        <v>665</v>
      </c>
      <c r="N6" s="560"/>
      <c r="O6" s="861">
        <f>ADM!$M$9</f>
        <v>55188.752387916669</v>
      </c>
      <c r="P6" s="330"/>
      <c r="Q6" s="863" t="s">
        <v>598</v>
      </c>
      <c r="R6" s="864"/>
      <c r="S6" s="861">
        <f>ADM!M10</f>
        <v>55188.752387916669</v>
      </c>
      <c r="T6" s="162"/>
    </row>
    <row r="7" spans="1:20" x14ac:dyDescent="0.2">
      <c r="A7" s="756" t="s">
        <v>465</v>
      </c>
      <c r="B7" s="852"/>
      <c r="C7" s="263">
        <v>35000</v>
      </c>
      <c r="D7" s="188">
        <f>PRODUCCION!$C$38</f>
        <v>0.5</v>
      </c>
      <c r="E7" s="327">
        <v>1</v>
      </c>
      <c r="F7" s="327">
        <v>0.33329999999999999</v>
      </c>
      <c r="G7" s="848">
        <f>(C7+C7*D7)*E7*F7*PRODUCCION!$I$37</f>
        <v>209979</v>
      </c>
      <c r="H7" s="162"/>
      <c r="I7" s="331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162"/>
    </row>
    <row r="8" spans="1:20" x14ac:dyDescent="0.2">
      <c r="A8" s="756" t="s">
        <v>461</v>
      </c>
      <c r="B8" s="852"/>
      <c r="C8" s="263">
        <v>20000</v>
      </c>
      <c r="D8" s="188">
        <f>PRODUCCION!$C$38</f>
        <v>0.5</v>
      </c>
      <c r="E8" s="327">
        <v>1</v>
      </c>
      <c r="F8" s="327">
        <v>0.33329999999999999</v>
      </c>
      <c r="G8" s="848">
        <f>(C8+C8*D8)*E8*F8*PRODUCCION!$I$37</f>
        <v>119988</v>
      </c>
      <c r="H8" s="43"/>
      <c r="I8" s="617" t="s">
        <v>666</v>
      </c>
      <c r="J8" s="617"/>
      <c r="K8" s="330"/>
      <c r="L8" s="330"/>
      <c r="M8" s="330"/>
      <c r="N8" s="330"/>
      <c r="O8" s="330"/>
      <c r="P8" s="330"/>
      <c r="Q8" s="330"/>
      <c r="R8" s="330"/>
      <c r="S8" s="330"/>
      <c r="T8" s="162"/>
    </row>
    <row r="9" spans="1:20" x14ac:dyDescent="0.2">
      <c r="A9" s="756" t="s">
        <v>667</v>
      </c>
      <c r="B9" s="852"/>
      <c r="C9" s="265">
        <v>13000</v>
      </c>
      <c r="D9" s="266">
        <f>PRODUCCION!$C$38</f>
        <v>0.5</v>
      </c>
      <c r="E9" s="267">
        <v>1</v>
      </c>
      <c r="F9" s="267">
        <v>0.1</v>
      </c>
      <c r="G9" s="848">
        <f>(C9+C9*D9)*E9*F9*PRODUCCION!$I$37</f>
        <v>23400</v>
      </c>
      <c r="H9" s="43"/>
      <c r="I9" s="617" t="s">
        <v>668</v>
      </c>
      <c r="J9" s="617"/>
      <c r="K9" s="330"/>
      <c r="L9" s="330"/>
      <c r="M9" s="617" t="s">
        <v>48</v>
      </c>
      <c r="N9" s="617"/>
      <c r="O9" s="330"/>
      <c r="P9" s="330"/>
      <c r="Q9" s="330"/>
      <c r="R9" s="330"/>
      <c r="S9" s="330"/>
      <c r="T9" s="162"/>
    </row>
    <row r="10" spans="1:20" ht="13.5" thickBot="1" x14ac:dyDescent="0.25">
      <c r="A10" s="853" t="s">
        <v>466</v>
      </c>
      <c r="B10" s="854"/>
      <c r="C10" s="849">
        <v>35000</v>
      </c>
      <c r="D10" s="850">
        <f>PRODUCCION!$C$38</f>
        <v>0.5</v>
      </c>
      <c r="E10" s="329">
        <v>1</v>
      </c>
      <c r="F10" s="329">
        <v>0.6</v>
      </c>
      <c r="G10" s="851">
        <f>(C10+C10*D10)*E10*F10*PRODUCCION!$I$37</f>
        <v>378000</v>
      </c>
      <c r="H10" s="43"/>
      <c r="I10" s="560" t="s">
        <v>665</v>
      </c>
      <c r="J10" s="560"/>
      <c r="K10" s="861">
        <f>ADM!$C$28</f>
        <v>1117.7258841599999</v>
      </c>
      <c r="L10" s="330"/>
      <c r="M10" s="560" t="s">
        <v>665</v>
      </c>
      <c r="N10" s="560"/>
      <c r="O10" s="861">
        <f>ADM!C31</f>
        <v>1005.9532957439999</v>
      </c>
      <c r="P10" s="330"/>
      <c r="Q10" s="330"/>
      <c r="R10" s="330"/>
      <c r="S10" s="330"/>
      <c r="T10" s="162"/>
    </row>
    <row r="11" spans="1:20" ht="13.5" thickBot="1" x14ac:dyDescent="0.25">
      <c r="A11" s="169"/>
      <c r="H11" s="162"/>
      <c r="I11" s="331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162"/>
    </row>
    <row r="12" spans="1:20" ht="13.5" thickBot="1" x14ac:dyDescent="0.25">
      <c r="A12" s="220" t="s">
        <v>416</v>
      </c>
      <c r="E12" s="220" t="s">
        <v>48</v>
      </c>
      <c r="H12" s="43"/>
      <c r="I12" s="617" t="s">
        <v>123</v>
      </c>
      <c r="J12" s="617"/>
      <c r="K12" s="860"/>
      <c r="L12" s="860"/>
      <c r="M12" s="860"/>
      <c r="N12" s="330"/>
      <c r="O12" s="330"/>
      <c r="P12" s="330"/>
      <c r="Q12" s="330"/>
      <c r="R12" s="330"/>
      <c r="S12" s="330"/>
      <c r="T12" s="162"/>
    </row>
    <row r="13" spans="1:20" x14ac:dyDescent="0.2">
      <c r="A13" s="858" t="s">
        <v>598</v>
      </c>
      <c r="B13" s="606"/>
      <c r="C13" s="857">
        <f>SUM(G5:G10)</f>
        <v>1100359.8</v>
      </c>
      <c r="E13" s="858" t="s">
        <v>598</v>
      </c>
      <c r="F13" s="606"/>
      <c r="G13" s="857">
        <f>C13*C3</f>
        <v>990323.82000000007</v>
      </c>
      <c r="H13" s="43"/>
      <c r="I13" s="617" t="s">
        <v>416</v>
      </c>
      <c r="J13" s="617"/>
      <c r="K13" s="860"/>
      <c r="L13" s="860"/>
      <c r="M13" s="862" t="s">
        <v>48</v>
      </c>
      <c r="N13" s="862"/>
      <c r="O13" s="330"/>
      <c r="P13" s="330"/>
      <c r="Q13" s="330"/>
      <c r="R13" s="330"/>
      <c r="S13" s="330"/>
      <c r="T13" s="162"/>
    </row>
    <row r="14" spans="1:20" x14ac:dyDescent="0.2">
      <c r="A14" s="169"/>
      <c r="H14" s="43"/>
      <c r="I14" s="560" t="s">
        <v>665</v>
      </c>
      <c r="J14" s="560"/>
      <c r="K14" s="861">
        <f>ADM!C57</f>
        <v>100019.53599999999</v>
      </c>
      <c r="L14" s="330"/>
      <c r="M14" s="560" t="s">
        <v>665</v>
      </c>
      <c r="N14" s="560"/>
      <c r="O14" s="861">
        <f>ADM!B57</f>
        <v>95018.559199999989</v>
      </c>
      <c r="P14" s="330"/>
      <c r="Q14" s="330"/>
      <c r="R14" s="330"/>
      <c r="S14" s="330"/>
      <c r="T14" s="162"/>
    </row>
    <row r="15" spans="1:20" x14ac:dyDescent="0.2">
      <c r="A15" s="169"/>
      <c r="B15" s="377" t="s">
        <v>669</v>
      </c>
      <c r="C15" s="377"/>
      <c r="H15" s="162"/>
      <c r="I15" s="169"/>
      <c r="T15" s="162"/>
    </row>
    <row r="16" spans="1:20" x14ac:dyDescent="0.2">
      <c r="A16" s="169"/>
      <c r="B16" s="377"/>
      <c r="C16" s="377"/>
      <c r="H16" s="162"/>
      <c r="I16" s="169"/>
      <c r="T16" s="162"/>
    </row>
    <row r="17" spans="1:21" x14ac:dyDescent="0.2">
      <c r="A17" s="168"/>
      <c r="B17" s="167"/>
      <c r="C17" s="167"/>
      <c r="D17" s="167"/>
      <c r="E17" s="167"/>
      <c r="F17" s="167"/>
      <c r="G17" s="167"/>
      <c r="H17" s="166"/>
      <c r="I17" s="169"/>
      <c r="T17" s="162"/>
    </row>
    <row r="18" spans="1:21" ht="13.5" thickBot="1" x14ac:dyDescent="0.25">
      <c r="A18" s="178"/>
      <c r="B18" s="177"/>
      <c r="C18" s="177"/>
      <c r="D18" s="177"/>
      <c r="E18" s="177"/>
      <c r="F18" s="177"/>
      <c r="G18" s="177"/>
      <c r="H18" s="165"/>
      <c r="I18" s="178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65"/>
    </row>
    <row r="19" spans="1:21" ht="13.5" thickBot="1" x14ac:dyDescent="0.25">
      <c r="A19" s="220" t="s">
        <v>670</v>
      </c>
      <c r="H19" s="43"/>
      <c r="I19" s="220" t="s">
        <v>671</v>
      </c>
      <c r="U19" s="162"/>
    </row>
    <row r="20" spans="1:21" x14ac:dyDescent="0.2">
      <c r="A20" s="859" t="s">
        <v>672</v>
      </c>
      <c r="B20" s="383"/>
      <c r="C20" s="383"/>
      <c r="D20" s="383"/>
      <c r="H20" s="43"/>
      <c r="I20" s="859" t="s">
        <v>673</v>
      </c>
      <c r="J20" s="383"/>
      <c r="K20" s="383"/>
      <c r="M20" s="259"/>
      <c r="N20" s="259"/>
      <c r="U20" s="162"/>
    </row>
    <row r="21" spans="1:21" ht="13.5" thickBot="1" x14ac:dyDescent="0.25">
      <c r="A21" s="169"/>
      <c r="H21" s="162"/>
      <c r="I21" s="169"/>
      <c r="M21" s="656" t="s">
        <v>674</v>
      </c>
      <c r="N21" s="656"/>
      <c r="O21" s="161">
        <v>2000</v>
      </c>
      <c r="U21" s="162"/>
    </row>
    <row r="22" spans="1:21" ht="13.5" thickBot="1" x14ac:dyDescent="0.25">
      <c r="A22" s="398" t="s">
        <v>416</v>
      </c>
      <c r="B22" s="398"/>
      <c r="E22" s="383" t="s">
        <v>48</v>
      </c>
      <c r="F22" s="383"/>
      <c r="H22" s="43"/>
      <c r="I22" s="220" t="s">
        <v>416</v>
      </c>
      <c r="U22" s="162"/>
    </row>
    <row r="23" spans="1:21" x14ac:dyDescent="0.2">
      <c r="A23" s="560" t="s">
        <v>675</v>
      </c>
      <c r="B23" s="560"/>
      <c r="C23" s="865">
        <f>SUM(C38:C41)</f>
        <v>36151.561517531249</v>
      </c>
      <c r="E23" s="560" t="s">
        <v>676</v>
      </c>
      <c r="F23" s="560"/>
      <c r="G23" s="866">
        <f>SUM(D38:D41)</f>
        <v>39413.553077531251</v>
      </c>
      <c r="H23" s="43"/>
      <c r="I23" s="858" t="s">
        <v>677</v>
      </c>
      <c r="J23" s="606"/>
      <c r="K23" s="711">
        <v>20000</v>
      </c>
      <c r="L23" t="s">
        <v>678</v>
      </c>
      <c r="U23" s="162"/>
    </row>
    <row r="24" spans="1:21" x14ac:dyDescent="0.2">
      <c r="A24" s="169"/>
      <c r="H24" s="43"/>
      <c r="I24" s="606" t="s">
        <v>679</v>
      </c>
      <c r="J24" s="606"/>
      <c r="K24" s="711">
        <v>15000</v>
      </c>
      <c r="U24" s="162"/>
    </row>
    <row r="25" spans="1:21" ht="13.5" customHeight="1" x14ac:dyDescent="0.2">
      <c r="A25" s="169"/>
      <c r="H25" s="43"/>
      <c r="I25" s="606" t="s">
        <v>680</v>
      </c>
      <c r="J25" s="606"/>
      <c r="K25" s="711">
        <v>25000</v>
      </c>
      <c r="L25" t="s">
        <v>681</v>
      </c>
      <c r="N25" s="268" t="s">
        <v>682</v>
      </c>
      <c r="O25" s="268"/>
      <c r="P25" s="268"/>
      <c r="Q25" s="268"/>
      <c r="R25" s="268"/>
      <c r="S25" s="268"/>
      <c r="T25" s="268"/>
      <c r="U25" s="162"/>
    </row>
    <row r="26" spans="1:21" x14ac:dyDescent="0.2">
      <c r="A26" s="169" t="s">
        <v>683</v>
      </c>
      <c r="D26" s="867">
        <v>1.4999999999999999E-2</v>
      </c>
      <c r="E26" t="s">
        <v>684</v>
      </c>
      <c r="I26" s="606" t="s">
        <v>685</v>
      </c>
      <c r="J26" s="606"/>
      <c r="K26" s="711">
        <v>12000</v>
      </c>
      <c r="N26" s="268"/>
      <c r="O26" s="268"/>
      <c r="P26" s="268"/>
      <c r="Q26" s="268"/>
      <c r="R26" s="268"/>
      <c r="S26" s="268"/>
      <c r="T26" s="268"/>
      <c r="U26" s="162"/>
    </row>
    <row r="27" spans="1:21" x14ac:dyDescent="0.2">
      <c r="D27" s="868">
        <v>0.05</v>
      </c>
      <c r="E27" s="43" t="s">
        <v>686</v>
      </c>
      <c r="F27" s="43"/>
      <c r="H27" s="43"/>
      <c r="I27" s="606" t="s">
        <v>687</v>
      </c>
      <c r="J27" s="606"/>
      <c r="K27" s="711">
        <v>0</v>
      </c>
      <c r="L27" s="375" t="s">
        <v>688</v>
      </c>
      <c r="M27" s="375"/>
      <c r="N27" s="375"/>
      <c r="O27" s="375"/>
      <c r="P27" s="375"/>
      <c r="Q27" s="268"/>
      <c r="R27" s="268"/>
      <c r="S27" s="268"/>
      <c r="T27" s="268"/>
      <c r="U27" s="162"/>
    </row>
    <row r="28" spans="1:21" x14ac:dyDescent="0.2">
      <c r="H28" s="43"/>
      <c r="I28" s="659" t="s">
        <v>689</v>
      </c>
      <c r="J28" s="660"/>
      <c r="K28" s="875">
        <f>SUM(K23:K27)</f>
        <v>72000</v>
      </c>
      <c r="L28" s="375" t="s">
        <v>690</v>
      </c>
      <c r="M28" s="375"/>
      <c r="N28" s="375"/>
      <c r="O28" s="375"/>
      <c r="P28" s="375"/>
      <c r="U28" s="162"/>
    </row>
    <row r="29" spans="1:21" ht="13.5" thickBot="1" x14ac:dyDescent="0.25">
      <c r="A29" s="169" t="s">
        <v>691</v>
      </c>
      <c r="E29" s="269">
        <v>15</v>
      </c>
      <c r="H29" s="162"/>
      <c r="I29" s="169"/>
      <c r="K29" s="322"/>
      <c r="U29" s="162"/>
    </row>
    <row r="30" spans="1:21" ht="13.5" thickBot="1" x14ac:dyDescent="0.25">
      <c r="A30" t="s">
        <v>692</v>
      </c>
      <c r="B30" s="255">
        <v>2000</v>
      </c>
      <c r="C30" t="s">
        <v>693</v>
      </c>
      <c r="H30" s="43"/>
      <c r="I30" s="220" t="s">
        <v>48</v>
      </c>
      <c r="K30" s="322"/>
      <c r="U30" s="162"/>
    </row>
    <row r="31" spans="1:21" x14ac:dyDescent="0.2">
      <c r="H31" s="43"/>
      <c r="I31" s="872" t="s">
        <v>689</v>
      </c>
      <c r="J31" s="873"/>
      <c r="K31" s="875">
        <f>K28-K27</f>
        <v>72000</v>
      </c>
      <c r="U31" s="162"/>
    </row>
    <row r="32" spans="1:21" x14ac:dyDescent="0.2">
      <c r="A32" s="169" t="s">
        <v>694</v>
      </c>
      <c r="E32" s="270">
        <v>3.0000000000000001E-3</v>
      </c>
      <c r="F32" t="s">
        <v>695</v>
      </c>
      <c r="H32" s="162"/>
      <c r="I32" s="169"/>
      <c r="U32" s="162"/>
    </row>
    <row r="33" spans="1:21" x14ac:dyDescent="0.2">
      <c r="H33" s="162"/>
      <c r="I33" s="169"/>
      <c r="U33" s="162"/>
    </row>
    <row r="34" spans="1:21" x14ac:dyDescent="0.2">
      <c r="A34" s="169" t="s">
        <v>696</v>
      </c>
      <c r="E34" s="269">
        <v>30</v>
      </c>
      <c r="H34" s="162"/>
      <c r="I34" s="169"/>
      <c r="U34" s="162"/>
    </row>
    <row r="35" spans="1:21" x14ac:dyDescent="0.2">
      <c r="A35" s="193" t="s">
        <v>697</v>
      </c>
      <c r="B35" s="255">
        <v>2000</v>
      </c>
      <c r="C35" t="s">
        <v>693</v>
      </c>
      <c r="H35" s="162"/>
      <c r="I35" s="169"/>
      <c r="U35" s="162"/>
    </row>
    <row r="36" spans="1:21" x14ac:dyDescent="0.2">
      <c r="H36" s="162"/>
      <c r="I36" s="169"/>
      <c r="U36" s="162"/>
    </row>
    <row r="37" spans="1:21" x14ac:dyDescent="0.2">
      <c r="A37" s="43"/>
      <c r="B37" s="43"/>
      <c r="C37" s="869" t="s">
        <v>48</v>
      </c>
      <c r="D37" s="869" t="s">
        <v>416</v>
      </c>
      <c r="G37" s="654" t="s">
        <v>758</v>
      </c>
      <c r="H37" s="162"/>
      <c r="I37" s="169"/>
      <c r="U37" s="162"/>
    </row>
    <row r="38" spans="1:21" x14ac:dyDescent="0.2">
      <c r="A38" s="871" t="s">
        <v>698</v>
      </c>
      <c r="B38" s="870"/>
      <c r="C38" s="861">
        <f>D26*D27*'E-Inv AF y Am'!B20</f>
        <v>8238.8274775312511</v>
      </c>
      <c r="D38" s="861">
        <f>D26*D27*'E-Inv AF y Am'!B20</f>
        <v>8238.8274775312511</v>
      </c>
      <c r="F38" s="654" t="s">
        <v>48</v>
      </c>
      <c r="G38" s="709">
        <f>1/12*G23</f>
        <v>3284.4627564609373</v>
      </c>
      <c r="H38" s="162"/>
      <c r="I38" s="169"/>
      <c r="U38" s="162"/>
    </row>
    <row r="39" spans="1:21" x14ac:dyDescent="0.2">
      <c r="A39" s="871" t="s">
        <v>699</v>
      </c>
      <c r="B39" s="870"/>
      <c r="C39" s="874">
        <f>E29*PRODUCCION!F22/COMER!B30</f>
        <v>3890.625</v>
      </c>
      <c r="D39" s="829">
        <f>E29*PRODUCCION!B22/COMER!B30</f>
        <v>4500</v>
      </c>
      <c r="F39" s="654" t="s">
        <v>416</v>
      </c>
      <c r="G39" s="709">
        <f>1/12*C23</f>
        <v>3012.6301264609374</v>
      </c>
      <c r="H39" s="162"/>
      <c r="I39" s="168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6"/>
    </row>
    <row r="40" spans="1:21" x14ac:dyDescent="0.2">
      <c r="A40" s="606" t="s">
        <v>700</v>
      </c>
      <c r="B40" s="659"/>
      <c r="C40" s="828">
        <f>E32*(PRODUCCION!C77+PRODUCCION!F21+ADM!G15+G13)</f>
        <v>16240.859039999999</v>
      </c>
      <c r="D40" s="828">
        <f>E32*(PRODUCCION!B21+PRODUCCION!C72+ADM!C15+C13)</f>
        <v>17674.725600000002</v>
      </c>
      <c r="H40" s="162"/>
    </row>
    <row r="41" spans="1:21" x14ac:dyDescent="0.2">
      <c r="A41" s="606" t="s">
        <v>701</v>
      </c>
      <c r="B41" s="659"/>
      <c r="C41" s="829">
        <f>E34*PRODUCCION!F22/COMER!B35</f>
        <v>7781.25</v>
      </c>
      <c r="D41" s="829">
        <f>E34*PRODUCCION!B22/COMER!B35</f>
        <v>9000</v>
      </c>
      <c r="H41" s="162"/>
    </row>
    <row r="42" spans="1:21" x14ac:dyDescent="0.2">
      <c r="H42" s="162"/>
    </row>
    <row r="43" spans="1:21" x14ac:dyDescent="0.2">
      <c r="H43" s="162"/>
    </row>
    <row r="44" spans="1:21" x14ac:dyDescent="0.2">
      <c r="A44" s="168"/>
      <c r="B44" s="167"/>
      <c r="C44" s="167"/>
      <c r="D44" s="167"/>
      <c r="E44" s="167"/>
      <c r="F44" s="167"/>
      <c r="G44" s="167"/>
      <c r="H44" s="166"/>
    </row>
    <row r="45" spans="1:21" ht="13.5" thickBot="1" x14ac:dyDescent="0.25">
      <c r="A45" s="178"/>
      <c r="B45" s="177"/>
      <c r="C45" s="177"/>
      <c r="D45" s="177"/>
      <c r="E45" s="177"/>
      <c r="F45" s="177"/>
      <c r="G45" s="177"/>
      <c r="H45" s="165"/>
    </row>
    <row r="46" spans="1:21" x14ac:dyDescent="0.2">
      <c r="A46" s="876" t="s">
        <v>702</v>
      </c>
      <c r="H46" s="162"/>
    </row>
    <row r="47" spans="1:21" x14ac:dyDescent="0.2">
      <c r="A47" s="383" t="s">
        <v>703</v>
      </c>
      <c r="B47" s="383"/>
      <c r="C47" s="383"/>
      <c r="D47" s="383"/>
      <c r="H47" s="162"/>
    </row>
    <row r="48" spans="1:21" x14ac:dyDescent="0.2">
      <c r="A48" s="169"/>
      <c r="H48" s="162"/>
    </row>
    <row r="49" spans="1:8" x14ac:dyDescent="0.2">
      <c r="A49" s="657" t="s">
        <v>704</v>
      </c>
      <c r="B49" s="879"/>
      <c r="C49" s="658"/>
      <c r="D49" s="877">
        <v>2.75E-2</v>
      </c>
      <c r="H49" s="162"/>
    </row>
    <row r="50" spans="1:8" x14ac:dyDescent="0.2">
      <c r="A50" s="169"/>
      <c r="H50" s="162"/>
    </row>
    <row r="51" spans="1:8" x14ac:dyDescent="0.2">
      <c r="A51" s="161" t="s">
        <v>416</v>
      </c>
      <c r="E51" s="161" t="s">
        <v>48</v>
      </c>
      <c r="H51" s="162"/>
    </row>
    <row r="52" spans="1:8" x14ac:dyDescent="0.2">
      <c r="A52" s="606" t="s">
        <v>705</v>
      </c>
      <c r="B52" s="606"/>
      <c r="C52" s="952">
        <f>ADM!$M$57</f>
        <v>373194</v>
      </c>
      <c r="D52" s="275"/>
      <c r="E52" s="878" t="s">
        <v>705</v>
      </c>
      <c r="F52" s="878"/>
      <c r="G52" s="952">
        <f>ADM!$M$57</f>
        <v>373194</v>
      </c>
      <c r="H52" s="162"/>
    </row>
    <row r="53" spans="1:8" x14ac:dyDescent="0.2">
      <c r="A53" s="606" t="s">
        <v>706</v>
      </c>
      <c r="B53" s="606"/>
      <c r="C53" s="710">
        <f>COMER!D49*InfoInicial!B45</f>
        <v>825000</v>
      </c>
      <c r="E53" s="606" t="s">
        <v>706</v>
      </c>
      <c r="F53" s="606"/>
      <c r="G53" s="711">
        <f>InfoInicial!B46*D49</f>
        <v>713281.25</v>
      </c>
      <c r="H53" s="162"/>
    </row>
    <row r="54" spans="1:8" x14ac:dyDescent="0.2">
      <c r="A54" s="606" t="s">
        <v>152</v>
      </c>
      <c r="B54" s="606"/>
      <c r="C54" s="875">
        <f>SUM(C52:C53)</f>
        <v>1198194</v>
      </c>
      <c r="E54" s="606" t="s">
        <v>152</v>
      </c>
      <c r="F54" s="606"/>
      <c r="G54" s="875">
        <f>SUM(G52:G53)</f>
        <v>1086475.25</v>
      </c>
      <c r="H54" s="162"/>
    </row>
    <row r="55" spans="1:8" x14ac:dyDescent="0.2">
      <c r="A55" s="169"/>
      <c r="H55" s="162"/>
    </row>
    <row r="56" spans="1:8" x14ac:dyDescent="0.2">
      <c r="A56" s="169"/>
      <c r="H56" s="162"/>
    </row>
    <row r="57" spans="1:8" x14ac:dyDescent="0.2">
      <c r="A57" s="169"/>
      <c r="B57" s="271"/>
      <c r="C57" s="271"/>
      <c r="D57" s="271"/>
      <c r="H57" s="162"/>
    </row>
    <row r="58" spans="1:8" x14ac:dyDescent="0.2">
      <c r="A58" s="169"/>
      <c r="B58" s="271"/>
      <c r="C58" s="271"/>
      <c r="D58" s="271"/>
      <c r="H58" s="162"/>
    </row>
    <row r="59" spans="1:8" x14ac:dyDescent="0.2">
      <c r="A59" s="168"/>
      <c r="B59" s="167"/>
      <c r="C59" s="167"/>
      <c r="D59" s="167"/>
      <c r="E59" s="167"/>
      <c r="F59" s="167"/>
      <c r="G59" s="167"/>
      <c r="H59" s="166"/>
    </row>
  </sheetData>
  <mergeCells count="56">
    <mergeCell ref="Q5:R5"/>
    <mergeCell ref="M13:N13"/>
    <mergeCell ref="Q6:R6"/>
    <mergeCell ref="I20:K20"/>
    <mergeCell ref="A20:D20"/>
    <mergeCell ref="A2:D2"/>
    <mergeCell ref="I2:J2"/>
    <mergeCell ref="I4:J4"/>
    <mergeCell ref="I8:J8"/>
    <mergeCell ref="I12:J12"/>
    <mergeCell ref="I5:J5"/>
    <mergeCell ref="I9:J9"/>
    <mergeCell ref="M10:N10"/>
    <mergeCell ref="A3:B3"/>
    <mergeCell ref="A4:B4"/>
    <mergeCell ref="A5:B5"/>
    <mergeCell ref="A6:B6"/>
    <mergeCell ref="I6:J6"/>
    <mergeCell ref="M6:N6"/>
    <mergeCell ref="A7:B7"/>
    <mergeCell ref="A8:B8"/>
    <mergeCell ref="A9:B9"/>
    <mergeCell ref="A10:B10"/>
    <mergeCell ref="I10:J10"/>
    <mergeCell ref="M5:N5"/>
    <mergeCell ref="M9:N9"/>
    <mergeCell ref="L27:P27"/>
    <mergeCell ref="L28:P28"/>
    <mergeCell ref="A13:B13"/>
    <mergeCell ref="E13:F13"/>
    <mergeCell ref="B15:C16"/>
    <mergeCell ref="M21:N21"/>
    <mergeCell ref="A23:B23"/>
    <mergeCell ref="E23:F23"/>
    <mergeCell ref="I23:J23"/>
    <mergeCell ref="I14:J14"/>
    <mergeCell ref="M14:N14"/>
    <mergeCell ref="I13:J13"/>
    <mergeCell ref="A22:B22"/>
    <mergeCell ref="E22:F22"/>
    <mergeCell ref="I28:J28"/>
    <mergeCell ref="A54:B54"/>
    <mergeCell ref="E54:F54"/>
    <mergeCell ref="I24:J24"/>
    <mergeCell ref="I25:J25"/>
    <mergeCell ref="I26:J26"/>
    <mergeCell ref="I27:J27"/>
    <mergeCell ref="A40:B40"/>
    <mergeCell ref="A41:B41"/>
    <mergeCell ref="A52:B52"/>
    <mergeCell ref="E52:F52"/>
    <mergeCell ref="E53:F53"/>
    <mergeCell ref="I31:J31"/>
    <mergeCell ref="A47:D47"/>
    <mergeCell ref="A49:C49"/>
    <mergeCell ref="A53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1"/>
  <sheetViews>
    <sheetView topLeftCell="A10" zoomScale="70" zoomScaleNormal="70" workbookViewId="0">
      <selection activeCell="G57" sqref="G57"/>
    </sheetView>
  </sheetViews>
  <sheetFormatPr baseColWidth="10" defaultRowHeight="12.75" x14ac:dyDescent="0.2"/>
  <cols>
    <col min="1" max="1" width="16.28515625" customWidth="1"/>
    <col min="2" max="2" width="16.140625" customWidth="1"/>
    <col min="3" max="3" width="23.28515625" customWidth="1"/>
    <col min="5" max="5" width="11.42578125" customWidth="1"/>
    <col min="7" max="7" width="21.42578125" customWidth="1"/>
    <col min="8" max="8" width="13.85546875" customWidth="1"/>
    <col min="10" max="10" width="16" customWidth="1"/>
    <col min="12" max="12" width="14.28515625" customWidth="1"/>
    <col min="13" max="13" width="17.140625" customWidth="1"/>
    <col min="17" max="17" width="15.7109375" customWidth="1"/>
  </cols>
  <sheetData>
    <row r="1" spans="1:21" x14ac:dyDescent="0.2">
      <c r="A1" s="178"/>
      <c r="B1" s="177"/>
      <c r="C1" s="177"/>
      <c r="D1" s="177"/>
      <c r="E1" s="177"/>
      <c r="F1" s="177"/>
      <c r="G1" s="177"/>
      <c r="H1" s="177"/>
      <c r="I1" s="165"/>
      <c r="J1" s="178"/>
      <c r="K1" s="177"/>
      <c r="L1" s="177"/>
      <c r="M1" s="177"/>
      <c r="N1" s="177"/>
      <c r="O1" s="177"/>
      <c r="P1" s="177"/>
      <c r="Q1" s="177"/>
      <c r="R1" s="177"/>
      <c r="S1" s="165"/>
    </row>
    <row r="2" spans="1:21" x14ac:dyDescent="0.2">
      <c r="A2" s="161" t="s">
        <v>588</v>
      </c>
      <c r="I2" s="43"/>
      <c r="J2" s="161" t="s">
        <v>589</v>
      </c>
      <c r="S2" s="162"/>
    </row>
    <row r="3" spans="1:21" x14ac:dyDescent="0.2">
      <c r="A3" s="161" t="s">
        <v>590</v>
      </c>
      <c r="B3" s="161"/>
      <c r="C3" s="161"/>
      <c r="I3" s="43"/>
      <c r="J3" s="161" t="s">
        <v>591</v>
      </c>
      <c r="K3" s="161"/>
      <c r="L3" s="161"/>
      <c r="M3" s="161"/>
      <c r="N3" s="161"/>
      <c r="P3" s="656" t="s">
        <v>592</v>
      </c>
      <c r="Q3" s="656"/>
      <c r="R3" s="197">
        <v>0.05</v>
      </c>
      <c r="S3" s="162"/>
    </row>
    <row r="4" spans="1:21" x14ac:dyDescent="0.2">
      <c r="A4" s="884" t="s">
        <v>593</v>
      </c>
      <c r="B4" s="885"/>
      <c r="C4" s="845">
        <v>0.9</v>
      </c>
      <c r="D4" t="s">
        <v>491</v>
      </c>
      <c r="I4" s="162"/>
      <c r="J4" s="169"/>
      <c r="S4" s="162"/>
    </row>
    <row r="5" spans="1:21" x14ac:dyDescent="0.2">
      <c r="A5" s="562" t="s">
        <v>477</v>
      </c>
      <c r="B5" s="562"/>
      <c r="C5" s="561" t="s">
        <v>476</v>
      </c>
      <c r="D5" s="561" t="s">
        <v>475</v>
      </c>
      <c r="E5" s="561" t="s">
        <v>474</v>
      </c>
      <c r="F5" s="561" t="s">
        <v>594</v>
      </c>
      <c r="G5" s="561"/>
      <c r="H5" s="562" t="s">
        <v>405</v>
      </c>
      <c r="I5" s="162"/>
      <c r="J5" s="169"/>
      <c r="K5" s="560" t="s">
        <v>230</v>
      </c>
      <c r="L5" s="561" t="s">
        <v>525</v>
      </c>
      <c r="M5" s="562" t="s">
        <v>595</v>
      </c>
      <c r="S5" s="162"/>
    </row>
    <row r="6" spans="1:21" x14ac:dyDescent="0.2">
      <c r="A6" s="562"/>
      <c r="B6" s="562"/>
      <c r="C6" s="561"/>
      <c r="D6" s="561"/>
      <c r="E6" s="561"/>
      <c r="F6" s="561"/>
      <c r="G6" s="561"/>
      <c r="H6" s="562"/>
      <c r="I6" s="162"/>
      <c r="J6" s="169"/>
      <c r="K6" s="560"/>
      <c r="L6" s="561"/>
      <c r="M6" s="562"/>
      <c r="O6" s="517" t="s">
        <v>596</v>
      </c>
      <c r="P6" s="517"/>
      <c r="S6" s="162"/>
    </row>
    <row r="7" spans="1:21" ht="12.75" customHeight="1" x14ac:dyDescent="0.2">
      <c r="A7" s="561" t="s">
        <v>469</v>
      </c>
      <c r="B7" s="561"/>
      <c r="C7" s="711">
        <f>PRODUCCION!C41</f>
        <v>50000</v>
      </c>
      <c r="D7" s="258">
        <f>[1]PRODUCCION!$C$38</f>
        <v>0.5</v>
      </c>
      <c r="E7" s="161">
        <v>1</v>
      </c>
      <c r="F7" s="383">
        <v>0.33</v>
      </c>
      <c r="G7" s="383"/>
      <c r="H7" s="711">
        <f>(C7+C7*D7)*E7*F7*PRODUCCION!$I$37</f>
        <v>297000</v>
      </c>
      <c r="I7" s="162"/>
      <c r="J7" s="169"/>
      <c r="K7" s="560"/>
      <c r="L7" s="561"/>
      <c r="M7" s="562"/>
      <c r="O7" s="517"/>
      <c r="P7" s="517"/>
      <c r="S7" s="162"/>
    </row>
    <row r="8" spans="1:21" x14ac:dyDescent="0.2">
      <c r="A8" s="656" t="s">
        <v>465</v>
      </c>
      <c r="B8" s="656"/>
      <c r="C8" s="711">
        <f>PRODUCCION!C43</f>
        <v>35000</v>
      </c>
      <c r="D8" s="258">
        <f>[1]PRODUCCION!$C$38</f>
        <v>0.5</v>
      </c>
      <c r="E8" s="161">
        <v>1</v>
      </c>
      <c r="F8" s="383">
        <v>0.33</v>
      </c>
      <c r="G8" s="383"/>
      <c r="H8" s="711">
        <f>(C8+C8*D8)*E8*F8*PRODUCCION!$I$37</f>
        <v>207900</v>
      </c>
      <c r="I8" s="162"/>
      <c r="J8" s="169"/>
      <c r="K8" s="881" t="s">
        <v>519</v>
      </c>
      <c r="L8" s="882">
        <f>'E-Inv AF y Am'!E56</f>
        <v>1103775.0477583334</v>
      </c>
      <c r="M8" s="883">
        <f>L8*$R$3</f>
        <v>55188.752387916669</v>
      </c>
      <c r="S8" s="162"/>
    </row>
    <row r="9" spans="1:21" x14ac:dyDescent="0.2">
      <c r="A9" s="656" t="s">
        <v>461</v>
      </c>
      <c r="B9" s="656"/>
      <c r="C9" s="711">
        <f>PRODUCCION!C44</f>
        <v>20000</v>
      </c>
      <c r="D9" s="258">
        <f>[1]PRODUCCION!$C$38</f>
        <v>0.5</v>
      </c>
      <c r="E9" s="161">
        <v>1</v>
      </c>
      <c r="F9" s="383">
        <v>0.33</v>
      </c>
      <c r="G9" s="383"/>
      <c r="H9" s="711">
        <f>(C9+C9*D9)*E9*F9*PRODUCCION!$I$37</f>
        <v>118800</v>
      </c>
      <c r="I9" s="162"/>
      <c r="J9" s="169"/>
      <c r="K9" s="881" t="s">
        <v>517</v>
      </c>
      <c r="L9" s="882">
        <f>'E-Inv AF y Am'!D56</f>
        <v>1103775.0477583334</v>
      </c>
      <c r="M9" s="883">
        <f>L9*$R$3</f>
        <v>55188.752387916669</v>
      </c>
      <c r="S9" s="162"/>
    </row>
    <row r="10" spans="1:21" x14ac:dyDescent="0.2">
      <c r="A10" s="656" t="s">
        <v>456</v>
      </c>
      <c r="B10" s="656"/>
      <c r="C10" s="711">
        <f>PRODUCCION!C46</f>
        <v>13000</v>
      </c>
      <c r="D10" s="258">
        <f>[1]PRODUCCION!$C$38</f>
        <v>0.5</v>
      </c>
      <c r="E10" s="161">
        <v>1</v>
      </c>
      <c r="F10" s="383">
        <v>0.1</v>
      </c>
      <c r="G10" s="383"/>
      <c r="H10" s="711">
        <f>(C10+C10*D10)*E10*F10*PRODUCCION!$I$37</f>
        <v>23400</v>
      </c>
      <c r="I10" s="162"/>
      <c r="J10" s="169"/>
      <c r="K10" s="881">
        <v>1</v>
      </c>
      <c r="L10" s="882">
        <f>'E-Inv AF y Am'!D56</f>
        <v>1103775.0477583334</v>
      </c>
      <c r="M10" s="883">
        <f>L10*$R$3</f>
        <v>55188.752387916669</v>
      </c>
      <c r="S10" s="162"/>
    </row>
    <row r="11" spans="1:21" x14ac:dyDescent="0.2">
      <c r="A11" s="656" t="s">
        <v>454</v>
      </c>
      <c r="B11" s="656"/>
      <c r="C11" s="711">
        <f>PRODUCCION!C47</f>
        <v>12000</v>
      </c>
      <c r="D11" s="258">
        <f>[1]PRODUCCION!$C$38</f>
        <v>0.5</v>
      </c>
      <c r="E11" s="161">
        <v>1</v>
      </c>
      <c r="F11" s="383">
        <v>0.33</v>
      </c>
      <c r="G11" s="383"/>
      <c r="H11" s="711">
        <f>(C11+C11*D11)*E11*F11*PRODUCCION!$I$37</f>
        <v>71280</v>
      </c>
      <c r="I11" s="162"/>
      <c r="J11" s="169"/>
      <c r="S11" s="162"/>
    </row>
    <row r="12" spans="1:21" x14ac:dyDescent="0.2">
      <c r="A12" s="656" t="s">
        <v>545</v>
      </c>
      <c r="B12" s="656"/>
      <c r="C12" s="711">
        <f>PRODUCCION!C48</f>
        <v>12000</v>
      </c>
      <c r="D12" s="258">
        <f>[1]PRODUCCION!$C$38</f>
        <v>0.5</v>
      </c>
      <c r="E12" s="161">
        <v>1</v>
      </c>
      <c r="F12" s="383">
        <v>0.33</v>
      </c>
      <c r="G12" s="383"/>
      <c r="H12" s="711">
        <f>(C12+C12*D12)*E12*F12*PRODUCCION!$I$37</f>
        <v>71280</v>
      </c>
      <c r="I12" s="162"/>
      <c r="J12" s="169"/>
      <c r="S12" s="162"/>
    </row>
    <row r="13" spans="1:21" ht="13.5" thickBot="1" x14ac:dyDescent="0.25">
      <c r="A13" s="169"/>
      <c r="J13" s="178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65"/>
    </row>
    <row r="14" spans="1:21" ht="12.75" customHeight="1" thickBot="1" x14ac:dyDescent="0.25">
      <c r="A14" s="161" t="s">
        <v>416</v>
      </c>
      <c r="E14" s="161" t="s">
        <v>48</v>
      </c>
      <c r="J14" s="220" t="s">
        <v>597</v>
      </c>
      <c r="O14" s="886" t="s">
        <v>596</v>
      </c>
      <c r="P14" s="886"/>
      <c r="U14" s="162"/>
    </row>
    <row r="15" spans="1:21" ht="12.75" customHeight="1" x14ac:dyDescent="0.2">
      <c r="A15" s="656" t="s">
        <v>598</v>
      </c>
      <c r="B15" s="656"/>
      <c r="C15" s="616">
        <f>SUM(H7:H12)</f>
        <v>789660</v>
      </c>
      <c r="E15" s="656" t="s">
        <v>598</v>
      </c>
      <c r="F15" s="656"/>
      <c r="G15" s="880">
        <f>C15*C4</f>
        <v>710694</v>
      </c>
      <c r="J15" s="625" t="s">
        <v>599</v>
      </c>
      <c r="K15" s="382"/>
      <c r="L15" s="382"/>
      <c r="O15" s="886"/>
      <c r="P15" s="886"/>
      <c r="U15" s="162"/>
    </row>
    <row r="16" spans="1:21" x14ac:dyDescent="0.2">
      <c r="A16" s="169"/>
      <c r="E16" s="43"/>
      <c r="J16" s="887" t="s">
        <v>600</v>
      </c>
      <c r="K16" s="888"/>
      <c r="L16" s="845">
        <v>0.9</v>
      </c>
      <c r="M16" t="s">
        <v>601</v>
      </c>
      <c r="U16" s="162"/>
    </row>
    <row r="17" spans="1:21" x14ac:dyDescent="0.2">
      <c r="A17" s="169"/>
      <c r="B17" s="517" t="s">
        <v>602</v>
      </c>
      <c r="C17" s="517"/>
      <c r="J17" s="169"/>
      <c r="U17" s="162"/>
    </row>
    <row r="18" spans="1:21" x14ac:dyDescent="0.2">
      <c r="A18" s="169"/>
      <c r="B18" s="517"/>
      <c r="C18" s="517"/>
      <c r="J18" s="161" t="s">
        <v>407</v>
      </c>
      <c r="N18" s="161" t="s">
        <v>406</v>
      </c>
      <c r="R18" s="161" t="s">
        <v>48</v>
      </c>
      <c r="U18" s="162"/>
    </row>
    <row r="19" spans="1:21" x14ac:dyDescent="0.2">
      <c r="A19" s="169"/>
      <c r="J19" s="656" t="s">
        <v>598</v>
      </c>
      <c r="K19" s="656"/>
      <c r="L19" s="709">
        <f>SUM(M34:M36)</f>
        <v>173889.38829953119</v>
      </c>
      <c r="N19" s="656" t="s">
        <v>598</v>
      </c>
      <c r="O19" s="656"/>
      <c r="P19" s="709">
        <f>SUM(M34:M36)</f>
        <v>173889.38829953119</v>
      </c>
      <c r="R19" s="656" t="s">
        <v>598</v>
      </c>
      <c r="S19" s="656"/>
      <c r="T19" s="709">
        <f>SUM(N34:N36)</f>
        <v>156500.4494695781</v>
      </c>
      <c r="U19" s="162"/>
    </row>
    <row r="20" spans="1:21" x14ac:dyDescent="0.2">
      <c r="A20" s="169"/>
      <c r="J20" s="169"/>
      <c r="U20" s="162"/>
    </row>
    <row r="21" spans="1:21" x14ac:dyDescent="0.2">
      <c r="A21" s="168"/>
      <c r="B21" s="167"/>
      <c r="C21" s="167"/>
      <c r="D21" s="167"/>
      <c r="E21" s="167"/>
      <c r="F21" s="167"/>
      <c r="G21" s="167"/>
      <c r="H21" s="167"/>
      <c r="I21" s="167"/>
      <c r="J21" s="169"/>
      <c r="U21" s="162"/>
    </row>
    <row r="22" spans="1:21" ht="13.5" thickBot="1" x14ac:dyDescent="0.25">
      <c r="A22" s="178"/>
      <c r="B22" s="177"/>
      <c r="C22" s="177"/>
      <c r="D22" s="177"/>
      <c r="E22" s="177"/>
      <c r="F22" s="177"/>
      <c r="G22" s="177"/>
      <c r="H22" s="177"/>
      <c r="I22" s="165"/>
      <c r="J22" s="169" t="s">
        <v>736</v>
      </c>
      <c r="U22" s="162"/>
    </row>
    <row r="23" spans="1:21" ht="13.5" thickBot="1" x14ac:dyDescent="0.25">
      <c r="A23" s="220" t="s">
        <v>603</v>
      </c>
      <c r="I23" s="162"/>
      <c r="J23" s="169"/>
      <c r="U23" s="162"/>
    </row>
    <row r="24" spans="1:21" x14ac:dyDescent="0.2">
      <c r="A24" s="891" t="s">
        <v>604</v>
      </c>
      <c r="B24" s="353"/>
      <c r="C24" s="352"/>
      <c r="I24" s="162"/>
      <c r="J24" s="169" t="s">
        <v>737</v>
      </c>
      <c r="K24">
        <v>1.4999999999999999E-2</v>
      </c>
      <c r="L24" t="s">
        <v>738</v>
      </c>
      <c r="R24">
        <v>0.05</v>
      </c>
      <c r="U24" s="162"/>
    </row>
    <row r="25" spans="1:21" x14ac:dyDescent="0.2">
      <c r="A25" s="889" t="s">
        <v>605</v>
      </c>
      <c r="B25" s="890"/>
      <c r="C25" s="890"/>
      <c r="D25" s="890"/>
      <c r="E25" s="845">
        <v>0.02</v>
      </c>
      <c r="F25" t="s">
        <v>606</v>
      </c>
      <c r="I25" s="162"/>
      <c r="J25" s="169"/>
      <c r="U25" s="162"/>
    </row>
    <row r="26" spans="1:21" x14ac:dyDescent="0.2">
      <c r="A26" s="889" t="s">
        <v>607</v>
      </c>
      <c r="B26" s="890"/>
      <c r="C26" s="845">
        <v>0.9</v>
      </c>
      <c r="D26" t="s">
        <v>608</v>
      </c>
      <c r="I26" s="162"/>
      <c r="J26" s="169" t="s">
        <v>739</v>
      </c>
      <c r="K26">
        <v>0.01</v>
      </c>
      <c r="L26" t="s">
        <v>740</v>
      </c>
      <c r="U26" s="162"/>
    </row>
    <row r="27" spans="1:21" x14ac:dyDescent="0.2">
      <c r="A27" s="161" t="s">
        <v>416</v>
      </c>
      <c r="I27" s="162"/>
      <c r="J27" s="169"/>
      <c r="U27" s="162"/>
    </row>
    <row r="28" spans="1:21" x14ac:dyDescent="0.2">
      <c r="A28" s="657" t="s">
        <v>598</v>
      </c>
      <c r="B28" s="658"/>
      <c r="C28" s="711">
        <f>E25*PRODUCCION!M41</f>
        <v>1117.7258841599999</v>
      </c>
      <c r="I28" s="162"/>
      <c r="J28" s="169" t="s">
        <v>741</v>
      </c>
      <c r="M28">
        <v>0.03</v>
      </c>
      <c r="N28" t="s">
        <v>742</v>
      </c>
      <c r="U28" s="162"/>
    </row>
    <row r="29" spans="1:21" x14ac:dyDescent="0.2">
      <c r="A29" s="169"/>
      <c r="E29" s="517" t="s">
        <v>609</v>
      </c>
      <c r="F29" s="517"/>
      <c r="G29" s="517"/>
      <c r="I29" s="162"/>
      <c r="J29" s="169"/>
      <c r="Q29" s="654" t="s">
        <v>758</v>
      </c>
      <c r="U29" s="162"/>
    </row>
    <row r="30" spans="1:21" x14ac:dyDescent="0.2">
      <c r="A30" s="161" t="s">
        <v>48</v>
      </c>
      <c r="E30" s="517"/>
      <c r="F30" s="517"/>
      <c r="G30" s="517"/>
      <c r="I30" s="162"/>
      <c r="J30" s="169" t="s">
        <v>743</v>
      </c>
      <c r="L30">
        <v>0.9</v>
      </c>
      <c r="M30" t="s">
        <v>583</v>
      </c>
      <c r="P30" s="654" t="s">
        <v>48</v>
      </c>
      <c r="Q30" s="709">
        <f>1/12*T19</f>
        <v>13041.704122464842</v>
      </c>
      <c r="U30" s="162"/>
    </row>
    <row r="31" spans="1:21" x14ac:dyDescent="0.2">
      <c r="A31" s="657" t="s">
        <v>598</v>
      </c>
      <c r="B31" s="658"/>
      <c r="C31" s="711">
        <f>C28*C26</f>
        <v>1005.9532957439999</v>
      </c>
      <c r="I31" s="162"/>
      <c r="J31" s="169"/>
      <c r="P31" s="654" t="s">
        <v>759</v>
      </c>
      <c r="Q31" s="709">
        <f>1/12*P19</f>
        <v>14490.782358294266</v>
      </c>
      <c r="U31" s="162"/>
    </row>
    <row r="32" spans="1:21" x14ac:dyDescent="0.2">
      <c r="A32" s="169"/>
      <c r="I32" s="162"/>
      <c r="J32" s="169"/>
      <c r="Q32" s="322"/>
      <c r="U32" s="162"/>
    </row>
    <row r="33" spans="1:21" x14ac:dyDescent="0.2">
      <c r="A33" s="169"/>
      <c r="I33" s="162"/>
      <c r="J33" s="169"/>
      <c r="M33" s="881" t="s">
        <v>416</v>
      </c>
      <c r="N33" s="881" t="s">
        <v>48</v>
      </c>
      <c r="U33" s="162"/>
    </row>
    <row r="34" spans="1:21" x14ac:dyDescent="0.2">
      <c r="A34" s="168"/>
      <c r="B34" s="167"/>
      <c r="C34" s="167"/>
      <c r="D34" s="167"/>
      <c r="E34" s="167"/>
      <c r="F34" s="167"/>
      <c r="G34" s="167"/>
      <c r="H34" s="167"/>
      <c r="I34" s="166"/>
      <c r="J34" s="169"/>
      <c r="K34" s="657" t="s">
        <v>456</v>
      </c>
      <c r="L34" s="658"/>
      <c r="M34" s="829">
        <f>'E-Inv AF y Am'!B20*ADM!K24*ADM!R24</f>
        <v>8238.8274775312511</v>
      </c>
      <c r="N34" s="829">
        <f>0.9*M34</f>
        <v>7414.9447297781262</v>
      </c>
      <c r="U34" s="162"/>
    </row>
    <row r="35" spans="1:21" ht="13.5" thickBot="1" x14ac:dyDescent="0.25">
      <c r="A35" s="178"/>
      <c r="B35" s="177"/>
      <c r="C35" s="177"/>
      <c r="D35" s="177"/>
      <c r="E35" s="177"/>
      <c r="F35" s="177"/>
      <c r="G35" s="177"/>
      <c r="H35" s="177"/>
      <c r="I35" s="165"/>
      <c r="K35" s="657" t="s">
        <v>744</v>
      </c>
      <c r="L35" s="658"/>
      <c r="M35" s="829">
        <f>AVERAGE('E-Costos'!C17:F17)*K26</f>
        <v>141960.76082199995</v>
      </c>
      <c r="N35" s="829">
        <f>0.9*M35</f>
        <v>127764.68473979997</v>
      </c>
      <c r="U35" s="162"/>
    </row>
    <row r="36" spans="1:21" ht="13.5" thickBot="1" x14ac:dyDescent="0.25">
      <c r="A36" s="220" t="s">
        <v>610</v>
      </c>
      <c r="I36" s="162"/>
      <c r="K36" s="657" t="s">
        <v>745</v>
      </c>
      <c r="L36" s="658"/>
      <c r="M36" s="829">
        <f>C15*M28</f>
        <v>23689.8</v>
      </c>
      <c r="N36" s="829">
        <f>0.9*M36</f>
        <v>21320.82</v>
      </c>
      <c r="U36" s="162"/>
    </row>
    <row r="37" spans="1:21" x14ac:dyDescent="0.2">
      <c r="A37" s="891" t="s">
        <v>611</v>
      </c>
      <c r="B37" s="353"/>
      <c r="C37" s="352"/>
      <c r="I37" s="162"/>
      <c r="M37" s="264"/>
      <c r="N37" s="264"/>
      <c r="U37" s="162"/>
    </row>
    <row r="38" spans="1:21" x14ac:dyDescent="0.2">
      <c r="A38" s="169"/>
      <c r="C38" s="322"/>
      <c r="I38" s="162"/>
      <c r="U38" s="162"/>
    </row>
    <row r="39" spans="1:21" x14ac:dyDescent="0.2">
      <c r="A39" s="656" t="s">
        <v>612</v>
      </c>
      <c r="B39" s="656"/>
      <c r="C39" s="711">
        <v>20000</v>
      </c>
      <c r="I39" s="162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6"/>
    </row>
    <row r="40" spans="1:21" ht="13.5" thickBot="1" x14ac:dyDescent="0.25">
      <c r="A40" s="562" t="s">
        <v>613</v>
      </c>
      <c r="B40" s="562"/>
      <c r="C40" s="711">
        <v>15000</v>
      </c>
      <c r="J40" s="178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65"/>
    </row>
    <row r="41" spans="1:21" ht="13.5" thickBot="1" x14ac:dyDescent="0.25">
      <c r="A41" s="561" t="s">
        <v>614</v>
      </c>
      <c r="B41" s="561"/>
      <c r="C41" s="711">
        <v>40000</v>
      </c>
      <c r="J41" s="220" t="s">
        <v>615</v>
      </c>
      <c r="U41" s="162"/>
    </row>
    <row r="42" spans="1:21" x14ac:dyDescent="0.2">
      <c r="A42" s="169"/>
      <c r="J42" s="859" t="s">
        <v>616</v>
      </c>
      <c r="K42" s="383"/>
      <c r="L42" s="383"/>
      <c r="M42" s="383"/>
      <c r="U42" s="162"/>
    </row>
    <row r="43" spans="1:21" x14ac:dyDescent="0.2">
      <c r="A43" s="161" t="s">
        <v>617</v>
      </c>
      <c r="J43" s="169"/>
      <c r="U43" s="162"/>
    </row>
    <row r="44" spans="1:21" x14ac:dyDescent="0.2">
      <c r="A44" s="657" t="s">
        <v>598</v>
      </c>
      <c r="B44" s="658"/>
      <c r="C44" s="711">
        <f>SUM(C39:C41)</f>
        <v>75000</v>
      </c>
      <c r="J44" s="376" t="s">
        <v>618</v>
      </c>
      <c r="K44" s="809"/>
      <c r="L44" s="809"/>
      <c r="M44" s="256">
        <v>0.05</v>
      </c>
      <c r="N44" t="s">
        <v>619</v>
      </c>
      <c r="U44" s="162"/>
    </row>
    <row r="45" spans="1:21" x14ac:dyDescent="0.2">
      <c r="A45" s="169"/>
      <c r="J45" s="376" t="s">
        <v>620</v>
      </c>
      <c r="K45" s="809"/>
      <c r="L45" s="809"/>
      <c r="M45" s="845">
        <v>0.05</v>
      </c>
      <c r="N45" t="s">
        <v>621</v>
      </c>
      <c r="U45" s="162"/>
    </row>
    <row r="46" spans="1:21" x14ac:dyDescent="0.2">
      <c r="A46" s="516" t="s">
        <v>622</v>
      </c>
      <c r="B46" s="517"/>
      <c r="C46" s="517"/>
      <c r="D46" s="517"/>
      <c r="J46" s="376" t="s">
        <v>623</v>
      </c>
      <c r="K46" s="809"/>
      <c r="L46" s="809"/>
      <c r="M46" s="845">
        <v>0.02</v>
      </c>
      <c r="N46" t="s">
        <v>624</v>
      </c>
      <c r="U46" s="162"/>
    </row>
    <row r="47" spans="1:21" x14ac:dyDescent="0.2">
      <c r="A47" s="516"/>
      <c r="B47" s="517"/>
      <c r="C47" s="517"/>
      <c r="D47" s="517"/>
      <c r="J47" s="376" t="s">
        <v>625</v>
      </c>
      <c r="K47" s="809"/>
      <c r="L47" s="809"/>
      <c r="M47" s="896">
        <v>4.0000000000000002E-4</v>
      </c>
      <c r="N47" t="s">
        <v>626</v>
      </c>
      <c r="U47" s="162"/>
    </row>
    <row r="48" spans="1:21" ht="13.5" thickBot="1" x14ac:dyDescent="0.25">
      <c r="A48" s="169"/>
      <c r="B48" s="167"/>
      <c r="C48" s="167"/>
      <c r="D48" s="167"/>
      <c r="E48" s="167"/>
      <c r="F48" s="167"/>
      <c r="G48" s="167"/>
      <c r="H48" s="167"/>
      <c r="I48" s="167"/>
      <c r="J48" s="376" t="s">
        <v>627</v>
      </c>
      <c r="K48" s="375"/>
      <c r="L48" s="375"/>
      <c r="M48" s="896">
        <v>1.2E-2</v>
      </c>
      <c r="N48" t="s">
        <v>626</v>
      </c>
      <c r="U48" s="162"/>
    </row>
    <row r="49" spans="1:21" ht="13.5" thickBot="1" x14ac:dyDescent="0.25">
      <c r="A49" s="220" t="s">
        <v>747</v>
      </c>
      <c r="J49" s="169"/>
      <c r="U49" s="162"/>
    </row>
    <row r="50" spans="1:21" ht="13.5" thickBot="1" x14ac:dyDescent="0.25">
      <c r="J50" s="221" t="s">
        <v>617</v>
      </c>
      <c r="U50" s="162"/>
    </row>
    <row r="51" spans="1:21" x14ac:dyDescent="0.2">
      <c r="A51" s="351" t="s">
        <v>748</v>
      </c>
      <c r="B51" s="353"/>
      <c r="C51" s="352"/>
      <c r="J51" s="686" t="s">
        <v>424</v>
      </c>
      <c r="K51" s="892"/>
      <c r="L51" s="892"/>
      <c r="M51" s="897">
        <f>PRODUCCION!$C$93*ADM!M44</f>
        <v>504</v>
      </c>
      <c r="U51" s="162"/>
    </row>
    <row r="52" spans="1:21" x14ac:dyDescent="0.2">
      <c r="J52" s="687" t="s">
        <v>628</v>
      </c>
      <c r="K52" s="656"/>
      <c r="L52" s="656"/>
      <c r="M52" s="898">
        <f>PRODUCCION!$C$94*ADM!M45</f>
        <v>630</v>
      </c>
      <c r="U52" s="162"/>
    </row>
    <row r="53" spans="1:21" x14ac:dyDescent="0.2">
      <c r="A53" t="s">
        <v>749</v>
      </c>
      <c r="J53" s="687" t="s">
        <v>629</v>
      </c>
      <c r="K53" s="656"/>
      <c r="L53" s="656"/>
      <c r="M53" s="898">
        <f>PRODUCCION!$C$95*ADM!M46</f>
        <v>60</v>
      </c>
      <c r="O53" s="517" t="s">
        <v>630</v>
      </c>
      <c r="P53" s="517"/>
      <c r="Q53" s="517"/>
      <c r="U53" s="162"/>
    </row>
    <row r="54" spans="1:21" x14ac:dyDescent="0.2">
      <c r="A54" t="s">
        <v>750</v>
      </c>
      <c r="C54" s="191">
        <v>0.95</v>
      </c>
      <c r="D54" t="s">
        <v>583</v>
      </c>
      <c r="J54" s="687" t="s">
        <v>631</v>
      </c>
      <c r="K54" s="656"/>
      <c r="L54" s="656"/>
      <c r="M54" s="898">
        <f>InfoInicial!$B$45*ADM!M47</f>
        <v>12000</v>
      </c>
      <c r="O54" s="517"/>
      <c r="P54" s="517"/>
      <c r="Q54" s="517"/>
      <c r="U54" s="162"/>
    </row>
    <row r="55" spans="1:21" x14ac:dyDescent="0.2">
      <c r="J55" s="687" t="s">
        <v>627</v>
      </c>
      <c r="K55" s="656"/>
      <c r="L55" s="656"/>
      <c r="M55" s="898">
        <f>InfoInicial!$B$45*ADM!M48</f>
        <v>360000</v>
      </c>
      <c r="U55" s="162"/>
    </row>
    <row r="56" spans="1:21" x14ac:dyDescent="0.2">
      <c r="B56" s="654" t="s">
        <v>48</v>
      </c>
      <c r="C56" s="654" t="s">
        <v>416</v>
      </c>
      <c r="J56" s="893"/>
      <c r="K56" s="353"/>
      <c r="L56" s="352"/>
      <c r="M56" s="899"/>
      <c r="U56" s="162"/>
    </row>
    <row r="57" spans="1:21" ht="13.5" thickBot="1" x14ac:dyDescent="0.25">
      <c r="A57" s="654" t="s">
        <v>598</v>
      </c>
      <c r="B57" s="829">
        <f>(B60*D60+B61*D61+H61)*C54</f>
        <v>95018.559199999989</v>
      </c>
      <c r="C57" s="829">
        <f>B60*D60+B61*D61+H61</f>
        <v>100019.53599999999</v>
      </c>
      <c r="J57" s="894" t="s">
        <v>632</v>
      </c>
      <c r="K57" s="895"/>
      <c r="L57" s="895"/>
      <c r="M57" s="900">
        <f>SUM(M51:M55)</f>
        <v>373194</v>
      </c>
      <c r="U57" s="162"/>
    </row>
    <row r="58" spans="1:21" x14ac:dyDescent="0.2">
      <c r="J58" s="169"/>
      <c r="U58" s="162"/>
    </row>
    <row r="59" spans="1:21" x14ac:dyDescent="0.2">
      <c r="J59" s="168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6"/>
    </row>
    <row r="60" spans="1:21" x14ac:dyDescent="0.2">
      <c r="A60" s="654" t="s">
        <v>574</v>
      </c>
      <c r="B60" s="161">
        <v>1000</v>
      </c>
      <c r="C60" s="161" t="s">
        <v>575</v>
      </c>
      <c r="D60" s="161">
        <v>19</v>
      </c>
      <c r="E60" s="161" t="s">
        <v>577</v>
      </c>
    </row>
    <row r="61" spans="1:21" x14ac:dyDescent="0.2">
      <c r="A61" s="654" t="s">
        <v>751</v>
      </c>
      <c r="B61" s="161">
        <v>2000</v>
      </c>
      <c r="C61" s="161" t="s">
        <v>752</v>
      </c>
      <c r="D61" s="901">
        <v>0.117768</v>
      </c>
      <c r="E61" s="161" t="s">
        <v>579</v>
      </c>
      <c r="F61" s="161" t="s">
        <v>753</v>
      </c>
      <c r="G61" s="161"/>
      <c r="H61" s="829">
        <v>80784</v>
      </c>
      <c r="I61" t="s">
        <v>578</v>
      </c>
    </row>
  </sheetData>
  <mergeCells count="63">
    <mergeCell ref="A51:C51"/>
    <mergeCell ref="A37:C37"/>
    <mergeCell ref="A28:B28"/>
    <mergeCell ref="A31:B31"/>
    <mergeCell ref="K34:L34"/>
    <mergeCell ref="K35:L35"/>
    <mergeCell ref="K36:L36"/>
    <mergeCell ref="A44:B44"/>
    <mergeCell ref="J47:L47"/>
    <mergeCell ref="J46:L46"/>
    <mergeCell ref="J45:L45"/>
    <mergeCell ref="J44:L44"/>
    <mergeCell ref="A40:B40"/>
    <mergeCell ref="A41:B41"/>
    <mergeCell ref="J42:M42"/>
    <mergeCell ref="A46:D47"/>
    <mergeCell ref="J48:L48"/>
    <mergeCell ref="J19:K19"/>
    <mergeCell ref="N19:O19"/>
    <mergeCell ref="R19:S19"/>
    <mergeCell ref="E29:G30"/>
    <mergeCell ref="J57:L57"/>
    <mergeCell ref="J51:L51"/>
    <mergeCell ref="J52:L52"/>
    <mergeCell ref="J53:L53"/>
    <mergeCell ref="O53:Q54"/>
    <mergeCell ref="J54:L54"/>
    <mergeCell ref="J55:L55"/>
    <mergeCell ref="J56:L56"/>
    <mergeCell ref="O14:P15"/>
    <mergeCell ref="A15:B15"/>
    <mergeCell ref="E15:F15"/>
    <mergeCell ref="J15:L15"/>
    <mergeCell ref="B17:C18"/>
    <mergeCell ref="J16:K16"/>
    <mergeCell ref="A11:B11"/>
    <mergeCell ref="F11:G11"/>
    <mergeCell ref="A39:B39"/>
    <mergeCell ref="A12:B12"/>
    <mergeCell ref="F12:G12"/>
    <mergeCell ref="A24:C24"/>
    <mergeCell ref="A25:D25"/>
    <mergeCell ref="A26:B26"/>
    <mergeCell ref="A8:B8"/>
    <mergeCell ref="F8:G8"/>
    <mergeCell ref="A9:B9"/>
    <mergeCell ref="F9:G9"/>
    <mergeCell ref="A10:B10"/>
    <mergeCell ref="F10:G10"/>
    <mergeCell ref="P3:Q3"/>
    <mergeCell ref="A5:B6"/>
    <mergeCell ref="C5:C6"/>
    <mergeCell ref="D5:D6"/>
    <mergeCell ref="E5:E6"/>
    <mergeCell ref="F5:G6"/>
    <mergeCell ref="H5:H6"/>
    <mergeCell ref="K5:K7"/>
    <mergeCell ref="L5:L7"/>
    <mergeCell ref="M5:M7"/>
    <mergeCell ref="O6:P7"/>
    <mergeCell ref="A7:B7"/>
    <mergeCell ref="F7:G7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9"/>
  <sheetViews>
    <sheetView topLeftCell="A4" zoomScale="70" zoomScaleNormal="70" workbookViewId="0">
      <selection activeCell="H15" sqref="H15"/>
    </sheetView>
  </sheetViews>
  <sheetFormatPr baseColWidth="10" defaultRowHeight="12.75" x14ac:dyDescent="0.2"/>
  <cols>
    <col min="2" max="2" width="20.7109375" customWidth="1"/>
    <col min="3" max="3" width="16.5703125" customWidth="1"/>
    <col min="4" max="4" width="15.28515625" customWidth="1"/>
    <col min="5" max="5" width="15.42578125" customWidth="1"/>
    <col min="6" max="6" width="16.7109375" customWidth="1"/>
    <col min="7" max="7" width="16.28515625" customWidth="1"/>
    <col min="8" max="8" width="21.7109375" customWidth="1"/>
    <col min="9" max="10" width="18" customWidth="1"/>
    <col min="11" max="11" width="26.140625" customWidth="1"/>
    <col min="14" max="14" width="14.42578125" bestFit="1" customWidth="1"/>
  </cols>
  <sheetData>
    <row r="1" spans="1:19" ht="15" x14ac:dyDescent="0.2">
      <c r="A1" s="902"/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7"/>
    </row>
    <row r="2" spans="1:19" ht="15" x14ac:dyDescent="0.2">
      <c r="A2" s="902" t="s">
        <v>634</v>
      </c>
      <c r="B2" s="902"/>
      <c r="C2" s="902"/>
      <c r="D2" s="902"/>
      <c r="E2" s="911"/>
      <c r="F2" s="911"/>
      <c r="G2" s="911"/>
      <c r="H2" s="902"/>
      <c r="I2" s="902"/>
      <c r="J2" s="902"/>
      <c r="K2" s="902"/>
      <c r="L2" s="902"/>
      <c r="M2" s="902"/>
      <c r="N2" s="902"/>
      <c r="O2" s="902"/>
      <c r="P2" s="902"/>
      <c r="Q2" s="7"/>
    </row>
    <row r="3" spans="1:19" ht="15" x14ac:dyDescent="0.2">
      <c r="A3" s="902"/>
      <c r="B3" s="902"/>
      <c r="C3" s="902"/>
      <c r="D3" s="902"/>
      <c r="E3" s="911"/>
      <c r="F3" s="911"/>
      <c r="G3" s="911"/>
      <c r="H3" s="902"/>
      <c r="I3" s="902"/>
      <c r="J3" s="911"/>
      <c r="K3" s="911"/>
      <c r="L3" s="911"/>
      <c r="M3" s="911"/>
      <c r="N3" s="902"/>
      <c r="O3" s="902"/>
      <c r="P3" s="902"/>
      <c r="Q3" s="7"/>
    </row>
    <row r="4" spans="1:19" ht="15" x14ac:dyDescent="0.2">
      <c r="A4" s="919"/>
      <c r="B4" s="919"/>
      <c r="C4" s="919"/>
      <c r="D4" s="922" t="s">
        <v>47</v>
      </c>
      <c r="E4" s="917"/>
      <c r="F4" s="917"/>
      <c r="G4" s="917"/>
      <c r="H4" s="921" t="s">
        <v>635</v>
      </c>
      <c r="I4" s="921"/>
      <c r="J4" s="915"/>
      <c r="K4" s="915"/>
      <c r="L4" s="915"/>
      <c r="M4" s="911"/>
      <c r="N4" s="902"/>
      <c r="O4" s="902"/>
      <c r="P4" s="902"/>
      <c r="Q4" s="7"/>
    </row>
    <row r="5" spans="1:19" ht="15" x14ac:dyDescent="0.2">
      <c r="A5" s="920" t="s">
        <v>636</v>
      </c>
      <c r="B5" s="920"/>
      <c r="C5" s="920"/>
      <c r="D5" s="923">
        <v>0.6</v>
      </c>
      <c r="E5" s="916" t="s">
        <v>637</v>
      </c>
      <c r="F5" s="916"/>
      <c r="G5" s="916"/>
      <c r="H5" s="905">
        <v>0.03</v>
      </c>
      <c r="I5" s="903"/>
      <c r="J5" s="911" t="s">
        <v>638</v>
      </c>
      <c r="K5" s="911"/>
      <c r="L5" s="911"/>
      <c r="M5" s="911"/>
      <c r="N5" s="902"/>
      <c r="O5" s="902"/>
      <c r="P5" s="902"/>
      <c r="Q5" s="7"/>
    </row>
    <row r="6" spans="1:19" ht="15" x14ac:dyDescent="0.2">
      <c r="A6" s="919" t="s">
        <v>639</v>
      </c>
      <c r="B6" s="919"/>
      <c r="C6" s="919"/>
      <c r="D6" s="913">
        <v>0</v>
      </c>
      <c r="E6" s="911"/>
      <c r="F6" s="911"/>
      <c r="G6" s="911"/>
      <c r="H6" s="903">
        <v>30</v>
      </c>
      <c r="I6" s="903"/>
      <c r="J6" s="914" t="s">
        <v>446</v>
      </c>
      <c r="K6" s="914"/>
      <c r="L6" s="914"/>
      <c r="M6" s="911"/>
      <c r="N6" s="902"/>
      <c r="O6" s="902"/>
      <c r="P6" s="902"/>
      <c r="Q6" s="7"/>
    </row>
    <row r="7" spans="1:19" ht="15" x14ac:dyDescent="0.2">
      <c r="A7" s="919" t="s">
        <v>640</v>
      </c>
      <c r="B7" s="919"/>
      <c r="C7" s="919"/>
      <c r="D7" s="923">
        <v>0.8</v>
      </c>
      <c r="E7" s="911" t="s">
        <v>641</v>
      </c>
      <c r="F7" s="911"/>
      <c r="G7" s="911"/>
      <c r="H7" s="906">
        <v>6</v>
      </c>
      <c r="I7" s="906"/>
      <c r="J7" s="911" t="s">
        <v>642</v>
      </c>
      <c r="K7" s="911"/>
      <c r="L7" s="911"/>
      <c r="M7" s="911"/>
      <c r="N7" s="902"/>
      <c r="O7" s="902"/>
      <c r="P7" s="902"/>
      <c r="Q7" s="7"/>
    </row>
    <row r="8" spans="1:19" ht="15" x14ac:dyDescent="0.2">
      <c r="A8" s="919" t="s">
        <v>643</v>
      </c>
      <c r="B8" s="919"/>
      <c r="C8" s="919"/>
      <c r="D8" s="923">
        <v>0.8</v>
      </c>
      <c r="E8" s="918" t="s">
        <v>641</v>
      </c>
      <c r="F8" s="918"/>
      <c r="G8" s="918"/>
      <c r="H8" s="906">
        <v>3</v>
      </c>
      <c r="I8" s="906"/>
      <c r="J8" s="911" t="s">
        <v>642</v>
      </c>
      <c r="K8" s="911"/>
      <c r="L8" s="911"/>
      <c r="M8" s="911"/>
      <c r="N8" s="902"/>
      <c r="O8" s="193"/>
      <c r="P8" s="7"/>
      <c r="Q8" s="7"/>
    </row>
    <row r="9" spans="1:19" ht="15" x14ac:dyDescent="0.2">
      <c r="A9" s="902"/>
      <c r="B9" s="902"/>
      <c r="C9" s="902"/>
      <c r="D9" s="902"/>
      <c r="E9" s="911"/>
      <c r="F9" s="911"/>
      <c r="G9" s="911"/>
      <c r="H9" s="902"/>
      <c r="I9" s="902"/>
      <c r="J9" s="911"/>
      <c r="K9" s="911"/>
      <c r="L9" s="911"/>
      <c r="M9" s="911"/>
      <c r="N9" s="902"/>
      <c r="O9" s="193"/>
      <c r="P9" s="193"/>
      <c r="Q9" s="193"/>
      <c r="R9" s="43"/>
      <c r="S9" s="43"/>
    </row>
    <row r="10" spans="1:19" ht="15" x14ac:dyDescent="0.2">
      <c r="A10" s="902"/>
      <c r="B10" s="902"/>
      <c r="C10" s="902"/>
      <c r="D10" s="902"/>
      <c r="E10" s="911"/>
      <c r="F10" s="911"/>
      <c r="G10" s="911"/>
      <c r="H10" s="902"/>
      <c r="I10" s="902"/>
      <c r="J10" s="902"/>
      <c r="K10" s="902"/>
      <c r="L10" s="902"/>
      <c r="M10" s="902"/>
      <c r="N10" s="902"/>
      <c r="O10" s="193"/>
      <c r="P10" s="193"/>
      <c r="Q10" s="193"/>
      <c r="R10" s="43"/>
      <c r="S10" s="43"/>
    </row>
    <row r="11" spans="1:19" ht="15.75" x14ac:dyDescent="0.25">
      <c r="A11" s="927" t="s">
        <v>636</v>
      </c>
      <c r="B11" s="928"/>
      <c r="C11" s="929"/>
      <c r="D11" s="902"/>
      <c r="E11" s="911"/>
      <c r="F11" s="911"/>
      <c r="G11" s="911"/>
      <c r="H11" s="902"/>
      <c r="I11" s="902"/>
      <c r="J11" s="902"/>
      <c r="K11" s="926" t="s">
        <v>707</v>
      </c>
      <c r="L11" s="926"/>
      <c r="M11" s="926"/>
      <c r="N11" s="926"/>
      <c r="O11" s="193"/>
      <c r="P11" s="193"/>
      <c r="Q11" s="193"/>
      <c r="R11" s="43"/>
      <c r="S11" s="43"/>
    </row>
    <row r="12" spans="1:19" ht="15" x14ac:dyDescent="0.2">
      <c r="A12" s="930" t="s">
        <v>644</v>
      </c>
      <c r="B12" s="932" t="s">
        <v>645</v>
      </c>
      <c r="C12" s="933"/>
      <c r="D12" s="902"/>
      <c r="E12" s="902"/>
      <c r="F12" s="902"/>
      <c r="G12" s="902"/>
      <c r="H12" s="902"/>
      <c r="I12" s="902"/>
      <c r="J12" s="902"/>
      <c r="K12" s="902"/>
      <c r="L12" s="902"/>
      <c r="M12" s="902"/>
      <c r="N12" s="902"/>
      <c r="O12" s="193"/>
      <c r="P12" s="193"/>
      <c r="Q12" s="193"/>
      <c r="R12" s="43"/>
      <c r="S12" s="261"/>
    </row>
    <row r="13" spans="1:19" ht="15" x14ac:dyDescent="0.2">
      <c r="A13" s="930" t="s">
        <v>47</v>
      </c>
      <c r="B13" s="950">
        <f>+D5*B14</f>
        <v>540000</v>
      </c>
      <c r="C13" s="951"/>
      <c r="D13" s="902"/>
      <c r="E13" s="902"/>
      <c r="F13" s="902"/>
      <c r="G13" s="902"/>
      <c r="H13" s="902"/>
      <c r="I13" s="902"/>
      <c r="J13" s="902"/>
      <c r="K13" s="902"/>
      <c r="L13" s="902"/>
      <c r="M13" s="902"/>
      <c r="N13" s="902"/>
      <c r="O13" s="193"/>
      <c r="P13" s="193"/>
      <c r="Q13" s="193"/>
      <c r="R13" s="43"/>
      <c r="S13" s="261"/>
    </row>
    <row r="14" spans="1:19" ht="15" x14ac:dyDescent="0.2">
      <c r="A14" s="930" t="s">
        <v>48</v>
      </c>
      <c r="B14" s="950">
        <f>$H$5*InfoInicial!$B$45</f>
        <v>900000</v>
      </c>
      <c r="C14" s="951"/>
      <c r="D14" s="902"/>
      <c r="E14" s="902"/>
      <c r="F14" s="902"/>
      <c r="G14" s="902"/>
      <c r="H14" s="902"/>
      <c r="I14" s="902"/>
      <c r="J14" s="902"/>
      <c r="K14" s="863" t="s">
        <v>652</v>
      </c>
      <c r="L14" s="864"/>
      <c r="M14" s="881" t="s">
        <v>566</v>
      </c>
      <c r="N14" s="881" t="s">
        <v>653</v>
      </c>
      <c r="O14" s="193"/>
      <c r="P14" s="193"/>
      <c r="Q14" s="193"/>
      <c r="R14" s="43"/>
      <c r="S14" s="261"/>
    </row>
    <row r="15" spans="1:19" ht="15" x14ac:dyDescent="0.2">
      <c r="A15" s="930" t="s">
        <v>416</v>
      </c>
      <c r="B15" s="950">
        <f>$H$5*InfoInicial!$B$45</f>
        <v>900000</v>
      </c>
      <c r="C15" s="951"/>
      <c r="D15" s="902"/>
      <c r="E15" s="902"/>
      <c r="F15" s="902"/>
      <c r="G15" s="902"/>
      <c r="H15" s="902"/>
      <c r="I15" s="902"/>
      <c r="J15" s="902"/>
      <c r="K15" s="924" t="s">
        <v>651</v>
      </c>
      <c r="L15" s="881" t="s">
        <v>654</v>
      </c>
      <c r="M15" s="925" t="s">
        <v>655</v>
      </c>
      <c r="N15" s="925">
        <v>10000</v>
      </c>
      <c r="O15" s="193"/>
      <c r="P15" s="193"/>
      <c r="Q15" s="193"/>
      <c r="R15" s="43"/>
      <c r="S15" s="261"/>
    </row>
    <row r="16" spans="1:19" ht="15" x14ac:dyDescent="0.2">
      <c r="A16" s="902"/>
      <c r="B16" s="902"/>
      <c r="C16" s="902"/>
      <c r="D16" s="902"/>
      <c r="E16" s="902"/>
      <c r="F16" s="902"/>
      <c r="G16" s="902"/>
      <c r="H16" s="902"/>
      <c r="I16" s="902"/>
      <c r="J16" s="902"/>
      <c r="K16" s="957" t="s">
        <v>303</v>
      </c>
      <c r="L16" s="958"/>
      <c r="M16" s="958"/>
      <c r="N16" s="958"/>
      <c r="O16" s="615"/>
      <c r="P16" s="193"/>
      <c r="Q16" s="193"/>
      <c r="R16" s="43"/>
      <c r="S16" s="261"/>
    </row>
    <row r="17" spans="1:19" ht="15" x14ac:dyDescent="0.2">
      <c r="A17" s="902"/>
      <c r="B17" s="902"/>
      <c r="C17" s="902"/>
      <c r="D17" s="902"/>
      <c r="E17" s="902"/>
      <c r="F17" s="902"/>
      <c r="G17" s="902"/>
      <c r="H17" s="902"/>
      <c r="I17" s="902"/>
      <c r="J17" s="902"/>
      <c r="K17" s="934">
        <f t="shared" ref="K17:K33" si="0">M17/$M$24</f>
        <v>0.04</v>
      </c>
      <c r="L17" s="958" t="s">
        <v>559</v>
      </c>
      <c r="M17" s="959">
        <v>4</v>
      </c>
      <c r="N17" s="958">
        <f>$N$15*K17</f>
        <v>400</v>
      </c>
      <c r="O17" s="615"/>
      <c r="P17" s="193"/>
      <c r="Q17" s="193"/>
      <c r="R17" s="43"/>
      <c r="S17" s="261"/>
    </row>
    <row r="18" spans="1:19" ht="15.75" x14ac:dyDescent="0.25">
      <c r="A18" s="927" t="s">
        <v>646</v>
      </c>
      <c r="B18" s="928"/>
      <c r="C18" s="928"/>
      <c r="D18" s="929"/>
      <c r="E18" s="908"/>
      <c r="F18" s="908"/>
      <c r="G18" s="908"/>
      <c r="H18" s="908"/>
      <c r="I18" s="908"/>
      <c r="J18" s="908"/>
      <c r="K18" s="934">
        <f t="shared" si="0"/>
        <v>0.5</v>
      </c>
      <c r="L18" s="958" t="s">
        <v>565</v>
      </c>
      <c r="M18" s="959">
        <v>50</v>
      </c>
      <c r="N18" s="958">
        <f t="shared" ref="N18:N24" si="1">$N$15*K18</f>
        <v>5000</v>
      </c>
      <c r="O18" s="953"/>
      <c r="P18" s="193"/>
      <c r="Q18" s="193"/>
      <c r="R18" s="43"/>
      <c r="S18" s="261"/>
    </row>
    <row r="19" spans="1:19" ht="15" x14ac:dyDescent="0.2">
      <c r="A19" s="944" t="s">
        <v>644</v>
      </c>
      <c r="B19" s="937" t="s">
        <v>645</v>
      </c>
      <c r="C19" s="911"/>
      <c r="D19" s="911"/>
      <c r="E19" s="911"/>
      <c r="F19" s="902"/>
      <c r="G19" s="902"/>
      <c r="H19" s="902"/>
      <c r="I19" s="902"/>
      <c r="J19" s="902"/>
      <c r="K19" s="934">
        <f t="shared" si="0"/>
        <v>0.15</v>
      </c>
      <c r="L19" s="958" t="s">
        <v>560</v>
      </c>
      <c r="M19" s="959">
        <v>15</v>
      </c>
      <c r="N19" s="958">
        <f t="shared" si="1"/>
        <v>1500</v>
      </c>
      <c r="O19" s="953"/>
      <c r="P19" s="193"/>
      <c r="Q19" s="193"/>
      <c r="R19" s="43"/>
      <c r="S19" s="261"/>
    </row>
    <row r="20" spans="1:19" ht="15" x14ac:dyDescent="0.2">
      <c r="A20" s="937" t="s">
        <v>48</v>
      </c>
      <c r="B20" s="948">
        <f>($H$6*InfoInicial!B46)/365</f>
        <v>2131849.3150684931</v>
      </c>
      <c r="C20" s="943"/>
      <c r="D20" s="943"/>
      <c r="E20" s="911"/>
      <c r="F20" s="902"/>
      <c r="G20" s="902"/>
      <c r="H20" s="902"/>
      <c r="I20" s="902"/>
      <c r="J20" s="902"/>
      <c r="K20" s="934">
        <f t="shared" si="0"/>
        <v>0.01</v>
      </c>
      <c r="L20" s="958" t="s">
        <v>561</v>
      </c>
      <c r="M20" s="959">
        <v>1</v>
      </c>
      <c r="N20" s="958">
        <f t="shared" si="1"/>
        <v>100</v>
      </c>
      <c r="O20" s="615"/>
      <c r="P20" s="193"/>
      <c r="Q20" s="193"/>
      <c r="R20" s="43"/>
      <c r="S20" s="43"/>
    </row>
    <row r="21" spans="1:19" ht="15" x14ac:dyDescent="0.2">
      <c r="A21" s="937" t="s">
        <v>416</v>
      </c>
      <c r="B21" s="948">
        <f>(H6*InfoInicial!$B$45)/360</f>
        <v>2500000</v>
      </c>
      <c r="C21" s="943"/>
      <c r="D21" s="943"/>
      <c r="E21" s="911"/>
      <c r="F21" s="902"/>
      <c r="G21" s="902"/>
      <c r="H21" s="902"/>
      <c r="I21" s="902"/>
      <c r="J21" s="902"/>
      <c r="K21" s="934">
        <f t="shared" si="0"/>
        <v>0.04</v>
      </c>
      <c r="L21" s="958" t="s">
        <v>562</v>
      </c>
      <c r="M21" s="959">
        <v>4</v>
      </c>
      <c r="N21" s="958">
        <f t="shared" si="1"/>
        <v>400</v>
      </c>
      <c r="O21" s="615"/>
      <c r="P21" s="193"/>
      <c r="Q21" s="193"/>
      <c r="R21" s="43"/>
      <c r="S21" s="43"/>
    </row>
    <row r="22" spans="1:19" ht="15" x14ac:dyDescent="0.2">
      <c r="A22" s="902"/>
      <c r="B22" s="902"/>
      <c r="C22" s="911"/>
      <c r="D22" s="911"/>
      <c r="E22" s="911"/>
      <c r="F22" s="902"/>
      <c r="G22" s="902"/>
      <c r="H22" s="902"/>
      <c r="I22" s="902"/>
      <c r="J22" s="902"/>
      <c r="K22" s="934">
        <f t="shared" si="0"/>
        <v>0.16</v>
      </c>
      <c r="L22" s="958" t="s">
        <v>563</v>
      </c>
      <c r="M22" s="959">
        <v>16</v>
      </c>
      <c r="N22" s="958">
        <f t="shared" si="1"/>
        <v>1600</v>
      </c>
      <c r="O22" s="615"/>
      <c r="P22" s="193"/>
      <c r="Q22" s="193"/>
      <c r="R22" s="43"/>
      <c r="S22" s="43"/>
    </row>
    <row r="23" spans="1:19" ht="15" x14ac:dyDescent="0.2">
      <c r="A23" s="902"/>
      <c r="B23" s="902"/>
      <c r="C23" s="902"/>
      <c r="D23" s="902"/>
      <c r="E23" s="902"/>
      <c r="F23" s="902"/>
      <c r="G23" s="902"/>
      <c r="H23" s="902"/>
      <c r="I23" s="902"/>
      <c r="J23" s="902"/>
      <c r="K23" s="934">
        <f t="shared" si="0"/>
        <v>0.1</v>
      </c>
      <c r="L23" s="958" t="s">
        <v>564</v>
      </c>
      <c r="M23" s="959">
        <v>10</v>
      </c>
      <c r="N23" s="958">
        <f t="shared" si="1"/>
        <v>1000</v>
      </c>
      <c r="O23" s="615"/>
      <c r="P23" s="193"/>
      <c r="Q23" s="193"/>
      <c r="R23" s="43"/>
      <c r="S23" s="43"/>
    </row>
    <row r="24" spans="1:19" ht="16.5" thickBot="1" x14ac:dyDescent="0.3">
      <c r="A24" s="939" t="s">
        <v>647</v>
      </c>
      <c r="B24" s="940"/>
      <c r="C24" s="902"/>
      <c r="D24" s="902"/>
      <c r="E24" s="902"/>
      <c r="F24" s="902"/>
      <c r="G24" s="902"/>
      <c r="H24" s="902"/>
      <c r="I24" s="902"/>
      <c r="J24" s="902"/>
      <c r="K24" s="935">
        <f t="shared" si="0"/>
        <v>1</v>
      </c>
      <c r="L24" s="958" t="s">
        <v>573</v>
      </c>
      <c r="M24" s="959">
        <f>SUM(M17:M23)</f>
        <v>100</v>
      </c>
      <c r="N24" s="958">
        <f t="shared" si="1"/>
        <v>10000</v>
      </c>
      <c r="O24" s="615"/>
      <c r="P24" s="193"/>
      <c r="Q24" s="193"/>
      <c r="R24" s="43"/>
      <c r="S24" s="43"/>
    </row>
    <row r="25" spans="1:19" ht="15.75" thickBot="1" x14ac:dyDescent="0.25">
      <c r="A25" s="941" t="s">
        <v>47</v>
      </c>
      <c r="B25" s="922" t="s">
        <v>650</v>
      </c>
      <c r="C25" s="922" t="s">
        <v>549</v>
      </c>
      <c r="D25" s="922" t="s">
        <v>553</v>
      </c>
      <c r="E25" s="922" t="s">
        <v>550</v>
      </c>
      <c r="F25" s="922" t="s">
        <v>551</v>
      </c>
      <c r="G25" s="922" t="s">
        <v>552</v>
      </c>
      <c r="H25" s="922" t="s">
        <v>559</v>
      </c>
      <c r="I25" s="7"/>
      <c r="J25" s="909"/>
      <c r="K25" s="912" t="s">
        <v>617</v>
      </c>
      <c r="L25" s="960"/>
      <c r="M25" s="961"/>
      <c r="N25" s="962"/>
      <c r="O25" s="615"/>
      <c r="P25" s="193"/>
      <c r="Q25" s="193"/>
      <c r="R25" s="43"/>
      <c r="S25" s="43"/>
    </row>
    <row r="26" spans="1:19" ht="15" x14ac:dyDescent="0.2">
      <c r="A26" s="941"/>
      <c r="B26" s="922" t="s">
        <v>656</v>
      </c>
      <c r="C26" s="922" t="s">
        <v>656</v>
      </c>
      <c r="D26" s="922" t="s">
        <v>656</v>
      </c>
      <c r="E26" s="922" t="s">
        <v>656</v>
      </c>
      <c r="F26" s="922" t="s">
        <v>656</v>
      </c>
      <c r="G26" s="922" t="s">
        <v>656</v>
      </c>
      <c r="H26" s="922" t="s">
        <v>656</v>
      </c>
      <c r="I26" s="909"/>
      <c r="J26" s="902"/>
      <c r="K26" s="936">
        <f t="shared" si="0"/>
        <v>0.04</v>
      </c>
      <c r="L26" s="958" t="s">
        <v>559</v>
      </c>
      <c r="M26" s="958">
        <v>4</v>
      </c>
      <c r="N26" s="963">
        <f t="shared" ref="N26:N32" si="2">K26*$N$33</f>
        <v>1200</v>
      </c>
      <c r="O26" s="615"/>
      <c r="P26" s="193"/>
      <c r="Q26" s="193"/>
      <c r="R26" s="43"/>
      <c r="S26" s="43"/>
    </row>
    <row r="27" spans="1:19" ht="15" x14ac:dyDescent="0.2">
      <c r="A27" s="921" t="s">
        <v>648</v>
      </c>
      <c r="B27" s="945">
        <f>N18</f>
        <v>5000</v>
      </c>
      <c r="C27" s="945">
        <f>N19</f>
        <v>1500</v>
      </c>
      <c r="D27" s="945">
        <f>N20</f>
        <v>100</v>
      </c>
      <c r="E27" s="945">
        <f>N21</f>
        <v>400</v>
      </c>
      <c r="F27" s="945">
        <f>N22</f>
        <v>1600</v>
      </c>
      <c r="G27" s="945">
        <f>N23</f>
        <v>1000</v>
      </c>
      <c r="H27" s="945">
        <f>N17</f>
        <v>400</v>
      </c>
      <c r="I27" s="909"/>
      <c r="J27" s="902"/>
      <c r="K27" s="934">
        <f t="shared" si="0"/>
        <v>0.5</v>
      </c>
      <c r="L27" s="958" t="s">
        <v>565</v>
      </c>
      <c r="M27" s="958">
        <v>50</v>
      </c>
      <c r="N27" s="963">
        <f t="shared" si="2"/>
        <v>15000</v>
      </c>
      <c r="O27" s="910"/>
      <c r="P27" s="193"/>
      <c r="Q27" s="193"/>
      <c r="R27" s="43"/>
      <c r="S27" s="43"/>
    </row>
    <row r="28" spans="1:19" ht="15" x14ac:dyDescent="0.2">
      <c r="A28" s="921"/>
      <c r="B28" s="945"/>
      <c r="C28" s="945"/>
      <c r="D28" s="945"/>
      <c r="E28" s="945"/>
      <c r="F28" s="945"/>
      <c r="G28" s="945"/>
      <c r="H28" s="945"/>
      <c r="I28" s="909"/>
      <c r="J28" s="902"/>
      <c r="K28" s="934">
        <f t="shared" si="0"/>
        <v>0.15</v>
      </c>
      <c r="L28" s="958" t="s">
        <v>560</v>
      </c>
      <c r="M28" s="958">
        <v>15</v>
      </c>
      <c r="N28" s="963">
        <f t="shared" si="2"/>
        <v>4500</v>
      </c>
      <c r="O28" s="909"/>
      <c r="P28" s="7"/>
      <c r="Q28" s="7"/>
    </row>
    <row r="29" spans="1:19" ht="15" x14ac:dyDescent="0.2">
      <c r="A29" s="921"/>
      <c r="B29" s="945"/>
      <c r="C29" s="945"/>
      <c r="D29" s="945"/>
      <c r="E29" s="945"/>
      <c r="F29" s="945"/>
      <c r="G29" s="945"/>
      <c r="H29" s="945"/>
      <c r="I29" s="909"/>
      <c r="J29" s="902"/>
      <c r="K29" s="934">
        <f t="shared" si="0"/>
        <v>0.01</v>
      </c>
      <c r="L29" s="958" t="s">
        <v>561</v>
      </c>
      <c r="M29" s="958">
        <v>1</v>
      </c>
      <c r="N29" s="963">
        <f t="shared" si="2"/>
        <v>300</v>
      </c>
      <c r="O29" s="909"/>
      <c r="P29" s="7"/>
      <c r="Q29" s="7"/>
    </row>
    <row r="30" spans="1:19" ht="15" x14ac:dyDescent="0.2">
      <c r="A30" s="921"/>
      <c r="B30" s="945"/>
      <c r="C30" s="945"/>
      <c r="D30" s="945"/>
      <c r="E30" s="945"/>
      <c r="F30" s="945"/>
      <c r="G30" s="945"/>
      <c r="H30" s="945"/>
      <c r="I30" s="909"/>
      <c r="J30" s="902"/>
      <c r="K30" s="934">
        <f t="shared" si="0"/>
        <v>0.04</v>
      </c>
      <c r="L30" s="958" t="s">
        <v>562</v>
      </c>
      <c r="M30" s="958">
        <v>4</v>
      </c>
      <c r="N30" s="963">
        <f t="shared" si="2"/>
        <v>1200</v>
      </c>
      <c r="O30" s="909"/>
      <c r="P30" s="7"/>
      <c r="Q30" s="7"/>
    </row>
    <row r="31" spans="1:19" ht="15" x14ac:dyDescent="0.2">
      <c r="A31" s="922" t="s">
        <v>387</v>
      </c>
      <c r="B31" s="956">
        <v>160</v>
      </c>
      <c r="C31" s="956">
        <v>34</v>
      </c>
      <c r="D31" s="956">
        <v>250</v>
      </c>
      <c r="E31" s="956">
        <v>27.44</v>
      </c>
      <c r="F31" s="956">
        <v>60</v>
      </c>
      <c r="G31" s="956">
        <v>100</v>
      </c>
      <c r="H31" s="956">
        <v>20</v>
      </c>
      <c r="I31" s="910"/>
      <c r="J31" s="902"/>
      <c r="K31" s="934">
        <f t="shared" si="0"/>
        <v>0.16</v>
      </c>
      <c r="L31" s="958" t="s">
        <v>563</v>
      </c>
      <c r="M31" s="958">
        <v>16</v>
      </c>
      <c r="N31" s="963">
        <f t="shared" si="2"/>
        <v>4800</v>
      </c>
      <c r="O31" s="909"/>
      <c r="P31" s="7"/>
      <c r="Q31" s="7"/>
    </row>
    <row r="32" spans="1:19" ht="15.75" x14ac:dyDescent="0.2">
      <c r="A32" s="922" t="s">
        <v>152</v>
      </c>
      <c r="B32" s="946">
        <f t="shared" ref="B32:H32" si="3">B27*B31</f>
        <v>800000</v>
      </c>
      <c r="C32" s="946">
        <f t="shared" si="3"/>
        <v>51000</v>
      </c>
      <c r="D32" s="946">
        <f t="shared" si="3"/>
        <v>25000</v>
      </c>
      <c r="E32" s="946">
        <f t="shared" si="3"/>
        <v>10976</v>
      </c>
      <c r="F32" s="946">
        <f t="shared" si="3"/>
        <v>96000</v>
      </c>
      <c r="G32" s="946">
        <f t="shared" si="3"/>
        <v>100000</v>
      </c>
      <c r="H32" s="946">
        <f t="shared" si="3"/>
        <v>8000</v>
      </c>
      <c r="I32" s="949">
        <f>SUM(B32:H32)</f>
        <v>1090976</v>
      </c>
      <c r="J32" s="902"/>
      <c r="K32" s="934">
        <f t="shared" si="0"/>
        <v>0.1</v>
      </c>
      <c r="L32" s="958" t="s">
        <v>564</v>
      </c>
      <c r="M32" s="958">
        <v>10</v>
      </c>
      <c r="N32" s="963">
        <f t="shared" si="2"/>
        <v>3000</v>
      </c>
      <c r="O32" s="909"/>
      <c r="P32" s="7"/>
      <c r="Q32" s="7"/>
    </row>
    <row r="33" spans="1:17" ht="15" x14ac:dyDescent="0.2">
      <c r="A33" s="909"/>
      <c r="B33" s="909"/>
      <c r="C33" s="909"/>
      <c r="D33" s="909"/>
      <c r="E33" s="909"/>
      <c r="F33" s="909"/>
      <c r="G33" s="909"/>
      <c r="H33" s="909"/>
      <c r="I33" s="909"/>
      <c r="J33" s="909"/>
      <c r="K33" s="934">
        <f t="shared" si="0"/>
        <v>1</v>
      </c>
      <c r="L33" s="958" t="s">
        <v>573</v>
      </c>
      <c r="M33" s="958">
        <f>SUM(M26:M32)</f>
        <v>100</v>
      </c>
      <c r="N33" s="963">
        <v>30000</v>
      </c>
      <c r="O33" s="909"/>
      <c r="P33" s="902"/>
      <c r="Q33" s="7"/>
    </row>
    <row r="34" spans="1:17" ht="15" x14ac:dyDescent="0.2">
      <c r="A34" s="909"/>
      <c r="B34" s="909"/>
      <c r="C34" s="909"/>
      <c r="D34" s="909"/>
      <c r="E34" s="909"/>
      <c r="F34" s="909"/>
      <c r="G34" s="909"/>
      <c r="H34" s="909"/>
      <c r="I34" s="909"/>
      <c r="J34" s="909"/>
      <c r="K34" s="909"/>
      <c r="L34" s="909"/>
      <c r="M34" s="909"/>
      <c r="N34" s="909"/>
      <c r="O34" s="909"/>
      <c r="P34" s="902"/>
      <c r="Q34" s="7"/>
    </row>
    <row r="35" spans="1:17" ht="15" x14ac:dyDescent="0.2">
      <c r="A35" s="909"/>
      <c r="B35" s="909"/>
      <c r="C35" s="909"/>
      <c r="D35" s="909"/>
      <c r="E35" s="909"/>
      <c r="F35" s="909"/>
      <c r="G35" s="909"/>
      <c r="H35" s="909"/>
      <c r="I35" s="909"/>
      <c r="J35" s="909"/>
      <c r="K35" s="909"/>
      <c r="L35" s="909"/>
      <c r="M35" s="909"/>
      <c r="N35" s="909"/>
      <c r="O35" s="909"/>
      <c r="P35" s="902"/>
      <c r="Q35" s="7"/>
    </row>
    <row r="36" spans="1:17" ht="15" x14ac:dyDescent="0.2">
      <c r="A36" s="909"/>
      <c r="B36" s="909"/>
      <c r="C36" s="909"/>
      <c r="D36" s="909"/>
      <c r="E36" s="909"/>
      <c r="F36" s="909"/>
      <c r="G36" s="909"/>
      <c r="H36" s="909"/>
      <c r="I36" s="909"/>
      <c r="J36" s="909"/>
      <c r="K36" s="909"/>
      <c r="L36" s="909"/>
      <c r="M36" s="909"/>
      <c r="N36" s="909"/>
      <c r="O36" s="909"/>
      <c r="P36" s="902"/>
      <c r="Q36" s="7"/>
    </row>
    <row r="37" spans="1:17" ht="15" x14ac:dyDescent="0.2">
      <c r="A37" s="941" t="s">
        <v>617</v>
      </c>
      <c r="B37" s="922" t="s">
        <v>650</v>
      </c>
      <c r="C37" s="922" t="s">
        <v>549</v>
      </c>
      <c r="D37" s="922" t="s">
        <v>553</v>
      </c>
      <c r="E37" s="922" t="s">
        <v>550</v>
      </c>
      <c r="F37" s="922" t="s">
        <v>551</v>
      </c>
      <c r="G37" s="922" t="s">
        <v>552</v>
      </c>
      <c r="H37" s="922" t="s">
        <v>559</v>
      </c>
      <c r="I37" s="909"/>
      <c r="J37" s="902"/>
      <c r="K37" s="7"/>
      <c r="L37" s="7"/>
      <c r="M37" s="7"/>
      <c r="N37" s="902"/>
      <c r="O37" s="902"/>
      <c r="P37" s="7"/>
      <c r="Q37" s="7"/>
    </row>
    <row r="38" spans="1:17" ht="15" x14ac:dyDescent="0.2">
      <c r="A38" s="941"/>
      <c r="B38" s="922" t="s">
        <v>656</v>
      </c>
      <c r="C38" s="922" t="s">
        <v>656</v>
      </c>
      <c r="D38" s="922" t="s">
        <v>656</v>
      </c>
      <c r="E38" s="922" t="s">
        <v>656</v>
      </c>
      <c r="F38" s="922" t="s">
        <v>656</v>
      </c>
      <c r="G38" s="922" t="s">
        <v>656</v>
      </c>
      <c r="H38" s="922" t="s">
        <v>656</v>
      </c>
      <c r="I38" s="909"/>
      <c r="J38" s="902"/>
      <c r="K38" s="7"/>
      <c r="L38" s="7"/>
      <c r="M38" s="7"/>
      <c r="N38" s="902"/>
      <c r="O38" s="902"/>
      <c r="P38" s="7"/>
      <c r="Q38" s="7"/>
    </row>
    <row r="39" spans="1:17" ht="15" x14ac:dyDescent="0.2">
      <c r="A39" s="921" t="s">
        <v>649</v>
      </c>
      <c r="B39" s="947">
        <f>N27</f>
        <v>15000</v>
      </c>
      <c r="C39" s="947">
        <f>N28</f>
        <v>4500</v>
      </c>
      <c r="D39" s="947">
        <f>N29</f>
        <v>300</v>
      </c>
      <c r="E39" s="947">
        <f>N30</f>
        <v>1200</v>
      </c>
      <c r="F39" s="947">
        <f>N31</f>
        <v>4800</v>
      </c>
      <c r="G39" s="947">
        <f>N32</f>
        <v>3000</v>
      </c>
      <c r="H39" s="947">
        <f>N26</f>
        <v>1200</v>
      </c>
      <c r="I39" s="909"/>
      <c r="J39" s="902"/>
      <c r="K39" s="7"/>
      <c r="L39" s="7"/>
      <c r="M39" s="7"/>
      <c r="N39" s="902"/>
      <c r="O39" s="902"/>
      <c r="P39" s="7"/>
      <c r="Q39" s="7"/>
    </row>
    <row r="40" spans="1:17" ht="15" x14ac:dyDescent="0.2">
      <c r="A40" s="921"/>
      <c r="B40" s="954"/>
      <c r="C40" s="954"/>
      <c r="D40" s="954"/>
      <c r="E40" s="954"/>
      <c r="F40" s="954"/>
      <c r="G40" s="954"/>
      <c r="H40" s="954"/>
      <c r="I40" s="909"/>
      <c r="J40" s="902"/>
      <c r="K40" s="7"/>
      <c r="L40" s="7"/>
      <c r="M40" s="7"/>
      <c r="N40" s="902"/>
      <c r="O40" s="902"/>
      <c r="P40" s="7"/>
      <c r="Q40" s="7"/>
    </row>
    <row r="41" spans="1:17" ht="15" x14ac:dyDescent="0.2">
      <c r="A41" s="942" t="s">
        <v>387</v>
      </c>
      <c r="B41" s="955">
        <v>160</v>
      </c>
      <c r="C41" s="955">
        <v>34</v>
      </c>
      <c r="D41" s="955">
        <v>250</v>
      </c>
      <c r="E41" s="955">
        <v>27.44</v>
      </c>
      <c r="F41" s="955">
        <v>60</v>
      </c>
      <c r="G41" s="955">
        <v>100</v>
      </c>
      <c r="H41" s="955">
        <f>N26</f>
        <v>1200</v>
      </c>
      <c r="I41" s="909"/>
      <c r="J41" s="902"/>
      <c r="K41" s="7"/>
      <c r="L41" s="7"/>
      <c r="M41" s="7"/>
      <c r="N41" s="902"/>
      <c r="O41" s="902"/>
      <c r="P41" s="7"/>
      <c r="Q41" s="7"/>
    </row>
    <row r="42" spans="1:17" ht="15.75" x14ac:dyDescent="0.2">
      <c r="A42" s="942" t="s">
        <v>152</v>
      </c>
      <c r="B42" s="947">
        <f>B41*B39</f>
        <v>2400000</v>
      </c>
      <c r="C42" s="947">
        <f t="shared" ref="C42:H42" si="4">C41*C39</f>
        <v>153000</v>
      </c>
      <c r="D42" s="947">
        <f t="shared" si="4"/>
        <v>75000</v>
      </c>
      <c r="E42" s="947">
        <f t="shared" si="4"/>
        <v>32928</v>
      </c>
      <c r="F42" s="947">
        <f t="shared" si="4"/>
        <v>288000</v>
      </c>
      <c r="G42" s="947">
        <f t="shared" si="4"/>
        <v>300000</v>
      </c>
      <c r="H42" s="947">
        <f t="shared" si="4"/>
        <v>1440000</v>
      </c>
      <c r="I42" s="949">
        <f>SUM(B42:H42)</f>
        <v>4688928</v>
      </c>
      <c r="J42" s="902"/>
      <c r="K42" s="7"/>
      <c r="L42" s="7"/>
      <c r="M42" s="7"/>
      <c r="N42" s="902"/>
      <c r="O42" s="902"/>
      <c r="P42" s="7"/>
      <c r="Q42" s="7"/>
    </row>
    <row r="43" spans="1:17" ht="15" x14ac:dyDescent="0.2">
      <c r="A43" s="902"/>
      <c r="B43" s="902"/>
      <c r="C43" s="902"/>
      <c r="D43" s="902"/>
      <c r="E43" s="902"/>
      <c r="F43" s="902"/>
      <c r="G43" s="902"/>
      <c r="H43" s="902"/>
      <c r="I43" s="902"/>
      <c r="J43" s="902"/>
      <c r="K43" s="902"/>
      <c r="L43" s="7"/>
      <c r="M43" s="7"/>
      <c r="N43" s="7"/>
      <c r="O43" s="902"/>
      <c r="P43" s="902"/>
      <c r="Q43" s="7"/>
    </row>
    <row r="44" spans="1:17" ht="15" x14ac:dyDescent="0.2">
      <c r="A44" s="902"/>
      <c r="B44" s="902"/>
      <c r="C44" s="902"/>
      <c r="D44" s="902"/>
      <c r="E44" s="902"/>
      <c r="F44" s="902"/>
      <c r="G44" s="902"/>
      <c r="H44" s="902"/>
      <c r="I44" s="902"/>
      <c r="J44" s="902"/>
      <c r="K44" s="902"/>
      <c r="L44" s="7"/>
      <c r="M44" s="7"/>
      <c r="N44" s="7"/>
      <c r="O44" s="902"/>
      <c r="P44" s="902"/>
      <c r="Q44" s="7"/>
    </row>
    <row r="45" spans="1:17" ht="15" x14ac:dyDescent="0.2">
      <c r="A45" s="902"/>
      <c r="B45" s="902"/>
      <c r="C45" s="902"/>
      <c r="D45" s="902"/>
      <c r="E45" s="902"/>
      <c r="F45" s="902"/>
      <c r="G45" s="902"/>
      <c r="H45" s="902"/>
      <c r="I45" s="902"/>
      <c r="J45" s="902"/>
      <c r="K45" s="902"/>
      <c r="L45" s="7"/>
      <c r="M45" s="7"/>
      <c r="N45" s="7"/>
      <c r="O45" s="902"/>
      <c r="P45" s="902"/>
      <c r="Q45" s="7"/>
    </row>
    <row r="46" spans="1:17" ht="15" x14ac:dyDescent="0.2">
      <c r="A46" s="902"/>
      <c r="B46" s="902"/>
      <c r="C46" s="902"/>
      <c r="D46" s="902"/>
      <c r="E46" s="902"/>
      <c r="F46" s="902"/>
      <c r="G46" s="902"/>
      <c r="H46" s="902"/>
      <c r="I46" s="902"/>
      <c r="J46" s="902"/>
      <c r="K46" s="902"/>
      <c r="L46" s="902"/>
      <c r="M46" s="902"/>
      <c r="N46" s="902"/>
      <c r="O46" s="902"/>
      <c r="P46" s="902"/>
      <c r="Q46" s="7"/>
    </row>
    <row r="47" spans="1:17" ht="15" x14ac:dyDescent="0.2">
      <c r="A47" s="902"/>
      <c r="B47" s="902"/>
      <c r="C47" s="902"/>
      <c r="D47" s="902"/>
      <c r="E47" s="902"/>
      <c r="F47" s="902"/>
      <c r="G47" s="902"/>
      <c r="H47" s="902"/>
      <c r="I47" s="902"/>
      <c r="J47" s="902"/>
      <c r="K47" s="902"/>
      <c r="L47" s="902"/>
      <c r="M47" s="902"/>
      <c r="N47" s="902"/>
      <c r="O47" s="902"/>
      <c r="P47" s="902"/>
      <c r="Q47" s="7"/>
    </row>
    <row r="48" spans="1:17" ht="15" x14ac:dyDescent="0.2">
      <c r="A48" s="902"/>
      <c r="B48" s="902"/>
      <c r="C48" s="902"/>
      <c r="D48" s="902"/>
      <c r="E48" s="902"/>
      <c r="F48" s="902"/>
      <c r="G48" s="902"/>
      <c r="H48" s="902"/>
      <c r="I48" s="902"/>
      <c r="J48" s="902"/>
      <c r="K48" s="902"/>
      <c r="L48" s="902"/>
      <c r="M48" s="902"/>
      <c r="N48" s="902"/>
      <c r="O48" s="902"/>
      <c r="P48" s="902"/>
      <c r="Q48" s="7"/>
    </row>
    <row r="49" spans="1:17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</sheetData>
  <mergeCells count="30">
    <mergeCell ref="K14:L14"/>
    <mergeCell ref="K11:N11"/>
    <mergeCell ref="A11:C11"/>
    <mergeCell ref="B12:C12"/>
    <mergeCell ref="B13:C13"/>
    <mergeCell ref="B14:C14"/>
    <mergeCell ref="A4:C4"/>
    <mergeCell ref="A6:C6"/>
    <mergeCell ref="A7:C7"/>
    <mergeCell ref="A8:C8"/>
    <mergeCell ref="J6:L6"/>
    <mergeCell ref="H4:I4"/>
    <mergeCell ref="H5:I5"/>
    <mergeCell ref="H6:I6"/>
    <mergeCell ref="H7:I7"/>
    <mergeCell ref="D27:D30"/>
    <mergeCell ref="E27:E30"/>
    <mergeCell ref="A37:A38"/>
    <mergeCell ref="A39:A40"/>
    <mergeCell ref="H8:I8"/>
    <mergeCell ref="F27:F30"/>
    <mergeCell ref="G27:G30"/>
    <mergeCell ref="H27:H30"/>
    <mergeCell ref="A25:A26"/>
    <mergeCell ref="A27:A30"/>
    <mergeCell ref="B27:B30"/>
    <mergeCell ref="C27:C30"/>
    <mergeCell ref="B15:C15"/>
    <mergeCell ref="A24:B24"/>
    <mergeCell ref="A18:D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L247"/>
  <sheetViews>
    <sheetView topLeftCell="A255" zoomScale="85" zoomScaleNormal="85" workbookViewId="0">
      <selection activeCell="K287" sqref="K287"/>
    </sheetView>
  </sheetViews>
  <sheetFormatPr baseColWidth="10" defaultRowHeight="12.75" x14ac:dyDescent="0.2"/>
  <cols>
    <col min="1" max="1" width="41" style="7" customWidth="1"/>
    <col min="2" max="2" width="22.28515625" style="7" customWidth="1"/>
    <col min="3" max="3" width="23.28515625" style="7" customWidth="1"/>
    <col min="4" max="4" width="20.42578125" style="7" customWidth="1"/>
    <col min="5" max="5" width="20" style="7" customWidth="1"/>
    <col min="6" max="6" width="21.140625" style="7" customWidth="1"/>
    <col min="7" max="7" width="17.42578125" style="7" customWidth="1"/>
    <col min="8" max="8" width="20.140625" style="7" customWidth="1"/>
    <col min="9" max="9" width="21.85546875" style="7" customWidth="1"/>
    <col min="10" max="10" width="21.28515625" style="7" customWidth="1"/>
    <col min="11" max="11" width="20.85546875" style="7" customWidth="1"/>
    <col min="12" max="12" width="20.5703125" style="7" customWidth="1"/>
    <col min="13" max="16384" width="11.42578125" style="7"/>
  </cols>
  <sheetData>
    <row r="3" spans="1:7" ht="13.5" thickBot="1" x14ac:dyDescent="0.25">
      <c r="A3" s="1" t="s">
        <v>0</v>
      </c>
      <c r="B3"/>
      <c r="C3"/>
      <c r="D3"/>
      <c r="E3" s="971">
        <f>InfoInicial!E1</f>
        <v>8</v>
      </c>
    </row>
    <row r="4" spans="1:7" ht="15.75" x14ac:dyDescent="0.25">
      <c r="A4" s="987" t="s">
        <v>86</v>
      </c>
      <c r="B4" s="988"/>
      <c r="C4" s="988"/>
      <c r="D4" s="988"/>
      <c r="E4" s="988"/>
      <c r="F4" s="989"/>
    </row>
    <row r="5" spans="1:7" x14ac:dyDescent="0.2">
      <c r="A5" s="990" t="s">
        <v>87</v>
      </c>
      <c r="B5" s="965"/>
      <c r="C5" s="965"/>
      <c r="D5" s="965"/>
      <c r="E5" s="965"/>
      <c r="F5" s="991"/>
    </row>
    <row r="6" spans="1:7" x14ac:dyDescent="0.2">
      <c r="A6" s="979" t="s">
        <v>88</v>
      </c>
      <c r="B6" s="969" t="s">
        <v>48</v>
      </c>
      <c r="C6" s="969" t="s">
        <v>89</v>
      </c>
      <c r="D6" s="969" t="s">
        <v>90</v>
      </c>
      <c r="E6" s="969" t="s">
        <v>91</v>
      </c>
      <c r="F6" s="978" t="s">
        <v>92</v>
      </c>
    </row>
    <row r="7" spans="1:7" x14ac:dyDescent="0.2">
      <c r="A7" s="680" t="s">
        <v>93</v>
      </c>
      <c r="B7" s="247">
        <f>PRODUCCION!T73</f>
        <v>6349480.3200000003</v>
      </c>
      <c r="C7" s="247">
        <f>PRODUCCION!$T$61</f>
        <v>7115152.3200000003</v>
      </c>
      <c r="D7" s="247">
        <f>PRODUCCION!$T$61</f>
        <v>7115152.3200000003</v>
      </c>
      <c r="E7" s="247">
        <f>PRODUCCION!$T$61</f>
        <v>7115152.3200000003</v>
      </c>
      <c r="F7" s="250">
        <f>PRODUCCION!$T$61</f>
        <v>7115152.3200000003</v>
      </c>
      <c r="G7" s="7" t="s">
        <v>756</v>
      </c>
    </row>
    <row r="8" spans="1:7" x14ac:dyDescent="0.2">
      <c r="A8" s="981" t="s">
        <v>94</v>
      </c>
      <c r="B8" s="247">
        <f>PRODUCCION!F21</f>
        <v>2112838</v>
      </c>
      <c r="C8" s="247">
        <f>PRODUCCION!$B$21</f>
        <v>2224040</v>
      </c>
      <c r="D8" s="247">
        <f>PRODUCCION!$B$21</f>
        <v>2224040</v>
      </c>
      <c r="E8" s="247">
        <f>PRODUCCION!$B$21</f>
        <v>2224040</v>
      </c>
      <c r="F8" s="250">
        <f>PRODUCCION!$B$21</f>
        <v>2224040</v>
      </c>
      <c r="G8" s="7" t="s">
        <v>756</v>
      </c>
    </row>
    <row r="9" spans="1:7" x14ac:dyDescent="0.2">
      <c r="A9" s="982" t="s">
        <v>95</v>
      </c>
      <c r="B9" s="248"/>
      <c r="C9" s="248"/>
      <c r="D9" s="248"/>
      <c r="E9" s="248"/>
      <c r="F9" s="251"/>
    </row>
    <row r="10" spans="1:7" x14ac:dyDescent="0.2">
      <c r="A10" s="981" t="s">
        <v>107</v>
      </c>
      <c r="B10" s="247">
        <f>PRODUCCION!Q11</f>
        <v>994064.20964916667</v>
      </c>
      <c r="C10" s="247">
        <f>PRODUCCION!Q10</f>
        <v>994064.20964916667</v>
      </c>
      <c r="D10" s="247">
        <f>PRODUCCION!Q10</f>
        <v>994064.20964916667</v>
      </c>
      <c r="E10" s="247">
        <f>PRODUCCION!Q9</f>
        <v>993397.54298250005</v>
      </c>
      <c r="F10" s="250">
        <f>PRODUCCION!Q9</f>
        <v>993397.54298250005</v>
      </c>
      <c r="G10" s="7" t="s">
        <v>757</v>
      </c>
    </row>
    <row r="11" spans="1:7" x14ac:dyDescent="0.2">
      <c r="A11" s="981" t="s">
        <v>96</v>
      </c>
      <c r="B11" s="247">
        <f>PRODUCCION!C77</f>
        <v>1599763.8599999999</v>
      </c>
      <c r="C11" s="247">
        <f>PRODUCCION!C72</f>
        <v>1777515.4</v>
      </c>
      <c r="D11" s="247">
        <f>PRODUCCION!C72</f>
        <v>1777515.4</v>
      </c>
      <c r="E11" s="247">
        <f>PRODUCCION!C72</f>
        <v>1777515.4</v>
      </c>
      <c r="F11" s="250">
        <f>PRODUCCION!C72</f>
        <v>1777515.4</v>
      </c>
      <c r="G11" s="7" t="s">
        <v>757</v>
      </c>
    </row>
    <row r="12" spans="1:7" x14ac:dyDescent="0.2">
      <c r="A12" s="981" t="s">
        <v>97</v>
      </c>
      <c r="B12" s="247">
        <f>PRODUCCION!K110</f>
        <v>293269.83571608749</v>
      </c>
      <c r="C12" s="247">
        <f>PRODUCCION!G110</f>
        <v>325855.37301787501</v>
      </c>
      <c r="D12" s="247">
        <f>PRODUCCION!G110</f>
        <v>325855.37301787501</v>
      </c>
      <c r="E12" s="247">
        <f>PRODUCCION!C110</f>
        <v>325904.62935787498</v>
      </c>
      <c r="F12" s="250">
        <f>PRODUCCION!C110</f>
        <v>325904.62935787498</v>
      </c>
      <c r="G12" s="7" t="s">
        <v>756</v>
      </c>
    </row>
    <row r="13" spans="1:7" x14ac:dyDescent="0.2">
      <c r="A13" s="981" t="s">
        <v>98</v>
      </c>
      <c r="B13" s="247">
        <f>PRODUCCION!Q37</f>
        <v>53091.97949759999</v>
      </c>
      <c r="C13" s="247">
        <f>PRODUCCION!M41</f>
        <v>55886.294207999992</v>
      </c>
      <c r="D13" s="247">
        <f>PRODUCCION!M41</f>
        <v>55886.294207999992</v>
      </c>
      <c r="E13" s="247">
        <f>PRODUCCION!M41</f>
        <v>55886.294207999992</v>
      </c>
      <c r="F13" s="250">
        <f>PRODUCCION!M41</f>
        <v>55886.294207999992</v>
      </c>
      <c r="G13" s="7" t="s">
        <v>756</v>
      </c>
    </row>
    <row r="14" spans="1:7" x14ac:dyDescent="0.2">
      <c r="A14" s="981" t="s">
        <v>99</v>
      </c>
      <c r="B14" s="247">
        <f>PRODUCCION!Q86</f>
        <v>257804.19799999995</v>
      </c>
      <c r="C14" s="247">
        <f>PRODUCCION!M86</f>
        <v>271372.83999999997</v>
      </c>
      <c r="D14" s="247">
        <f>PRODUCCION!M86</f>
        <v>271372.83999999997</v>
      </c>
      <c r="E14" s="247">
        <f>PRODUCCION!M86</f>
        <v>271372.83999999997</v>
      </c>
      <c r="F14" s="250">
        <f>PRODUCCION!M86</f>
        <v>271372.83999999997</v>
      </c>
      <c r="G14" s="7" t="s">
        <v>756</v>
      </c>
    </row>
    <row r="15" spans="1:7" x14ac:dyDescent="0.2">
      <c r="A15" s="981" t="s">
        <v>100</v>
      </c>
      <c r="B15" s="247">
        <f>PRODUCCION!C101</f>
        <v>25680</v>
      </c>
      <c r="C15" s="247">
        <f>PRODUCCION!C96</f>
        <v>25680</v>
      </c>
      <c r="D15" s="247">
        <f>PRODUCCION!C96</f>
        <v>25680</v>
      </c>
      <c r="E15" s="247">
        <f>PRODUCCION!C96</f>
        <v>25680</v>
      </c>
      <c r="F15" s="250">
        <f>PRODUCCION!C96</f>
        <v>25680</v>
      </c>
      <c r="G15" s="7" t="s">
        <v>757</v>
      </c>
    </row>
    <row r="16" spans="1:7" x14ac:dyDescent="0.2">
      <c r="A16" s="981" t="s">
        <v>15</v>
      </c>
      <c r="B16" s="247">
        <f>SUM(B7:B15)*InfoInicial!$B$15</f>
        <v>1285459.164314914</v>
      </c>
      <c r="C16" s="247">
        <f>SUM(C7:C15)*InfoInicial!$B$15</f>
        <v>1406852.3080562546</v>
      </c>
      <c r="D16" s="247">
        <f>SUM(D7:D15)*InfoInicial!$B$15</f>
        <v>1406852.3080562546</v>
      </c>
      <c r="E16" s="247">
        <f>SUM(E7:E15)*InfoInicial!$B$15</f>
        <v>1406784.3929203211</v>
      </c>
      <c r="F16" s="250">
        <f>SUM(F7:F15)*InfoInicial!$B$15</f>
        <v>1406784.3929203211</v>
      </c>
    </row>
    <row r="17" spans="1:7" x14ac:dyDescent="0.2">
      <c r="A17" s="992" t="s">
        <v>101</v>
      </c>
      <c r="B17" s="249">
        <f>SUM(B7:B16)</f>
        <v>12971451.567177769</v>
      </c>
      <c r="C17" s="249">
        <f>SUM(C7:C16)</f>
        <v>14196418.744931296</v>
      </c>
      <c r="D17" s="249">
        <f>SUM(D7:D16)</f>
        <v>14196418.744931296</v>
      </c>
      <c r="E17" s="249">
        <f>SUM(E7:E16)</f>
        <v>14195733.419468695</v>
      </c>
      <c r="F17" s="252">
        <f>SUM(F7:F16)</f>
        <v>14195733.419468695</v>
      </c>
    </row>
    <row r="18" spans="1:7" x14ac:dyDescent="0.2">
      <c r="A18" s="993"/>
      <c r="B18" s="253"/>
      <c r="C18" s="253"/>
      <c r="D18" s="253"/>
      <c r="E18" s="253"/>
      <c r="F18" s="254"/>
    </row>
    <row r="19" spans="1:7" x14ac:dyDescent="0.2">
      <c r="A19" s="992" t="s">
        <v>102</v>
      </c>
      <c r="B19" s="972">
        <f>(B10+B11+B15)/SUM(B7:B15)</f>
        <v>0.22415794733936631</v>
      </c>
      <c r="C19" s="972">
        <f>(C10+C11+C15)/SUM(C7:C15)</f>
        <v>0.21871418577443499</v>
      </c>
      <c r="D19" s="972">
        <f>(D10+D11+D15)/SUM(D7:D15)</f>
        <v>0.21871418577443499</v>
      </c>
      <c r="E19" s="972">
        <f>(E10+E11+E15)/SUM(E7:E15)</f>
        <v>0.21867261627027346</v>
      </c>
      <c r="F19" s="994">
        <f>(F10+F11+F15)/SUM(F7:F15)</f>
        <v>0.21867261627027346</v>
      </c>
    </row>
    <row r="20" spans="1:7" x14ac:dyDescent="0.2">
      <c r="A20" s="992" t="s">
        <v>103</v>
      </c>
      <c r="B20" s="972">
        <f>(B7+B8+B12+B14+B13)/SUM(B7:B15)</f>
        <v>0.77584205266063377</v>
      </c>
      <c r="C20" s="972">
        <f>(C7+C8+C12+C14+C13)/SUM(C7:C15)</f>
        <v>0.78128581422556498</v>
      </c>
      <c r="D20" s="972">
        <f>(D7+D8+D12+D14+D13)/SUM(D7:D15)</f>
        <v>0.78128581422556498</v>
      </c>
      <c r="E20" s="972">
        <f>(E7+E8+E12+E14+E13)/SUM(E7:E15)</f>
        <v>0.78132738372972654</v>
      </c>
      <c r="F20" s="994">
        <f>(F7+F8+F12+F14+F13)/SUM(F7:F15)</f>
        <v>0.78132738372972654</v>
      </c>
    </row>
    <row r="21" spans="1:7" ht="13.5" thickBot="1" x14ac:dyDescent="0.25">
      <c r="A21" s="995"/>
      <c r="B21" s="996">
        <f>B20+B19</f>
        <v>1</v>
      </c>
      <c r="C21" s="996">
        <f>C20+C19</f>
        <v>1</v>
      </c>
      <c r="D21" s="996">
        <f>D20+D19</f>
        <v>1</v>
      </c>
      <c r="E21" s="996">
        <f>E20+E19</f>
        <v>1</v>
      </c>
      <c r="F21" s="997">
        <f>F20+F19</f>
        <v>1</v>
      </c>
    </row>
    <row r="22" spans="1:7" x14ac:dyDescent="0.2">
      <c r="A22" s="974" t="s">
        <v>104</v>
      </c>
      <c r="B22" s="975"/>
      <c r="C22" s="975"/>
      <c r="D22" s="975"/>
      <c r="E22" s="975"/>
      <c r="F22" s="975"/>
      <c r="G22" s="976"/>
    </row>
    <row r="23" spans="1:7" x14ac:dyDescent="0.2">
      <c r="A23" s="977"/>
      <c r="B23" s="966" t="s">
        <v>105</v>
      </c>
      <c r="C23" s="966"/>
      <c r="D23" s="966"/>
      <c r="E23" s="966"/>
      <c r="F23" s="966"/>
      <c r="G23" s="978" t="s">
        <v>106</v>
      </c>
    </row>
    <row r="24" spans="1:7" x14ac:dyDescent="0.2">
      <c r="A24" s="979" t="s">
        <v>88</v>
      </c>
      <c r="B24" s="832" t="s">
        <v>48</v>
      </c>
      <c r="C24" s="832" t="s">
        <v>89</v>
      </c>
      <c r="D24" s="832" t="s">
        <v>90</v>
      </c>
      <c r="E24" s="832" t="s">
        <v>91</v>
      </c>
      <c r="F24" s="832" t="s">
        <v>92</v>
      </c>
      <c r="G24" s="980" t="s">
        <v>48</v>
      </c>
    </row>
    <row r="25" spans="1:7" x14ac:dyDescent="0.2">
      <c r="A25" s="680" t="s">
        <v>93</v>
      </c>
      <c r="B25" s="247">
        <f>PRODUCCION!$T$76</f>
        <v>32729.279999999999</v>
      </c>
      <c r="C25" s="247">
        <f>PRODUCCION!$T$76</f>
        <v>32729.279999999999</v>
      </c>
      <c r="D25" s="247">
        <f>PRODUCCION!$T$76</f>
        <v>32729.279999999999</v>
      </c>
      <c r="E25" s="247">
        <f>PRODUCCION!$T$76</f>
        <v>32729.279999999999</v>
      </c>
      <c r="F25" s="247">
        <f>PRODUCCION!$T$76</f>
        <v>32729.279999999999</v>
      </c>
      <c r="G25" s="250"/>
    </row>
    <row r="26" spans="1:7" x14ac:dyDescent="0.2">
      <c r="A26" s="981" t="s">
        <v>94</v>
      </c>
      <c r="B26" s="247">
        <f>PRODUCCION!$F$29</f>
        <v>4627.2470039946738</v>
      </c>
      <c r="C26" s="247">
        <f>B25*0.15</f>
        <v>4909.3919999999998</v>
      </c>
      <c r="D26" s="247">
        <f>PRODUCCION!$F$29</f>
        <v>4627.2470039946738</v>
      </c>
      <c r="E26" s="247">
        <f>PRODUCCION!$F$29</f>
        <v>4627.2470039946738</v>
      </c>
      <c r="F26" s="247">
        <f>PRODUCCION!$F$29</f>
        <v>4627.2470039946738</v>
      </c>
      <c r="G26" s="250">
        <f>PRODUCCION!F31</f>
        <v>185342.83632933881</v>
      </c>
    </row>
    <row r="27" spans="1:7" x14ac:dyDescent="0.2">
      <c r="A27" s="982" t="s">
        <v>95</v>
      </c>
      <c r="B27" s="973"/>
      <c r="C27" s="973"/>
      <c r="D27" s="973"/>
      <c r="E27" s="973"/>
      <c r="F27" s="973"/>
      <c r="G27" s="983"/>
    </row>
    <row r="28" spans="1:7" x14ac:dyDescent="0.2">
      <c r="A28" s="981" t="s">
        <v>107</v>
      </c>
      <c r="B28" s="247">
        <f>PRODUCCION!Q21</f>
        <v>2386.403204829714</v>
      </c>
      <c r="C28" s="247">
        <f>PRODUCCION!Q20</f>
        <v>2068.2094907813889</v>
      </c>
      <c r="D28" s="247">
        <f>PRODUCCION!Q19</f>
        <v>2068.2094907813889</v>
      </c>
      <c r="E28" s="247">
        <f>PRODUCCION!Q18</f>
        <v>2066.8224512785036</v>
      </c>
      <c r="F28" s="247">
        <f>PRODUCCION!Q17</f>
        <v>2066.8224512785036</v>
      </c>
      <c r="G28" s="250">
        <f>PRODUCCION!T21</f>
        <v>1138.0676522331269</v>
      </c>
    </row>
    <row r="29" spans="1:7" x14ac:dyDescent="0.2">
      <c r="A29" s="981" t="s">
        <v>96</v>
      </c>
      <c r="B29" s="247">
        <f>PRODUCCION!C79</f>
        <v>3849.7197150786901</v>
      </c>
      <c r="C29" s="247">
        <f>PRODUCCION!$C$74</f>
        <v>3698.2261151797607</v>
      </c>
      <c r="D29" s="247">
        <f>PRODUCCION!$C$74</f>
        <v>3698.2261151797607</v>
      </c>
      <c r="E29" s="247">
        <f>PRODUCCION!$C$74</f>
        <v>3698.2261151797607</v>
      </c>
      <c r="F29" s="247">
        <f>PRODUCCION!$C$74</f>
        <v>3698.2261151797607</v>
      </c>
      <c r="G29" s="250">
        <v>0</v>
      </c>
    </row>
    <row r="30" spans="1:7" x14ac:dyDescent="0.2">
      <c r="A30" s="981" t="s">
        <v>97</v>
      </c>
      <c r="B30" s="247">
        <f>PRODUCCION!K111</f>
        <v>677.96141190470007</v>
      </c>
      <c r="C30" s="247">
        <f>PRODUCCION!G111</f>
        <v>677.96141190470007</v>
      </c>
      <c r="D30" s="247">
        <f>PRODUCCION!G111</f>
        <v>677.96141190470007</v>
      </c>
      <c r="E30" s="247">
        <f>PRODUCCION!C111</f>
        <v>678.06389263872131</v>
      </c>
      <c r="F30" s="247">
        <f>PRODUCCION!C111</f>
        <v>678.06389263872131</v>
      </c>
      <c r="G30" s="250">
        <f>PRODUCCION!K114</f>
        <v>10862.749715811631</v>
      </c>
    </row>
    <row r="31" spans="1:7" x14ac:dyDescent="0.2">
      <c r="A31" s="981" t="s">
        <v>108</v>
      </c>
      <c r="B31" s="247">
        <f>PRODUCCION!Q41</f>
        <v>127.76213120882997</v>
      </c>
      <c r="C31" s="247">
        <f>PRODUCCION!M46</f>
        <v>116.27474660452729</v>
      </c>
      <c r="D31" s="247">
        <f>PRODUCCION!M46</f>
        <v>116.27474660452729</v>
      </c>
      <c r="E31" s="247">
        <f>PRODUCCION!M46</f>
        <v>116.27474660452729</v>
      </c>
      <c r="F31" s="247">
        <f>PRODUCCION!M46</f>
        <v>116.27474660452729</v>
      </c>
      <c r="G31" s="250">
        <f>PRODUCCION!Q42</f>
        <v>127.76213120883082</v>
      </c>
    </row>
    <row r="32" spans="1:7" x14ac:dyDescent="0.2">
      <c r="A32" s="981" t="s">
        <v>109</v>
      </c>
      <c r="B32" s="247">
        <f>PRODUCCION!Q87</f>
        <v>564.60727363515309</v>
      </c>
      <c r="C32" s="247">
        <f>PRODUCCION!$M$88</f>
        <v>564.60727363515309</v>
      </c>
      <c r="D32" s="247">
        <f>PRODUCCION!$M$88</f>
        <v>564.60727363515309</v>
      </c>
      <c r="E32" s="247">
        <f>PRODUCCION!$M$88</f>
        <v>564.60727363515309</v>
      </c>
      <c r="F32" s="247">
        <f>PRODUCCION!$M$88</f>
        <v>564.60727363515309</v>
      </c>
      <c r="G32" s="250">
        <f>PRODUCCION!Q89</f>
        <v>22615.156143031491</v>
      </c>
    </row>
    <row r="33" spans="1:7" x14ac:dyDescent="0.2">
      <c r="A33" s="981" t="s">
        <v>110</v>
      </c>
      <c r="B33" s="247">
        <f>PRODUCCION!C103</f>
        <v>61.797121909742835</v>
      </c>
      <c r="C33" s="247">
        <f>PRODUCCION!$C$98</f>
        <v>53.428761651131822</v>
      </c>
      <c r="D33" s="247">
        <f>PRODUCCION!$C$98</f>
        <v>53.428761651131822</v>
      </c>
      <c r="E33" s="247">
        <f>PRODUCCION!$C$98</f>
        <v>53.428761651131822</v>
      </c>
      <c r="F33" s="247">
        <f>PRODUCCION!$C$98</f>
        <v>53.428761651131822</v>
      </c>
      <c r="G33" s="250">
        <v>0</v>
      </c>
    </row>
    <row r="34" spans="1:7" x14ac:dyDescent="0.2">
      <c r="A34" s="981" t="s">
        <v>111</v>
      </c>
      <c r="B34" s="247">
        <f>InfoInicial!$B$15*SUM(B25:B33)</f>
        <v>4952.7255648817654</v>
      </c>
      <c r="C34" s="247">
        <f>InfoInicial!$B$15*SUM(C25:C33)</f>
        <v>4929.9117779732314</v>
      </c>
      <c r="D34" s="247">
        <f>InfoInicial!$B$15*SUM(D25:D33)</f>
        <v>4898.8758284126452</v>
      </c>
      <c r="E34" s="247">
        <f>InfoInicial!$B$15*SUM(E25:E33)</f>
        <v>4898.7345269480702</v>
      </c>
      <c r="F34" s="247">
        <f>InfoInicial!$B$15*SUM(F25:F33)</f>
        <v>4898.7345269480702</v>
      </c>
      <c r="G34" s="250">
        <f>InfoInicial!$B$15*SUM(G25:G33)</f>
        <v>24209.522916878628</v>
      </c>
    </row>
    <row r="35" spans="1:7" ht="13.5" thickBot="1" x14ac:dyDescent="0.25">
      <c r="A35" s="984" t="s">
        <v>112</v>
      </c>
      <c r="B35" s="985">
        <f t="shared" ref="B35:G35" si="0">SUM(B25:B34)</f>
        <v>49977.503427443269</v>
      </c>
      <c r="C35" s="985">
        <f t="shared" si="0"/>
        <v>49747.291577729884</v>
      </c>
      <c r="D35" s="985">
        <f t="shared" si="0"/>
        <v>49434.110632163967</v>
      </c>
      <c r="E35" s="985">
        <f t="shared" si="0"/>
        <v>49432.68477193053</v>
      </c>
      <c r="F35" s="985">
        <f t="shared" si="0"/>
        <v>49432.68477193053</v>
      </c>
      <c r="G35" s="986">
        <f t="shared" si="0"/>
        <v>244296.09488850253</v>
      </c>
    </row>
    <row r="36" spans="1:7" ht="13.5" thickBot="1" x14ac:dyDescent="0.25">
      <c r="A36" s="23"/>
      <c r="B36" s="24"/>
      <c r="C36" s="24"/>
      <c r="D36" s="24"/>
      <c r="E36" s="24"/>
      <c r="F36" s="24"/>
      <c r="G36" s="24"/>
    </row>
    <row r="37" spans="1:7" x14ac:dyDescent="0.2">
      <c r="A37" s="1002"/>
      <c r="B37" s="1003" t="s">
        <v>113</v>
      </c>
      <c r="C37" s="1003"/>
      <c r="D37" s="1003"/>
      <c r="E37" s="1003"/>
      <c r="F37" s="1004"/>
    </row>
    <row r="38" spans="1:7" x14ac:dyDescent="0.2">
      <c r="A38" s="992"/>
      <c r="B38" s="832" t="s">
        <v>48</v>
      </c>
      <c r="C38" s="832" t="s">
        <v>89</v>
      </c>
      <c r="D38" s="832" t="s">
        <v>90</v>
      </c>
      <c r="E38" s="832" t="s">
        <v>91</v>
      </c>
      <c r="F38" s="978" t="s">
        <v>92</v>
      </c>
      <c r="G38" s="24"/>
    </row>
    <row r="39" spans="1:7" x14ac:dyDescent="0.2">
      <c r="A39" s="992" t="s">
        <v>101</v>
      </c>
      <c r="B39" s="998">
        <f>B17</f>
        <v>12971451.567177769</v>
      </c>
      <c r="C39" s="998">
        <f>C17</f>
        <v>14196418.744931296</v>
      </c>
      <c r="D39" s="998">
        <f>D17</f>
        <v>14196418.744931296</v>
      </c>
      <c r="E39" s="998">
        <f>E17</f>
        <v>14195733.419468695</v>
      </c>
      <c r="F39" s="1005">
        <f>F17</f>
        <v>14195733.419468695</v>
      </c>
      <c r="G39" s="24"/>
    </row>
    <row r="40" spans="1:7" x14ac:dyDescent="0.2">
      <c r="A40" s="981" t="s">
        <v>114</v>
      </c>
      <c r="B40" s="999"/>
      <c r="C40" s="999"/>
      <c r="D40" s="999"/>
      <c r="E40" s="999"/>
      <c r="F40" s="1006"/>
      <c r="G40" s="24"/>
    </row>
    <row r="41" spans="1:7" x14ac:dyDescent="0.2">
      <c r="A41" s="981" t="s">
        <v>115</v>
      </c>
      <c r="B41" s="998">
        <f>G35</f>
        <v>244296.09488850253</v>
      </c>
      <c r="C41" s="999"/>
      <c r="D41" s="999"/>
      <c r="E41" s="999"/>
      <c r="F41" s="1006"/>
      <c r="G41" s="24"/>
    </row>
    <row r="42" spans="1:7" x14ac:dyDescent="0.2">
      <c r="A42" s="981" t="s">
        <v>116</v>
      </c>
      <c r="B42" s="998">
        <f>B35</f>
        <v>49977.503427443269</v>
      </c>
      <c r="C42" s="998">
        <f>C35-B35</f>
        <v>-230.21184971338516</v>
      </c>
      <c r="D42" s="998">
        <f>D35-C35</f>
        <v>-313.18094556591677</v>
      </c>
      <c r="E42" s="998">
        <f>E35-D35</f>
        <v>-1.425860233437561</v>
      </c>
      <c r="F42" s="1005">
        <f>F35-E35</f>
        <v>0</v>
      </c>
      <c r="G42" s="24"/>
    </row>
    <row r="43" spans="1:7" x14ac:dyDescent="0.2">
      <c r="A43" s="992" t="s">
        <v>117</v>
      </c>
      <c r="B43" s="998">
        <f>B39-B41-B42</f>
        <v>12677177.968861822</v>
      </c>
      <c r="C43" s="998">
        <f>C39-C41-C42</f>
        <v>14196648.956781009</v>
      </c>
      <c r="D43" s="998">
        <f>D39-D41-D42</f>
        <v>14196731.925876861</v>
      </c>
      <c r="E43" s="998">
        <f>E39-E41-E42</f>
        <v>14195734.845328929</v>
      </c>
      <c r="F43" s="1005">
        <f>F39-F41-F42</f>
        <v>14195733.419468695</v>
      </c>
      <c r="G43" s="24"/>
    </row>
    <row r="44" spans="1:7" x14ac:dyDescent="0.2">
      <c r="A44" s="992" t="s">
        <v>118</v>
      </c>
      <c r="B44" s="998">
        <f>B43/PRODUCCION!$F$22</f>
        <v>24.437933433950501</v>
      </c>
      <c r="C44" s="998">
        <f>C43/PRODUCCION!$B$22</f>
        <v>23.661081594635014</v>
      </c>
      <c r="D44" s="998">
        <f>D43/PRODUCCION!$B$22</f>
        <v>23.661219876461434</v>
      </c>
      <c r="E44" s="998">
        <f>E43/PRODUCCION!$B$22</f>
        <v>23.659558075548215</v>
      </c>
      <c r="F44" s="1005">
        <f>F43/PRODUCCION!$B$22</f>
        <v>23.659555699114492</v>
      </c>
      <c r="G44" s="24"/>
    </row>
    <row r="45" spans="1:7" x14ac:dyDescent="0.2">
      <c r="A45" s="1007"/>
      <c r="B45" s="1000"/>
      <c r="C45" s="1000"/>
      <c r="D45" s="1000"/>
      <c r="E45" s="1000"/>
      <c r="F45" s="1008"/>
      <c r="G45" s="24"/>
    </row>
    <row r="46" spans="1:7" x14ac:dyDescent="0.2">
      <c r="A46" s="992" t="s">
        <v>102</v>
      </c>
      <c r="B46" s="1001">
        <f>(B10+B11+B15)*1.11/B43</f>
        <v>0.22936129511256118</v>
      </c>
      <c r="C46" s="1001">
        <f>(C10+C11+C15)*1.11/C43</f>
        <v>0.21871063912075506</v>
      </c>
      <c r="D46" s="1001">
        <f>(D10+D11+D15)*1.11/D43</f>
        <v>0.21870936092348572</v>
      </c>
      <c r="E46" s="1001">
        <f>(E10+E11+E15)*1.11/E43</f>
        <v>0.21867259430617009</v>
      </c>
      <c r="F46" s="1009">
        <f>(F10+F11+F15)*1.11/F43</f>
        <v>0.21867261627027348</v>
      </c>
      <c r="G46" s="24"/>
    </row>
    <row r="47" spans="1:7" ht="13.5" thickBot="1" x14ac:dyDescent="0.25">
      <c r="A47" s="984" t="s">
        <v>103</v>
      </c>
      <c r="B47" s="1010">
        <f>((B7+B8+B12+B14+B13)*1.11-B41-B42)/B43</f>
        <v>0.77063870488743891</v>
      </c>
      <c r="C47" s="1010">
        <f>((C7+C8+C12+C14+C13)*1.11-C41-C42)/C43</f>
        <v>0.78128936087924516</v>
      </c>
      <c r="D47" s="1010">
        <f>((D7+D8+D12+D14+D13)*1.11-D41-D42)/D43</f>
        <v>0.78129063907651441</v>
      </c>
      <c r="E47" s="1010">
        <f>((E7+E8+E12+E14+E13)*1.11-E41-E42)/E43</f>
        <v>0.78132740569382997</v>
      </c>
      <c r="F47" s="1011">
        <f>((F7+F8+F12+F14+F13)*1.11-F41-F42)/F43</f>
        <v>0.78132738372972654</v>
      </c>
      <c r="G47" s="24"/>
    </row>
    <row r="49" spans="1:7" ht="13.5" thickBot="1" x14ac:dyDescent="0.25"/>
    <row r="50" spans="1:7" x14ac:dyDescent="0.2">
      <c r="A50" s="1017"/>
      <c r="B50" s="1018" t="s">
        <v>119</v>
      </c>
      <c r="C50" s="1018"/>
      <c r="D50" s="1018"/>
      <c r="E50" s="1018"/>
      <c r="F50" s="1019"/>
    </row>
    <row r="51" spans="1:7" x14ac:dyDescent="0.2">
      <c r="A51" s="979" t="s">
        <v>88</v>
      </c>
      <c r="B51" s="969" t="s">
        <v>48</v>
      </c>
      <c r="C51" s="969" t="s">
        <v>89</v>
      </c>
      <c r="D51" s="969" t="s">
        <v>90</v>
      </c>
      <c r="E51" s="969" t="s">
        <v>91</v>
      </c>
      <c r="F51" s="978" t="s">
        <v>92</v>
      </c>
    </row>
    <row r="52" spans="1:7" ht="15" x14ac:dyDescent="0.2">
      <c r="A52" s="680" t="s">
        <v>120</v>
      </c>
      <c r="B52" s="1012">
        <f>ADM!G15</f>
        <v>710694</v>
      </c>
      <c r="C52" s="1012">
        <f>ADM!$C$15</f>
        <v>789660</v>
      </c>
      <c r="D52" s="1012">
        <f>ADM!$C$15</f>
        <v>789660</v>
      </c>
      <c r="E52" s="1012">
        <f>ADM!$C$15</f>
        <v>789660</v>
      </c>
      <c r="F52" s="1020">
        <f>ADM!$C$15</f>
        <v>789660</v>
      </c>
    </row>
    <row r="53" spans="1:7" ht="15" x14ac:dyDescent="0.2">
      <c r="A53" s="981" t="s">
        <v>121</v>
      </c>
      <c r="B53" s="1012">
        <f>ADM!M10</f>
        <v>55188.752387916669</v>
      </c>
      <c r="C53" s="1012">
        <f>ADM!M9</f>
        <v>55188.752387916669</v>
      </c>
      <c r="D53" s="1012">
        <f>ADM!M9</f>
        <v>55188.752387916669</v>
      </c>
      <c r="E53" s="1012">
        <f>ADM!M8</f>
        <v>55188.752387916669</v>
      </c>
      <c r="F53" s="1020">
        <f>ADM!M8</f>
        <v>55188.752387916669</v>
      </c>
    </row>
    <row r="54" spans="1:7" ht="15" x14ac:dyDescent="0.2">
      <c r="A54" s="981" t="s">
        <v>97</v>
      </c>
      <c r="B54" s="1012">
        <f>ADM!T19</f>
        <v>156500.4494695781</v>
      </c>
      <c r="C54" s="1012">
        <f>ADM!P19</f>
        <v>173889.38829953119</v>
      </c>
      <c r="D54" s="1012">
        <f>ADM!P19</f>
        <v>173889.38829953119</v>
      </c>
      <c r="E54" s="1012">
        <f>ADM!L19</f>
        <v>173889.38829953119</v>
      </c>
      <c r="F54" s="1021">
        <f>ADM!L19</f>
        <v>173889.38829953119</v>
      </c>
    </row>
    <row r="55" spans="1:7" ht="15" x14ac:dyDescent="0.2">
      <c r="A55" s="981" t="s">
        <v>122</v>
      </c>
      <c r="B55" s="1012">
        <f>ADM!C31</f>
        <v>1005.9532957439999</v>
      </c>
      <c r="C55" s="1012">
        <f>ADM!C28</f>
        <v>1117.7258841599999</v>
      </c>
      <c r="D55" s="1012">
        <f>ADM!C28</f>
        <v>1117.7258841599999</v>
      </c>
      <c r="E55" s="1012">
        <f>ADM!C28</f>
        <v>1117.7258841599999</v>
      </c>
      <c r="F55" s="1021">
        <f>ADM!C28</f>
        <v>1117.7258841599999</v>
      </c>
    </row>
    <row r="56" spans="1:7" ht="15" x14ac:dyDescent="0.2">
      <c r="A56" s="981" t="s">
        <v>123</v>
      </c>
      <c r="B56" s="1012">
        <f>ADM!B57</f>
        <v>95018.559199999989</v>
      </c>
      <c r="C56" s="1012">
        <f>ADM!$C$57</f>
        <v>100019.53599999999</v>
      </c>
      <c r="D56" s="1012">
        <f>ADM!$C$57</f>
        <v>100019.53599999999</v>
      </c>
      <c r="E56" s="1012">
        <f>ADM!$C$57</f>
        <v>100019.53599999999</v>
      </c>
      <c r="F56" s="1021">
        <f>ADM!$C$57</f>
        <v>100019.53599999999</v>
      </c>
    </row>
    <row r="57" spans="1:7" ht="15" x14ac:dyDescent="0.2">
      <c r="A57" s="981" t="s">
        <v>124</v>
      </c>
      <c r="B57" s="1012">
        <f>ADM!$C$44</f>
        <v>75000</v>
      </c>
      <c r="C57" s="1012">
        <f>ADM!$C$44</f>
        <v>75000</v>
      </c>
      <c r="D57" s="1012">
        <f>ADM!$C$44</f>
        <v>75000</v>
      </c>
      <c r="E57" s="1012">
        <f>ADM!$C$44</f>
        <v>75000</v>
      </c>
      <c r="F57" s="1021">
        <f>ADM!$C$44</f>
        <v>75000</v>
      </c>
    </row>
    <row r="58" spans="1:7" ht="15" x14ac:dyDescent="0.2">
      <c r="A58" s="981" t="s">
        <v>100</v>
      </c>
      <c r="B58" s="1012">
        <f>ADM!$M$57</f>
        <v>373194</v>
      </c>
      <c r="C58" s="1012">
        <f>ADM!$M$57</f>
        <v>373194</v>
      </c>
      <c r="D58" s="1012">
        <f>ADM!$M$57</f>
        <v>373194</v>
      </c>
      <c r="E58" s="1012">
        <f>ADM!$M$57</f>
        <v>373194</v>
      </c>
      <c r="F58" s="1021">
        <f>ADM!$M$57</f>
        <v>373194</v>
      </c>
    </row>
    <row r="59" spans="1:7" ht="15" x14ac:dyDescent="0.2">
      <c r="A59" s="981" t="s">
        <v>15</v>
      </c>
      <c r="B59" s="1012">
        <f>SUM(B52:B58)*InfoInicial!$B$15</f>
        <v>161326.18857885626</v>
      </c>
      <c r="C59" s="1012">
        <f>SUM(C52:C58)*InfoInicial!$B$15</f>
        <v>172487.63428287685</v>
      </c>
      <c r="D59" s="1012">
        <f>SUM(D52:D58)*InfoInicial!$B$15</f>
        <v>172487.63428287685</v>
      </c>
      <c r="E59" s="1012">
        <f>SUM(E52:E58)*InfoInicial!$B$15</f>
        <v>172487.63428287685</v>
      </c>
      <c r="F59" s="1021">
        <f>SUM(F52:F58)*InfoInicial!$B$15</f>
        <v>172487.63428287685</v>
      </c>
    </row>
    <row r="60" spans="1:7" ht="15" x14ac:dyDescent="0.2">
      <c r="A60" s="1022"/>
      <c r="B60" s="1013"/>
      <c r="C60" s="1013"/>
      <c r="D60" s="1013"/>
      <c r="E60" s="1013"/>
      <c r="F60" s="1023"/>
    </row>
    <row r="61" spans="1:7" ht="15.75" x14ac:dyDescent="0.25">
      <c r="A61" s="992" t="s">
        <v>125</v>
      </c>
      <c r="B61" s="1014">
        <f>SUM(B52:B59)</f>
        <v>1627927.9029320949</v>
      </c>
      <c r="C61" s="1014">
        <f>SUM(C52:C59)</f>
        <v>1740557.0368544846</v>
      </c>
      <c r="D61" s="1014">
        <f>SUM(D52:D59)</f>
        <v>1740557.0368544846</v>
      </c>
      <c r="E61" s="1014">
        <f>SUM(E52:E59)</f>
        <v>1740557.0368544846</v>
      </c>
      <c r="F61" s="1024">
        <f>SUM(F52:F59)</f>
        <v>1740557.0368544846</v>
      </c>
    </row>
    <row r="62" spans="1:7" x14ac:dyDescent="0.2">
      <c r="A62" s="1007"/>
      <c r="B62" s="1015"/>
      <c r="C62" s="1015"/>
      <c r="D62" s="1015"/>
      <c r="E62" s="1015"/>
      <c r="F62" s="1025"/>
      <c r="G62" s="24"/>
    </row>
    <row r="63" spans="1:7" x14ac:dyDescent="0.2">
      <c r="A63" s="992" t="s">
        <v>102</v>
      </c>
      <c r="B63" s="1016">
        <f>SUM(B52:B59)/B61</f>
        <v>1</v>
      </c>
      <c r="C63" s="1016">
        <f>SUM(C52:C59)/C61</f>
        <v>1</v>
      </c>
      <c r="D63" s="1016">
        <f>SUM(D52:D59)/D61</f>
        <v>1</v>
      </c>
      <c r="E63" s="1016">
        <f>SUM(E52:E59)/E61</f>
        <v>1</v>
      </c>
      <c r="F63" s="1026">
        <f>SUM(F52:F59)/F61</f>
        <v>1</v>
      </c>
      <c r="G63" s="24"/>
    </row>
    <row r="64" spans="1:7" ht="13.5" thickBot="1" x14ac:dyDescent="0.25">
      <c r="A64" s="984" t="s">
        <v>103</v>
      </c>
      <c r="B64" s="1027">
        <v>0</v>
      </c>
      <c r="C64" s="1027">
        <v>0</v>
      </c>
      <c r="D64" s="1027">
        <v>0</v>
      </c>
      <c r="E64" s="1027">
        <v>0</v>
      </c>
      <c r="F64" s="1028">
        <v>0</v>
      </c>
      <c r="G64" s="24"/>
    </row>
    <row r="66" spans="1:7" ht="13.5" thickBot="1" x14ac:dyDescent="0.25"/>
    <row r="67" spans="1:7" x14ac:dyDescent="0.2">
      <c r="A67" s="1017"/>
      <c r="B67" s="1044" t="s">
        <v>126</v>
      </c>
      <c r="C67" s="1045"/>
      <c r="D67" s="1045"/>
      <c r="E67" s="1045"/>
      <c r="F67" s="1046"/>
    </row>
    <row r="68" spans="1:7" x14ac:dyDescent="0.2">
      <c r="A68" s="979" t="s">
        <v>88</v>
      </c>
      <c r="B68" s="969" t="s">
        <v>48</v>
      </c>
      <c r="C68" s="969" t="s">
        <v>89</v>
      </c>
      <c r="D68" s="969" t="s">
        <v>90</v>
      </c>
      <c r="E68" s="969" t="s">
        <v>91</v>
      </c>
      <c r="F68" s="978" t="s">
        <v>92</v>
      </c>
    </row>
    <row r="69" spans="1:7" ht="15" x14ac:dyDescent="0.2">
      <c r="A69" s="680" t="s">
        <v>120</v>
      </c>
      <c r="B69" s="1036">
        <f>COMER!G13</f>
        <v>990323.82000000007</v>
      </c>
      <c r="C69" s="1036">
        <f>COMER!$C$13</f>
        <v>1100359.8</v>
      </c>
      <c r="D69" s="1036">
        <f>COMER!$C$13</f>
        <v>1100359.8</v>
      </c>
      <c r="E69" s="1036">
        <f>COMER!$C$13</f>
        <v>1100359.8</v>
      </c>
      <c r="F69" s="1037">
        <f>COMER!$C$13</f>
        <v>1100359.8</v>
      </c>
    </row>
    <row r="70" spans="1:7" ht="15" x14ac:dyDescent="0.2">
      <c r="A70" s="981" t="s">
        <v>121</v>
      </c>
      <c r="B70" s="1036">
        <f>COMER!S6</f>
        <v>55188.752387916669</v>
      </c>
      <c r="C70" s="1036">
        <f>COMER!$O$6</f>
        <v>55188.752387916669</v>
      </c>
      <c r="D70" s="1036">
        <f>COMER!$O$6</f>
        <v>55188.752387916669</v>
      </c>
      <c r="E70" s="1036">
        <f>COMER!$K$6</f>
        <v>55188.752387916669</v>
      </c>
      <c r="F70" s="1037">
        <f>COMER!$K$6</f>
        <v>55188.752387916669</v>
      </c>
    </row>
    <row r="71" spans="1:7" ht="15" x14ac:dyDescent="0.2">
      <c r="A71" s="981" t="s">
        <v>97</v>
      </c>
      <c r="B71" s="1038">
        <f>COMER!G23</f>
        <v>39413.553077531251</v>
      </c>
      <c r="C71" s="1036">
        <f>COMER!$C$23</f>
        <v>36151.561517531249</v>
      </c>
      <c r="D71" s="1036">
        <f>COMER!$C$23</f>
        <v>36151.561517531249</v>
      </c>
      <c r="E71" s="1036">
        <f>COMER!$C$23</f>
        <v>36151.561517531249</v>
      </c>
      <c r="F71" s="1037">
        <f>COMER!$C$23</f>
        <v>36151.561517531249</v>
      </c>
    </row>
    <row r="72" spans="1:7" ht="15" x14ac:dyDescent="0.2">
      <c r="A72" s="981" t="s">
        <v>127</v>
      </c>
      <c r="B72" s="1036">
        <f>COMER!O10</f>
        <v>1005.9532957439999</v>
      </c>
      <c r="C72" s="1036">
        <f>COMER!$K$10</f>
        <v>1117.7258841599999</v>
      </c>
      <c r="D72" s="1036">
        <f>COMER!$K$10</f>
        <v>1117.7258841599999</v>
      </c>
      <c r="E72" s="1036">
        <f>COMER!$K$10</f>
        <v>1117.7258841599999</v>
      </c>
      <c r="F72" s="1037">
        <f>COMER!$K$10</f>
        <v>1117.7258841599999</v>
      </c>
    </row>
    <row r="73" spans="1:7" ht="15" x14ac:dyDescent="0.2">
      <c r="A73" s="981" t="s">
        <v>123</v>
      </c>
      <c r="B73" s="1036">
        <f>COMER!O14</f>
        <v>95018.559199999989</v>
      </c>
      <c r="C73" s="1036">
        <f>COMER!$K$14</f>
        <v>100019.53599999999</v>
      </c>
      <c r="D73" s="1036">
        <f>COMER!$K$14</f>
        <v>100019.53599999999</v>
      </c>
      <c r="E73" s="1036">
        <f>COMER!$K$14</f>
        <v>100019.53599999999</v>
      </c>
      <c r="F73" s="1037">
        <f>COMER!$K$14</f>
        <v>100019.53599999999</v>
      </c>
      <c r="G73" s="1029"/>
    </row>
    <row r="74" spans="1:7" ht="15" x14ac:dyDescent="0.2">
      <c r="A74" s="981" t="s">
        <v>124</v>
      </c>
      <c r="B74" s="1036">
        <f>COMER!K31</f>
        <v>72000</v>
      </c>
      <c r="C74" s="1036">
        <f>COMER!$K$28</f>
        <v>72000</v>
      </c>
      <c r="D74" s="1036">
        <f>COMER!$K$28</f>
        <v>72000</v>
      </c>
      <c r="E74" s="1036">
        <f>COMER!$K$28</f>
        <v>72000</v>
      </c>
      <c r="F74" s="1037">
        <f>COMER!$K$28</f>
        <v>72000</v>
      </c>
    </row>
    <row r="75" spans="1:7" ht="15" x14ac:dyDescent="0.2">
      <c r="A75" s="981" t="s">
        <v>100</v>
      </c>
      <c r="B75" s="1036">
        <f>COMER!G54</f>
        <v>1086475.25</v>
      </c>
      <c r="C75" s="1036">
        <f>COMER!$C$54</f>
        <v>1198194</v>
      </c>
      <c r="D75" s="1036">
        <f>COMER!$C$54</f>
        <v>1198194</v>
      </c>
      <c r="E75" s="1036">
        <f>COMER!$C$54</f>
        <v>1198194</v>
      </c>
      <c r="F75" s="1037">
        <f>COMER!$C$54</f>
        <v>1198194</v>
      </c>
    </row>
    <row r="76" spans="1:7" ht="15" x14ac:dyDescent="0.2">
      <c r="A76" s="981" t="s">
        <v>15</v>
      </c>
      <c r="B76" s="1036">
        <f>SUM(B69:B75)*InfoInicial!$B$15</f>
        <v>257336.84767573111</v>
      </c>
      <c r="C76" s="1036">
        <f>SUM(C69:C75)*InfoInicial!$B$15</f>
        <v>281933.45133685687</v>
      </c>
      <c r="D76" s="1036">
        <f>SUM(D69:D75)*InfoInicial!$B$15</f>
        <v>281933.45133685687</v>
      </c>
      <c r="E76" s="1036">
        <f>SUM(E69:E75)*InfoInicial!$B$15</f>
        <v>281933.45133685687</v>
      </c>
      <c r="F76" s="1037">
        <f>SUM(F69:F75)*InfoInicial!$B$15</f>
        <v>281933.45133685687</v>
      </c>
    </row>
    <row r="77" spans="1:7" ht="15" x14ac:dyDescent="0.2">
      <c r="A77" s="1022"/>
      <c r="B77" s="1039"/>
      <c r="C77" s="1039"/>
      <c r="D77" s="1039"/>
      <c r="E77" s="1039"/>
      <c r="F77" s="1040"/>
    </row>
    <row r="78" spans="1:7" ht="15.75" x14ac:dyDescent="0.25">
      <c r="A78" s="992" t="s">
        <v>128</v>
      </c>
      <c r="B78" s="1041">
        <f>SUM(B69:B76)</f>
        <v>2596762.735636923</v>
      </c>
      <c r="C78" s="1041">
        <f>SUM(C69:C77)</f>
        <v>2844964.8271264648</v>
      </c>
      <c r="D78" s="1041">
        <f>SUM(D69:D76)</f>
        <v>2844964.8271264648</v>
      </c>
      <c r="E78" s="1041">
        <f>SUM(E69:E76)</f>
        <v>2844964.8271264648</v>
      </c>
      <c r="F78" s="1042">
        <f>SUM(F69:F76)</f>
        <v>2844964.8271264648</v>
      </c>
    </row>
    <row r="79" spans="1:7" ht="15" x14ac:dyDescent="0.2">
      <c r="A79" s="1007"/>
      <c r="B79" s="1039"/>
      <c r="C79" s="1039"/>
      <c r="D79" s="1039"/>
      <c r="E79" s="1039"/>
      <c r="F79" s="1043"/>
    </row>
    <row r="80" spans="1:7" x14ac:dyDescent="0.2">
      <c r="A80" s="992" t="s">
        <v>102</v>
      </c>
      <c r="B80" s="1031">
        <f>SUM(B69:B74)/B78</f>
        <v>0.48250485913333691</v>
      </c>
      <c r="C80" s="1031">
        <f>SUM(C69+C70+C72+C73+C74)/C78</f>
        <v>0.46703066470389576</v>
      </c>
      <c r="D80" s="1031">
        <f>SUM(D69+D70+D72+D73+D74)/D78</f>
        <v>0.46703066470389576</v>
      </c>
      <c r="E80" s="1031">
        <f>SUM(E69+E70+E72+E73+E74)/E78</f>
        <v>0.46703066470389576</v>
      </c>
      <c r="F80" s="1033">
        <f>SUM(F69+F70+F72+F73+F74)/F78</f>
        <v>0.46703066470389576</v>
      </c>
    </row>
    <row r="81" spans="1:6" ht="13.5" thickBot="1" x14ac:dyDescent="0.25">
      <c r="A81" s="984" t="s">
        <v>103</v>
      </c>
      <c r="B81" s="1034">
        <f>SUM(B75+B76)/B78</f>
        <v>0.51749514086666326</v>
      </c>
      <c r="C81" s="1034">
        <f>SUM(C75+C71+C76)/C78</f>
        <v>0.53296933529610424</v>
      </c>
      <c r="D81" s="1034">
        <f>SUM(D75+D71+D76)/D78</f>
        <v>0.53296933529610424</v>
      </c>
      <c r="E81" s="1034">
        <f>SUM(E75+E71+E76)/E78</f>
        <v>0.53296933529610424</v>
      </c>
      <c r="F81" s="1035">
        <f>SUM(F75+F71+F76)/F78</f>
        <v>0.53296933529610424</v>
      </c>
    </row>
    <row r="83" spans="1:6" ht="13.5" thickBot="1" x14ac:dyDescent="0.25"/>
    <row r="84" spans="1:6" ht="15.75" x14ac:dyDescent="0.25">
      <c r="A84" s="1051" t="s">
        <v>129</v>
      </c>
      <c r="B84" s="1052"/>
      <c r="C84" s="1052"/>
      <c r="D84" s="1052"/>
      <c r="E84" s="1052"/>
      <c r="F84" s="1053"/>
    </row>
    <row r="85" spans="1:6" x14ac:dyDescent="0.2">
      <c r="A85" s="1022"/>
      <c r="B85" s="969" t="s">
        <v>48</v>
      </c>
      <c r="C85" s="969" t="s">
        <v>89</v>
      </c>
      <c r="D85" s="969" t="s">
        <v>90</v>
      </c>
      <c r="E85" s="969" t="s">
        <v>91</v>
      </c>
      <c r="F85" s="978" t="s">
        <v>92</v>
      </c>
    </row>
    <row r="86" spans="1:6" ht="15" x14ac:dyDescent="0.2">
      <c r="A86" s="981" t="s">
        <v>130</v>
      </c>
      <c r="B86" s="1047">
        <f>InfoInicial!G47</f>
        <v>518750</v>
      </c>
      <c r="C86" s="1047">
        <f>InfoInicial!$G$46</f>
        <v>600000</v>
      </c>
      <c r="D86" s="1047">
        <f>InfoInicial!$G$46</f>
        <v>600000</v>
      </c>
      <c r="E86" s="1047">
        <f>InfoInicial!$G$46</f>
        <v>600000</v>
      </c>
      <c r="F86" s="1054">
        <f>InfoInicial!$G$46</f>
        <v>600000</v>
      </c>
    </row>
    <row r="87" spans="1:6" ht="15" x14ac:dyDescent="0.2">
      <c r="A87" s="981" t="s">
        <v>131</v>
      </c>
      <c r="B87" s="1036">
        <f>InfoInicial!H47</f>
        <v>50</v>
      </c>
      <c r="C87" s="1036">
        <f>InfoInicial!$H$46</f>
        <v>50</v>
      </c>
      <c r="D87" s="1036">
        <f>InfoInicial!$H$46</f>
        <v>50</v>
      </c>
      <c r="E87" s="1036">
        <f>InfoInicial!$H$46</f>
        <v>50</v>
      </c>
      <c r="F87" s="1037">
        <f>InfoInicial!$H$46</f>
        <v>50</v>
      </c>
    </row>
    <row r="88" spans="1:6" ht="15" x14ac:dyDescent="0.2">
      <c r="A88" s="992" t="s">
        <v>132</v>
      </c>
      <c r="B88" s="1036">
        <f>B86*B87</f>
        <v>25937500</v>
      </c>
      <c r="C88" s="1036">
        <f>C86*C87</f>
        <v>30000000</v>
      </c>
      <c r="D88" s="1036">
        <f>D86*D87</f>
        <v>30000000</v>
      </c>
      <c r="E88" s="1036">
        <f>E86*E87</f>
        <v>30000000</v>
      </c>
      <c r="F88" s="1037">
        <f>F86*F87</f>
        <v>30000000</v>
      </c>
    </row>
    <row r="89" spans="1:6" ht="15" x14ac:dyDescent="0.2">
      <c r="A89" s="1022"/>
      <c r="B89" s="1039"/>
      <c r="C89" s="1039"/>
      <c r="D89" s="1039"/>
      <c r="E89" s="1039"/>
      <c r="F89" s="1043"/>
    </row>
    <row r="90" spans="1:6" ht="15" x14ac:dyDescent="0.2">
      <c r="A90" s="981" t="s">
        <v>133</v>
      </c>
      <c r="B90" s="1036">
        <f>PRODUCCION!T73</f>
        <v>6349480.3200000003</v>
      </c>
      <c r="C90" s="1036">
        <f>PRODUCCION!$T$61</f>
        <v>7115152.3200000003</v>
      </c>
      <c r="D90" s="1036">
        <f>PRODUCCION!$T$61</f>
        <v>7115152.3200000003</v>
      </c>
      <c r="E90" s="1036">
        <f>PRODUCCION!$T$61</f>
        <v>7115152.3200000003</v>
      </c>
      <c r="F90" s="1037">
        <f>PRODUCCION!$T$61</f>
        <v>7115152.3200000003</v>
      </c>
    </row>
    <row r="91" spans="1:6" ht="15" x14ac:dyDescent="0.2">
      <c r="A91" s="981" t="s">
        <v>94</v>
      </c>
      <c r="B91" s="1036">
        <f>PRODUCCION!F21</f>
        <v>2112838</v>
      </c>
      <c r="C91" s="1036">
        <f>PRODUCCION!$B$21</f>
        <v>2224040</v>
      </c>
      <c r="D91" s="1036">
        <f>PRODUCCION!$B$21</f>
        <v>2224040</v>
      </c>
      <c r="E91" s="1036">
        <f>PRODUCCION!$B$21</f>
        <v>2224040</v>
      </c>
      <c r="F91" s="1037">
        <f>PRODUCCION!$B$21</f>
        <v>2224040</v>
      </c>
    </row>
    <row r="92" spans="1:6" ht="15" x14ac:dyDescent="0.2">
      <c r="A92" s="981" t="s">
        <v>134</v>
      </c>
      <c r="B92" s="1036">
        <f>SUM(B10:B16)</f>
        <v>4509133.2471777676</v>
      </c>
      <c r="C92" s="1036">
        <f>SUM(C10:C16)</f>
        <v>4857226.4249312961</v>
      </c>
      <c r="D92" s="1036">
        <f>SUM(D10:D16)</f>
        <v>4857226.4249312961</v>
      </c>
      <c r="E92" s="1036">
        <f>SUM(E10:E16)</f>
        <v>4856541.0994686959</v>
      </c>
      <c r="F92" s="1037">
        <f>SUM(F10:F16)</f>
        <v>4856541.0994686959</v>
      </c>
    </row>
    <row r="93" spans="1:6" ht="15" x14ac:dyDescent="0.2">
      <c r="A93" s="1022"/>
      <c r="B93" s="1030"/>
      <c r="C93" s="1030"/>
      <c r="D93" s="1030"/>
      <c r="E93" s="1030"/>
      <c r="F93" s="1032"/>
    </row>
    <row r="94" spans="1:6" ht="15.75" x14ac:dyDescent="0.25">
      <c r="A94" s="981" t="s">
        <v>135</v>
      </c>
      <c r="B94" s="1041">
        <f>SUM(B90:B92)</f>
        <v>12971451.567177769</v>
      </c>
      <c r="C94" s="1041">
        <f>SUM(C90:C92)</f>
        <v>14196418.744931296</v>
      </c>
      <c r="D94" s="1041">
        <f>SUM(D90:D92)</f>
        <v>14196418.744931296</v>
      </c>
      <c r="E94" s="1041">
        <f>SUM(E90:E92)</f>
        <v>14195733.419468697</v>
      </c>
      <c r="F94" s="1042">
        <f>SUM(F90:F92)</f>
        <v>14195733.419468697</v>
      </c>
    </row>
    <row r="95" spans="1:6" ht="15" x14ac:dyDescent="0.2">
      <c r="A95" s="1022"/>
      <c r="B95" s="1030"/>
      <c r="C95" s="1030"/>
      <c r="D95" s="1030"/>
      <c r="E95" s="1030"/>
      <c r="F95" s="1032"/>
    </row>
    <row r="96" spans="1:6" ht="15" x14ac:dyDescent="0.2">
      <c r="A96" s="981" t="s">
        <v>114</v>
      </c>
      <c r="B96" s="1030"/>
      <c r="C96" s="1030"/>
      <c r="D96" s="1030"/>
      <c r="E96" s="1030"/>
      <c r="F96" s="1032"/>
    </row>
    <row r="97" spans="1:10" ht="15" x14ac:dyDescent="0.2">
      <c r="A97" s="1060" t="s">
        <v>106</v>
      </c>
      <c r="B97" s="1036">
        <f t="shared" ref="B97:F98" si="1">B41</f>
        <v>244296.09488850253</v>
      </c>
      <c r="C97" s="1036">
        <f t="shared" si="1"/>
        <v>0</v>
      </c>
      <c r="D97" s="1036">
        <f t="shared" si="1"/>
        <v>0</v>
      </c>
      <c r="E97" s="1036">
        <f t="shared" si="1"/>
        <v>0</v>
      </c>
      <c r="F97" s="1037">
        <f t="shared" si="1"/>
        <v>0</v>
      </c>
    </row>
    <row r="98" spans="1:10" ht="15" x14ac:dyDescent="0.2">
      <c r="A98" s="1060" t="s">
        <v>116</v>
      </c>
      <c r="B98" s="1036">
        <f t="shared" si="1"/>
        <v>49977.503427443269</v>
      </c>
      <c r="C98" s="1036">
        <f t="shared" si="1"/>
        <v>-230.21184971338516</v>
      </c>
      <c r="D98" s="1036">
        <f t="shared" si="1"/>
        <v>-313.18094556591677</v>
      </c>
      <c r="E98" s="1036">
        <f t="shared" si="1"/>
        <v>-1.425860233437561</v>
      </c>
      <c r="F98" s="1037">
        <f t="shared" si="1"/>
        <v>0</v>
      </c>
    </row>
    <row r="99" spans="1:10" ht="15" x14ac:dyDescent="0.2">
      <c r="A99" s="1022"/>
      <c r="B99" s="1039"/>
      <c r="C99" s="1039"/>
      <c r="D99" s="1039"/>
      <c r="E99" s="1039"/>
      <c r="F99" s="1043"/>
    </row>
    <row r="100" spans="1:10" ht="15" x14ac:dyDescent="0.2">
      <c r="A100" s="992" t="s">
        <v>136</v>
      </c>
      <c r="B100" s="1036">
        <f>B94-B97-B98</f>
        <v>12677177.968861822</v>
      </c>
      <c r="C100" s="1036">
        <f>C94-C97-C98</f>
        <v>14196648.956781009</v>
      </c>
      <c r="D100" s="1036">
        <f>D94-D97-D98</f>
        <v>14196731.925876861</v>
      </c>
      <c r="E100" s="1036">
        <f>E94-E97-E98</f>
        <v>14195734.845328931</v>
      </c>
      <c r="F100" s="1037">
        <f>F94-F97-F98</f>
        <v>14195733.419468697</v>
      </c>
      <c r="H100" s="938"/>
      <c r="I100" s="1058" t="s">
        <v>716</v>
      </c>
      <c r="J100" s="1058"/>
    </row>
    <row r="101" spans="1:10" ht="15" x14ac:dyDescent="0.2">
      <c r="A101" s="1060" t="s">
        <v>137</v>
      </c>
      <c r="B101" s="1036">
        <f>PRODUCCION!F22</f>
        <v>518750</v>
      </c>
      <c r="C101" s="1036">
        <f>PRODUCCION!$B$22</f>
        <v>600000</v>
      </c>
      <c r="D101" s="1036">
        <f>PRODUCCION!$B$22</f>
        <v>600000</v>
      </c>
      <c r="E101" s="1036">
        <f>PRODUCCION!$B$22</f>
        <v>600000</v>
      </c>
      <c r="F101" s="1037">
        <f>PRODUCCION!$B$22</f>
        <v>600000</v>
      </c>
      <c r="H101" s="922" t="s">
        <v>47</v>
      </c>
      <c r="I101" s="904">
        <v>0</v>
      </c>
      <c r="J101" s="904"/>
    </row>
    <row r="102" spans="1:10" ht="15" x14ac:dyDescent="0.2">
      <c r="A102" s="981" t="s">
        <v>138</v>
      </c>
      <c r="B102" s="1036">
        <f>B100/B101</f>
        <v>24.437933433950501</v>
      </c>
      <c r="C102" s="1036">
        <f>C100/C101</f>
        <v>23.661081594635014</v>
      </c>
      <c r="D102" s="1036">
        <f>D100/D101</f>
        <v>23.661219876461434</v>
      </c>
      <c r="E102" s="1036">
        <f>E100/E101</f>
        <v>23.659558075548219</v>
      </c>
      <c r="F102" s="1037">
        <f>F100/F101</f>
        <v>23.659555699114495</v>
      </c>
      <c r="H102" s="922" t="s">
        <v>48</v>
      </c>
      <c r="I102" s="906">
        <v>6250</v>
      </c>
      <c r="J102" s="906"/>
    </row>
    <row r="103" spans="1:10" ht="15.75" x14ac:dyDescent="0.25">
      <c r="A103" s="1022"/>
      <c r="B103" s="1048"/>
      <c r="C103" s="1048"/>
      <c r="D103" s="1048"/>
      <c r="E103" s="1048"/>
      <c r="F103" s="1055"/>
      <c r="H103" s="922" t="s">
        <v>416</v>
      </c>
      <c r="I103" s="906">
        <v>6250</v>
      </c>
      <c r="J103" s="906"/>
    </row>
    <row r="104" spans="1:10" ht="15.75" x14ac:dyDescent="0.25">
      <c r="A104" s="1022" t="s">
        <v>114</v>
      </c>
      <c r="B104" s="1048"/>
      <c r="C104" s="1048"/>
      <c r="D104" s="1048"/>
      <c r="E104" s="1048"/>
      <c r="F104" s="1055"/>
    </row>
    <row r="105" spans="1:10" ht="15" x14ac:dyDescent="0.2">
      <c r="A105" s="981" t="s">
        <v>139</v>
      </c>
      <c r="B105" s="1036">
        <f>B102*I102</f>
        <v>152737.08396219063</v>
      </c>
      <c r="C105" s="1036">
        <f>C102*$I$103</f>
        <v>147881.75996646885</v>
      </c>
      <c r="D105" s="1036">
        <f>D102*$I$103</f>
        <v>147882.62422788396</v>
      </c>
      <c r="E105" s="1036">
        <f>E102*$I$103</f>
        <v>147872.23797217637</v>
      </c>
      <c r="F105" s="1037">
        <f>F102*$I$103</f>
        <v>147872.22311946561</v>
      </c>
    </row>
    <row r="106" spans="1:10" ht="15" x14ac:dyDescent="0.2">
      <c r="A106" s="1022"/>
      <c r="B106" s="1039"/>
      <c r="C106" s="1039"/>
      <c r="D106" s="1039"/>
      <c r="E106" s="1039"/>
      <c r="F106" s="1043"/>
    </row>
    <row r="107" spans="1:10" ht="15" x14ac:dyDescent="0.2">
      <c r="A107" s="992" t="s">
        <v>140</v>
      </c>
      <c r="B107" s="1036">
        <f>B100-B105</f>
        <v>12524440.884899631</v>
      </c>
      <c r="C107" s="1036">
        <f>C100-C105</f>
        <v>14048767.196814541</v>
      </c>
      <c r="D107" s="1036">
        <f>D100-D105</f>
        <v>14048849.301648978</v>
      </c>
      <c r="E107" s="1036">
        <f>E100-E105</f>
        <v>14047862.607356755</v>
      </c>
      <c r="F107" s="1037">
        <f>F100-F105</f>
        <v>14047861.196349232</v>
      </c>
    </row>
    <row r="108" spans="1:10" ht="15" x14ac:dyDescent="0.2">
      <c r="A108" s="1022"/>
      <c r="B108" s="1039"/>
      <c r="C108" s="1039"/>
      <c r="D108" s="1039"/>
      <c r="E108" s="1039"/>
      <c r="F108" s="1043"/>
    </row>
    <row r="109" spans="1:10" ht="15" x14ac:dyDescent="0.2">
      <c r="A109" s="992" t="s">
        <v>141</v>
      </c>
      <c r="B109" s="1036">
        <f>B61</f>
        <v>1627927.9029320949</v>
      </c>
      <c r="C109" s="1036">
        <f>C61</f>
        <v>1740557.0368544846</v>
      </c>
      <c r="D109" s="1036">
        <f>D61</f>
        <v>1740557.0368544846</v>
      </c>
      <c r="E109" s="1036">
        <f>E61</f>
        <v>1740557.0368544846</v>
      </c>
      <c r="F109" s="1037">
        <f>F61</f>
        <v>1740557.0368544846</v>
      </c>
    </row>
    <row r="110" spans="1:10" ht="15" x14ac:dyDescent="0.2">
      <c r="A110" s="992" t="s">
        <v>142</v>
      </c>
      <c r="B110" s="1036">
        <f>B78</f>
        <v>2596762.735636923</v>
      </c>
      <c r="C110" s="1036">
        <f>C78</f>
        <v>2844964.8271264648</v>
      </c>
      <c r="D110" s="1036">
        <f>D78</f>
        <v>2844964.8271264648</v>
      </c>
      <c r="E110" s="1036">
        <f>E78</f>
        <v>2844964.8271264648</v>
      </c>
      <c r="F110" s="1037">
        <f>F78</f>
        <v>2844964.8271264648</v>
      </c>
    </row>
    <row r="111" spans="1:10" ht="15" x14ac:dyDescent="0.2">
      <c r="A111" s="1022"/>
      <c r="B111" s="1039"/>
      <c r="C111" s="1039"/>
      <c r="D111" s="1039"/>
      <c r="E111" s="1039"/>
      <c r="F111" s="1043"/>
    </row>
    <row r="112" spans="1:10" ht="15" x14ac:dyDescent="0.2">
      <c r="A112" s="992" t="s">
        <v>143</v>
      </c>
      <c r="B112" s="1036">
        <f>B107+B109+B110</f>
        <v>16749131.523468649</v>
      </c>
      <c r="C112" s="1036">
        <f>C107+C109+C110</f>
        <v>18634289.06079549</v>
      </c>
      <c r="D112" s="1036">
        <f>D107+D109+D110</f>
        <v>18634371.165629927</v>
      </c>
      <c r="E112" s="1036">
        <f>E107+E109+E110</f>
        <v>18633384.471337706</v>
      </c>
      <c r="F112" s="1037">
        <f>F107+F109+F110</f>
        <v>18633383.060330182</v>
      </c>
    </row>
    <row r="113" spans="1:6" ht="15" x14ac:dyDescent="0.2">
      <c r="A113" s="1022"/>
      <c r="B113" s="1039"/>
      <c r="C113" s="1039"/>
      <c r="D113" s="1039"/>
      <c r="E113" s="1039"/>
      <c r="F113" s="1043"/>
    </row>
    <row r="114" spans="1:6" ht="15" x14ac:dyDescent="0.2">
      <c r="A114" s="992" t="s">
        <v>144</v>
      </c>
      <c r="B114" s="1036">
        <f>B112/PRODUCCION!F22</f>
        <v>32.287482454879324</v>
      </c>
      <c r="C114" s="1036">
        <f>C112/PRODUCCION!$B$22</f>
        <v>31.057148434659151</v>
      </c>
      <c r="D114" s="1036">
        <f>D112/PRODUCCION!$B$22</f>
        <v>31.057285276049878</v>
      </c>
      <c r="E114" s="1036">
        <f>E112/PRODUCCION!$B$22</f>
        <v>31.055640785562844</v>
      </c>
      <c r="F114" s="1037">
        <f>F112/PRODUCCION!$B$22</f>
        <v>31.055638433883637</v>
      </c>
    </row>
    <row r="115" spans="1:6" ht="15" x14ac:dyDescent="0.2">
      <c r="A115" s="1022"/>
      <c r="B115" s="1039"/>
      <c r="C115" s="1039"/>
      <c r="D115" s="1039"/>
      <c r="E115" s="1039"/>
      <c r="F115" s="1043"/>
    </row>
    <row r="116" spans="1:6" ht="15" x14ac:dyDescent="0.2">
      <c r="A116" s="992" t="s">
        <v>145</v>
      </c>
      <c r="B116" s="1036">
        <f>B88-B112</f>
        <v>9188368.476531351</v>
      </c>
      <c r="C116" s="1036">
        <f>C88-C112</f>
        <v>11365710.93920451</v>
      </c>
      <c r="D116" s="1036">
        <f>D88-D112</f>
        <v>11365628.834370073</v>
      </c>
      <c r="E116" s="1036">
        <f>E88-E112</f>
        <v>11366615.528662294</v>
      </c>
      <c r="F116" s="1037">
        <f>F88-F112</f>
        <v>11366616.939669818</v>
      </c>
    </row>
    <row r="117" spans="1:6" ht="15" x14ac:dyDescent="0.2">
      <c r="A117" s="992" t="s">
        <v>3</v>
      </c>
      <c r="B117" s="1036">
        <f>B116*InfoInicial!$B$5</f>
        <v>459418.4238265676</v>
      </c>
      <c r="C117" s="1036">
        <f>C116*InfoInicial!$B$5</f>
        <v>568285.54696022556</v>
      </c>
      <c r="D117" s="1036">
        <f>D116*InfoInicial!$B$5</f>
        <v>568281.44171850372</v>
      </c>
      <c r="E117" s="1036">
        <f>E116*InfoInicial!$B$5</f>
        <v>568330.77643311478</v>
      </c>
      <c r="F117" s="1037">
        <f>F116*InfoInicial!$B$5</f>
        <v>568330.84698349086</v>
      </c>
    </row>
    <row r="118" spans="1:6" ht="15" x14ac:dyDescent="0.2">
      <c r="A118" s="1059" t="s">
        <v>146</v>
      </c>
      <c r="B118" s="1036">
        <f>(B116-B117)*InfoInicial!$B$4</f>
        <v>3055132.5184466741</v>
      </c>
      <c r="C118" s="1036">
        <f>(C116-C117)*InfoInicial!$B$4</f>
        <v>3779098.8872854994</v>
      </c>
      <c r="D118" s="1036">
        <f>(D116-D117)*InfoInicial!$B$4</f>
        <v>3779071.5874280487</v>
      </c>
      <c r="E118" s="1036">
        <f>(E116-E117)*InfoInicial!$B$4</f>
        <v>3779399.6632802128</v>
      </c>
      <c r="F118" s="1037">
        <f>(F116-F117)*InfoInicial!$B$4</f>
        <v>3779400.132440214</v>
      </c>
    </row>
    <row r="119" spans="1:6" ht="15" x14ac:dyDescent="0.2">
      <c r="A119" s="1007"/>
      <c r="B119" s="1039"/>
      <c r="C119" s="1039"/>
      <c r="D119" s="1039"/>
      <c r="E119" s="1039"/>
      <c r="F119" s="1043"/>
    </row>
    <row r="120" spans="1:6" ht="15" x14ac:dyDescent="0.2">
      <c r="A120" s="1059" t="s">
        <v>147</v>
      </c>
      <c r="B120" s="1036">
        <f>B116-B117-B118</f>
        <v>5673817.5342581086</v>
      </c>
      <c r="C120" s="1036">
        <f>C116-C117-C118</f>
        <v>7018326.5049587861</v>
      </c>
      <c r="D120" s="1036">
        <f>D116-D117-D118</f>
        <v>7018275.8052235208</v>
      </c>
      <c r="E120" s="1036">
        <f>E116-E117-E118</f>
        <v>7018885.0889489669</v>
      </c>
      <c r="F120" s="1037">
        <f>F116-F117-F118</f>
        <v>7018885.9602461131</v>
      </c>
    </row>
    <row r="121" spans="1:6" ht="15" x14ac:dyDescent="0.2">
      <c r="A121" s="992" t="s">
        <v>148</v>
      </c>
      <c r="B121" s="1049">
        <f>B120/B88</f>
        <v>0.21874959168224034</v>
      </c>
      <c r="C121" s="1049">
        <f>C120/C88</f>
        <v>0.23394421683195954</v>
      </c>
      <c r="D121" s="1049">
        <f>D120/D88</f>
        <v>0.23394252684078404</v>
      </c>
      <c r="E121" s="1049">
        <f>E120/E88</f>
        <v>0.23396283629829889</v>
      </c>
      <c r="F121" s="1056">
        <f>F120/F88</f>
        <v>0.2339628653415371</v>
      </c>
    </row>
    <row r="122" spans="1:6" ht="15" x14ac:dyDescent="0.2">
      <c r="A122" s="1007"/>
      <c r="B122" s="1050"/>
      <c r="C122" s="1050"/>
      <c r="D122" s="1050"/>
      <c r="E122" s="1050"/>
      <c r="F122" s="1057"/>
    </row>
    <row r="123" spans="1:6" ht="15" x14ac:dyDescent="0.2">
      <c r="A123" s="992" t="s">
        <v>149</v>
      </c>
      <c r="B123" s="1049"/>
      <c r="C123" s="1049"/>
      <c r="D123" s="1049"/>
      <c r="E123" s="1049"/>
      <c r="F123" s="1056"/>
    </row>
    <row r="124" spans="1:6" ht="15" x14ac:dyDescent="0.2">
      <c r="A124" s="1059" t="s">
        <v>150</v>
      </c>
      <c r="B124" s="1061">
        <f>B120</f>
        <v>5673817.5342581086</v>
      </c>
      <c r="C124" s="1061">
        <f>C120</f>
        <v>7018326.5049587861</v>
      </c>
      <c r="D124" s="1061">
        <f>D120</f>
        <v>7018275.8052235208</v>
      </c>
      <c r="E124" s="1061">
        <f>E120</f>
        <v>7018885.0889489669</v>
      </c>
      <c r="F124" s="1062">
        <f>F120</f>
        <v>7018885.9602461131</v>
      </c>
    </row>
    <row r="125" spans="1:6" ht="15" x14ac:dyDescent="0.2">
      <c r="A125" s="992" t="s">
        <v>151</v>
      </c>
      <c r="B125" s="1061">
        <f>B10+B53+B70</f>
        <v>1104441.7144249999</v>
      </c>
      <c r="C125" s="1061">
        <f>C10+C53+C70</f>
        <v>1104441.7144249999</v>
      </c>
      <c r="D125" s="1061">
        <f>D10+D53+D70</f>
        <v>1104441.7144249999</v>
      </c>
      <c r="E125" s="1061">
        <f>E10+E53+E70</f>
        <v>1103775.0477583334</v>
      </c>
      <c r="F125" s="1062">
        <f>F10+F53+F70</f>
        <v>1103775.0477583334</v>
      </c>
    </row>
    <row r="126" spans="1:6" ht="15.75" x14ac:dyDescent="0.25">
      <c r="A126" s="992" t="s">
        <v>152</v>
      </c>
      <c r="B126" s="1063">
        <f>B124+B125</f>
        <v>6778259.248683108</v>
      </c>
      <c r="C126" s="1063">
        <f>C124+C125</f>
        <v>8122768.2193837855</v>
      </c>
      <c r="D126" s="1063">
        <f>D124+D125</f>
        <v>8122717.5196485203</v>
      </c>
      <c r="E126" s="1063">
        <f>E124+E125</f>
        <v>8122660.1367073003</v>
      </c>
      <c r="F126" s="1064">
        <f>F124+F125</f>
        <v>8122661.0080044465</v>
      </c>
    </row>
    <row r="127" spans="1:6" ht="15" x14ac:dyDescent="0.2">
      <c r="A127" s="1007"/>
      <c r="B127" s="1065"/>
      <c r="C127" s="1065"/>
      <c r="D127" s="1065"/>
      <c r="E127" s="1065"/>
      <c r="F127" s="1040"/>
    </row>
    <row r="128" spans="1:6" ht="15" x14ac:dyDescent="0.2">
      <c r="A128" s="992" t="s">
        <v>153</v>
      </c>
      <c r="B128" s="1061">
        <f>+B10+B11+B15+B16+PRODUCCION!Q43</f>
        <v>3906909.2557016807</v>
      </c>
      <c r="C128" s="1061">
        <f>+C10+C11+C15+C16+C13-PRODUCCION!$M$38*PRODUCCION!$R$28</f>
        <v>4206971.9399134219</v>
      </c>
      <c r="D128" s="1061">
        <f>+D10+D11+D15+D16+D13-PRODUCCION!$M$38*PRODUCCION!$R$28</f>
        <v>4206971.9399134219</v>
      </c>
      <c r="E128" s="1061">
        <f>+E10+E11+E15+E16+E13-PRODUCCION!$M$38*PRODUCCION!$R$28</f>
        <v>4206237.3581108218</v>
      </c>
      <c r="F128" s="1062">
        <f>+F10+F11+F15+F16+F13-PRODUCCION!$M$38*PRODUCCION!$R$28</f>
        <v>4206237.3581108218</v>
      </c>
    </row>
    <row r="129" spans="1:12" ht="15" x14ac:dyDescent="0.2">
      <c r="A129" s="1059" t="s">
        <v>154</v>
      </c>
      <c r="B129" s="1061">
        <f>+B7+B8+PRODUCCION!Q44</f>
        <v>8513468.2777600009</v>
      </c>
      <c r="C129" s="1061">
        <f>+C7+C8+PRODUCCION!$M$38*PRODUCCION!$R$28</f>
        <v>9392218.5920000002</v>
      </c>
      <c r="D129" s="1061">
        <f>+D7+D8+PRODUCCION!$M$38*PRODUCCION!$R$28</f>
        <v>9392218.5920000002</v>
      </c>
      <c r="E129" s="1061">
        <f>+E7+E8+PRODUCCION!$M$38*PRODUCCION!$R$28</f>
        <v>9392218.5920000002</v>
      </c>
      <c r="F129" s="1062">
        <f>+F7+F8+PRODUCCION!$M$38*PRODUCCION!$R$28</f>
        <v>9392218.5920000002</v>
      </c>
    </row>
    <row r="130" spans="1:12" ht="15" x14ac:dyDescent="0.2">
      <c r="A130" s="992" t="s">
        <v>155</v>
      </c>
      <c r="B130" s="1061">
        <f>+ADM!G15+ADM!M10+ADM!C31+ADM!C44+ADM!M57+'E-Costos'!B59</f>
        <v>1376408.8942625169</v>
      </c>
      <c r="C130" s="1061">
        <f>+ADM!$C$15+ADM!$M$9+ADM!$M$57+ADM!$C$44+ADM!$C$28+C59</f>
        <v>1466648.1125549534</v>
      </c>
      <c r="D130" s="1061">
        <f>+ADM!$C$15+ADM!$M$9+ADM!$M$57+ADM!$C$44+ADM!$C$28+D59</f>
        <v>1466648.1125549534</v>
      </c>
      <c r="E130" s="1061">
        <f>+ADM!$C$15+ADM!$M$9+ADM!$M$57+ADM!$C$44+ADM!$C$28+E59</f>
        <v>1466648.1125549534</v>
      </c>
      <c r="F130" s="1062">
        <f>+ADM!$C$15+ADM!$M$9+ADM!$M$57+ADM!$C$44+ADM!$C$28+F59</f>
        <v>1466648.1125549534</v>
      </c>
    </row>
    <row r="131" spans="1:12" ht="15" x14ac:dyDescent="0.2">
      <c r="A131" s="1059" t="s">
        <v>156</v>
      </c>
      <c r="B131" s="1061">
        <f>+A127</f>
        <v>0</v>
      </c>
      <c r="C131" s="1061">
        <f>+B127</f>
        <v>0</v>
      </c>
      <c r="D131" s="1061">
        <f>+C127</f>
        <v>0</v>
      </c>
      <c r="E131" s="1061">
        <f>+D127</f>
        <v>0</v>
      </c>
      <c r="F131" s="1062">
        <f>+E127</f>
        <v>0</v>
      </c>
    </row>
    <row r="132" spans="1:12" ht="15" x14ac:dyDescent="0.2">
      <c r="A132" s="992" t="s">
        <v>157</v>
      </c>
      <c r="B132" s="1061">
        <f>+COMER!G13+COMER!S6+COMER!O10+COMER!K31+COMER!G52+B76</f>
        <v>1749049.3733593919</v>
      </c>
      <c r="C132" s="1061">
        <f>+COMER!$C$13+COMER!$O$6+COMER!$K$10+COMER!$K$28-COMER!$K$27+COMER!$C$52+$C$76</f>
        <v>1883793.7296089337</v>
      </c>
      <c r="D132" s="1061">
        <f>+COMER!$C$13+COMER!$O$6+COMER!$K$10+COMER!$K$28-COMER!$K$27+COMER!$C$52+$C$76</f>
        <v>1883793.7296089337</v>
      </c>
      <c r="E132" s="1061">
        <f>+COMER!$C$13+COMER!$O$6+COMER!$K$10+COMER!$K$28-COMER!$K$27+COMER!$C$52+$C$76</f>
        <v>1883793.7296089337</v>
      </c>
      <c r="F132" s="1062">
        <f>+COMER!$C$13+COMER!$O$6+COMER!$K$10+COMER!$K$28-COMER!$K$27+COMER!$C$52+$C$76</f>
        <v>1883793.7296089337</v>
      </c>
    </row>
    <row r="133" spans="1:12" ht="15" x14ac:dyDescent="0.2">
      <c r="A133" s="1059" t="s">
        <v>158</v>
      </c>
      <c r="B133" s="1061">
        <f>+COMER!G53</f>
        <v>713281.25</v>
      </c>
      <c r="C133" s="1061">
        <f>+COMER!$K$27+COMER!$C$53</f>
        <v>825000</v>
      </c>
      <c r="D133" s="1061">
        <f>+COMER!$K$27+COMER!$C$53</f>
        <v>825000</v>
      </c>
      <c r="E133" s="1061">
        <f>+COMER!$K$27+COMER!$C$53</f>
        <v>825000</v>
      </c>
      <c r="F133" s="1062">
        <f>+COMER!$K$27+COMER!$C$53</f>
        <v>825000</v>
      </c>
    </row>
    <row r="134" spans="1:12" ht="15" x14ac:dyDescent="0.2">
      <c r="A134" s="992" t="s">
        <v>159</v>
      </c>
      <c r="B134" s="1061">
        <f>+B88-(B129+B133+B131)</f>
        <v>16710750.472239999</v>
      </c>
      <c r="C134" s="1061">
        <f>+C88-(C129+C133+C131)</f>
        <v>19782781.408</v>
      </c>
      <c r="D134" s="1061">
        <f>+D88-(D129+D133+D131)</f>
        <v>19782781.408</v>
      </c>
      <c r="E134" s="1061">
        <f>+E88-(E129+E133+E131)</f>
        <v>19782781.408</v>
      </c>
      <c r="F134" s="1062">
        <f>+F88-(F129+F133+F131)</f>
        <v>19782781.408</v>
      </c>
    </row>
    <row r="135" spans="1:12" ht="15.75" thickBot="1" x14ac:dyDescent="0.25">
      <c r="A135" s="984" t="s">
        <v>160</v>
      </c>
      <c r="B135" s="1066">
        <f>+(B128+B130+B132)/B134</f>
        <v>0.42082894691090039</v>
      </c>
      <c r="C135" s="1066">
        <f>+(C128+C130+C132)/C134</f>
        <v>0.38201977902971473</v>
      </c>
      <c r="D135" s="1066">
        <f>+(D128+D130+D132)/D134</f>
        <v>0.38201977902971473</v>
      </c>
      <c r="E135" s="1066">
        <f>+(E128+E130+E132)/E134</f>
        <v>0.38198264664739445</v>
      </c>
      <c r="F135" s="1067">
        <f>+(F128+F130+F132)/F134</f>
        <v>0.38198264664739445</v>
      </c>
    </row>
    <row r="136" spans="1:12" ht="15.75" x14ac:dyDescent="0.25">
      <c r="A136" s="42"/>
    </row>
    <row r="137" spans="1:12" ht="15.75" x14ac:dyDescent="0.25">
      <c r="A137" s="277" t="s">
        <v>718</v>
      </c>
      <c r="B137" s="278"/>
      <c r="C137" s="278"/>
      <c r="D137" s="278"/>
      <c r="E137" s="278"/>
      <c r="F137" s="278"/>
    </row>
    <row r="138" spans="1:12" ht="15.75" x14ac:dyDescent="0.2">
      <c r="A138" s="1070"/>
      <c r="B138" s="1071" t="s">
        <v>48</v>
      </c>
      <c r="C138" s="1071" t="s">
        <v>89</v>
      </c>
      <c r="D138" s="1071" t="s">
        <v>90</v>
      </c>
      <c r="E138" s="1071" t="s">
        <v>91</v>
      </c>
      <c r="F138" s="1071" t="s">
        <v>92</v>
      </c>
    </row>
    <row r="139" spans="1:12" ht="15" x14ac:dyDescent="0.2">
      <c r="A139" s="937" t="s">
        <v>719</v>
      </c>
      <c r="B139" s="1068">
        <f>+B133+B131+B129</f>
        <v>9226749.5277600009</v>
      </c>
      <c r="C139" s="1068">
        <f>+C133+C131+C129</f>
        <v>10217218.592</v>
      </c>
      <c r="D139" s="1068">
        <f>+D133+D131+D129</f>
        <v>10217218.592</v>
      </c>
      <c r="E139" s="1068">
        <f>+E133+E131+E129</f>
        <v>10217218.592</v>
      </c>
      <c r="F139" s="1068">
        <f>+F133+F131+F129</f>
        <v>10217218.592</v>
      </c>
      <c r="H139" s="384" t="s">
        <v>754</v>
      </c>
      <c r="I139" s="384"/>
      <c r="J139" s="384"/>
      <c r="K139" s="384"/>
    </row>
    <row r="140" spans="1:12" ht="15" x14ac:dyDescent="0.2">
      <c r="A140" s="937" t="s">
        <v>720</v>
      </c>
      <c r="B140" s="1068">
        <f>B128+B130+B132</f>
        <v>7032367.5233235899</v>
      </c>
      <c r="C140" s="1068">
        <f>C128+C130+C132</f>
        <v>7557413.7820773087</v>
      </c>
      <c r="D140" s="1068">
        <f>D128+D130+D132</f>
        <v>7557413.7820773087</v>
      </c>
      <c r="E140" s="1068">
        <f>E128+E130+E132</f>
        <v>7556679.2002747087</v>
      </c>
      <c r="F140" s="1068">
        <f>F128+F130+F132</f>
        <v>7556679.2002747087</v>
      </c>
      <c r="H140" s="1069">
        <f>B144/100</f>
        <v>259375</v>
      </c>
      <c r="I140" s="1069">
        <f>(E144-C144)/100</f>
        <v>92267.495277600014</v>
      </c>
      <c r="J140" s="1069">
        <f>H144/100</f>
        <v>300000</v>
      </c>
      <c r="K140" s="1069">
        <f>(K144-I144)/100</f>
        <v>102172.18592</v>
      </c>
    </row>
    <row r="142" spans="1:12" ht="16.5" thickBot="1" x14ac:dyDescent="0.3">
      <c r="A142" s="276"/>
      <c r="B142" s="279" t="s">
        <v>48</v>
      </c>
      <c r="C142" s="280"/>
      <c r="D142" s="276"/>
      <c r="E142" s="276"/>
      <c r="F142" s="276"/>
      <c r="G142" s="276"/>
      <c r="H142" s="281" t="s">
        <v>92</v>
      </c>
      <c r="I142" s="282"/>
      <c r="J142" s="276"/>
      <c r="K142" s="276"/>
      <c r="L142" s="276"/>
    </row>
    <row r="143" spans="1:12" ht="15.75" thickBot="1" x14ac:dyDescent="0.25">
      <c r="A143" s="276"/>
      <c r="B143" s="1072" t="s">
        <v>721</v>
      </c>
      <c r="C143" s="1073" t="s">
        <v>722</v>
      </c>
      <c r="D143" s="1074" t="s">
        <v>723</v>
      </c>
      <c r="E143" s="1074" t="s">
        <v>724</v>
      </c>
      <c r="F143" s="1075" t="s">
        <v>725</v>
      </c>
      <c r="G143" s="276"/>
      <c r="H143" s="1072" t="s">
        <v>721</v>
      </c>
      <c r="I143" s="1073" t="s">
        <v>722</v>
      </c>
      <c r="J143" s="1074" t="s">
        <v>723</v>
      </c>
      <c r="K143" s="1074" t="s">
        <v>724</v>
      </c>
      <c r="L143" s="1075" t="s">
        <v>725</v>
      </c>
    </row>
    <row r="144" spans="1:12" ht="15" x14ac:dyDescent="0.2">
      <c r="A144" s="283">
        <v>0</v>
      </c>
      <c r="B144" s="284">
        <f>$B$88</f>
        <v>25937500</v>
      </c>
      <c r="C144" s="285">
        <f>$B$140</f>
        <v>7032367.5233235899</v>
      </c>
      <c r="D144" s="285">
        <v>0</v>
      </c>
      <c r="E144" s="285">
        <f>$B$139+$B$140</f>
        <v>16259117.051083591</v>
      </c>
      <c r="F144" s="286">
        <f>C144</f>
        <v>7032367.5233235899</v>
      </c>
      <c r="G144" s="283"/>
      <c r="H144" s="284">
        <f>$C$88</f>
        <v>30000000</v>
      </c>
      <c r="I144" s="285">
        <f>$F$140</f>
        <v>7556679.2002747087</v>
      </c>
      <c r="J144" s="285">
        <v>0</v>
      </c>
      <c r="K144" s="285">
        <f>$F$139+$F$140</f>
        <v>17773897.79227471</v>
      </c>
      <c r="L144" s="286">
        <f>I144</f>
        <v>7556679.2002747087</v>
      </c>
    </row>
    <row r="145" spans="1:12" ht="15" x14ac:dyDescent="0.2">
      <c r="A145" s="283">
        <v>0.01</v>
      </c>
      <c r="B145" s="284">
        <f t="shared" ref="B145:B208" si="2">$B$88</f>
        <v>25937500</v>
      </c>
      <c r="C145" s="285">
        <f t="shared" ref="C145:C208" si="3">$B$140</f>
        <v>7032367.5233235899</v>
      </c>
      <c r="D145" s="287">
        <f>H140</f>
        <v>259375</v>
      </c>
      <c r="E145" s="285">
        <f>$B$139+$B$140</f>
        <v>16259117.051083591</v>
      </c>
      <c r="F145" s="288">
        <f>F144+$I$140</f>
        <v>7124635.0186011903</v>
      </c>
      <c r="G145" s="283"/>
      <c r="H145" s="289">
        <f t="shared" ref="H145:H208" si="4">$C$88</f>
        <v>30000000</v>
      </c>
      <c r="I145" s="285">
        <f t="shared" ref="I145:I208" si="5">$F$140</f>
        <v>7556679.2002747087</v>
      </c>
      <c r="J145" s="287">
        <f>J140</f>
        <v>300000</v>
      </c>
      <c r="K145" s="287">
        <f t="shared" ref="K145:K208" si="6">$F$139+$F$140</f>
        <v>17773897.79227471</v>
      </c>
      <c r="L145" s="288">
        <f>L144+$K$140</f>
        <v>7658851.3861947088</v>
      </c>
    </row>
    <row r="146" spans="1:12" ht="15" x14ac:dyDescent="0.2">
      <c r="A146" s="283">
        <v>0.02</v>
      </c>
      <c r="B146" s="284">
        <f t="shared" si="2"/>
        <v>25937500</v>
      </c>
      <c r="C146" s="285">
        <f t="shared" si="3"/>
        <v>7032367.5233235899</v>
      </c>
      <c r="D146" s="287">
        <f>D145+H$140</f>
        <v>518750</v>
      </c>
      <c r="E146" s="285">
        <f t="shared" ref="E146:E208" si="7">$B$139+$B$140</f>
        <v>16259117.051083591</v>
      </c>
      <c r="F146" s="288">
        <f t="shared" ref="F146:F209" si="8">F145+$I$140</f>
        <v>7216902.5138787907</v>
      </c>
      <c r="G146" s="283"/>
      <c r="H146" s="289">
        <f t="shared" si="4"/>
        <v>30000000</v>
      </c>
      <c r="I146" s="285">
        <f t="shared" si="5"/>
        <v>7556679.2002747087</v>
      </c>
      <c r="J146" s="287">
        <f>J145+J$140</f>
        <v>600000</v>
      </c>
      <c r="K146" s="287">
        <f t="shared" si="6"/>
        <v>17773897.79227471</v>
      </c>
      <c r="L146" s="288">
        <f t="shared" ref="L146:L209" si="9">L145+$K$140</f>
        <v>7761023.5721147088</v>
      </c>
    </row>
    <row r="147" spans="1:12" ht="15" x14ac:dyDescent="0.2">
      <c r="A147" s="283">
        <v>0.03</v>
      </c>
      <c r="B147" s="284">
        <f t="shared" si="2"/>
        <v>25937500</v>
      </c>
      <c r="C147" s="285">
        <f t="shared" si="3"/>
        <v>7032367.5233235899</v>
      </c>
      <c r="D147" s="287">
        <f t="shared" ref="D147:D210" si="10">D146+H$140</f>
        <v>778125</v>
      </c>
      <c r="E147" s="285">
        <f t="shared" si="7"/>
        <v>16259117.051083591</v>
      </c>
      <c r="F147" s="288">
        <f t="shared" si="8"/>
        <v>7309170.009156391</v>
      </c>
      <c r="G147" s="283"/>
      <c r="H147" s="289">
        <f t="shared" si="4"/>
        <v>30000000</v>
      </c>
      <c r="I147" s="285">
        <f t="shared" si="5"/>
        <v>7556679.2002747087</v>
      </c>
      <c r="J147" s="287">
        <f t="shared" ref="J147:J210" si="11">J146+J$140</f>
        <v>900000</v>
      </c>
      <c r="K147" s="287">
        <f t="shared" si="6"/>
        <v>17773897.79227471</v>
      </c>
      <c r="L147" s="288">
        <f t="shared" si="9"/>
        <v>7863195.7580347089</v>
      </c>
    </row>
    <row r="148" spans="1:12" ht="15" x14ac:dyDescent="0.2">
      <c r="A148" s="283">
        <v>0.04</v>
      </c>
      <c r="B148" s="284">
        <f t="shared" si="2"/>
        <v>25937500</v>
      </c>
      <c r="C148" s="285">
        <f t="shared" si="3"/>
        <v>7032367.5233235899</v>
      </c>
      <c r="D148" s="287">
        <f t="shared" si="10"/>
        <v>1037500</v>
      </c>
      <c r="E148" s="285">
        <f t="shared" si="7"/>
        <v>16259117.051083591</v>
      </c>
      <c r="F148" s="288">
        <f t="shared" si="8"/>
        <v>7401437.5044339914</v>
      </c>
      <c r="G148" s="283"/>
      <c r="H148" s="289">
        <f t="shared" si="4"/>
        <v>30000000</v>
      </c>
      <c r="I148" s="285">
        <f t="shared" si="5"/>
        <v>7556679.2002747087</v>
      </c>
      <c r="J148" s="287">
        <f t="shared" si="11"/>
        <v>1200000</v>
      </c>
      <c r="K148" s="287">
        <f t="shared" si="6"/>
        <v>17773897.79227471</v>
      </c>
      <c r="L148" s="288">
        <f t="shared" si="9"/>
        <v>7965367.943954709</v>
      </c>
    </row>
    <row r="149" spans="1:12" ht="15" x14ac:dyDescent="0.2">
      <c r="A149" s="283">
        <v>0.05</v>
      </c>
      <c r="B149" s="284">
        <f t="shared" si="2"/>
        <v>25937500</v>
      </c>
      <c r="C149" s="285">
        <f t="shared" si="3"/>
        <v>7032367.5233235899</v>
      </c>
      <c r="D149" s="287">
        <f t="shared" si="10"/>
        <v>1296875</v>
      </c>
      <c r="E149" s="285">
        <f t="shared" si="7"/>
        <v>16259117.051083591</v>
      </c>
      <c r="F149" s="288">
        <f t="shared" si="8"/>
        <v>7493704.9997115918</v>
      </c>
      <c r="G149" s="283"/>
      <c r="H149" s="289">
        <f t="shared" si="4"/>
        <v>30000000</v>
      </c>
      <c r="I149" s="285">
        <f t="shared" si="5"/>
        <v>7556679.2002747087</v>
      </c>
      <c r="J149" s="287">
        <f t="shared" si="11"/>
        <v>1500000</v>
      </c>
      <c r="K149" s="287">
        <f t="shared" si="6"/>
        <v>17773897.79227471</v>
      </c>
      <c r="L149" s="288">
        <f t="shared" si="9"/>
        <v>8067540.1298747091</v>
      </c>
    </row>
    <row r="150" spans="1:12" ht="15" x14ac:dyDescent="0.2">
      <c r="A150" s="283">
        <v>0.06</v>
      </c>
      <c r="B150" s="284">
        <f t="shared" si="2"/>
        <v>25937500</v>
      </c>
      <c r="C150" s="285">
        <f t="shared" si="3"/>
        <v>7032367.5233235899</v>
      </c>
      <c r="D150" s="287">
        <f t="shared" si="10"/>
        <v>1556250</v>
      </c>
      <c r="E150" s="285">
        <f t="shared" si="7"/>
        <v>16259117.051083591</v>
      </c>
      <c r="F150" s="288">
        <f t="shared" si="8"/>
        <v>7585972.4949891921</v>
      </c>
      <c r="G150" s="283"/>
      <c r="H150" s="289">
        <f t="shared" si="4"/>
        <v>30000000</v>
      </c>
      <c r="I150" s="285">
        <f t="shared" si="5"/>
        <v>7556679.2002747087</v>
      </c>
      <c r="J150" s="287">
        <f t="shared" si="11"/>
        <v>1800000</v>
      </c>
      <c r="K150" s="287">
        <f t="shared" si="6"/>
        <v>17773897.79227471</v>
      </c>
      <c r="L150" s="288">
        <f t="shared" si="9"/>
        <v>8169712.3157947091</v>
      </c>
    </row>
    <row r="151" spans="1:12" ht="15" x14ac:dyDescent="0.2">
      <c r="A151" s="283">
        <v>7.0000000000000007E-2</v>
      </c>
      <c r="B151" s="284">
        <f t="shared" si="2"/>
        <v>25937500</v>
      </c>
      <c r="C151" s="285">
        <f t="shared" si="3"/>
        <v>7032367.5233235899</v>
      </c>
      <c r="D151" s="287">
        <f t="shared" si="10"/>
        <v>1815625</v>
      </c>
      <c r="E151" s="285">
        <f t="shared" si="7"/>
        <v>16259117.051083591</v>
      </c>
      <c r="F151" s="288">
        <f t="shared" si="8"/>
        <v>7678239.9902667925</v>
      </c>
      <c r="G151" s="283"/>
      <c r="H151" s="289">
        <f t="shared" si="4"/>
        <v>30000000</v>
      </c>
      <c r="I151" s="285">
        <f t="shared" si="5"/>
        <v>7556679.2002747087</v>
      </c>
      <c r="J151" s="287">
        <f t="shared" si="11"/>
        <v>2100000</v>
      </c>
      <c r="K151" s="287">
        <f t="shared" si="6"/>
        <v>17773897.79227471</v>
      </c>
      <c r="L151" s="288">
        <f t="shared" si="9"/>
        <v>8271884.5017147092</v>
      </c>
    </row>
    <row r="152" spans="1:12" ht="15" x14ac:dyDescent="0.2">
      <c r="A152" s="283">
        <v>0.08</v>
      </c>
      <c r="B152" s="284">
        <f t="shared" si="2"/>
        <v>25937500</v>
      </c>
      <c r="C152" s="285">
        <f t="shared" si="3"/>
        <v>7032367.5233235899</v>
      </c>
      <c r="D152" s="287">
        <f t="shared" si="10"/>
        <v>2075000</v>
      </c>
      <c r="E152" s="285">
        <f t="shared" si="7"/>
        <v>16259117.051083591</v>
      </c>
      <c r="F152" s="288">
        <f t="shared" si="8"/>
        <v>7770507.4855443928</v>
      </c>
      <c r="G152" s="283"/>
      <c r="H152" s="289">
        <f t="shared" si="4"/>
        <v>30000000</v>
      </c>
      <c r="I152" s="285">
        <f t="shared" si="5"/>
        <v>7556679.2002747087</v>
      </c>
      <c r="J152" s="287">
        <f t="shared" si="11"/>
        <v>2400000</v>
      </c>
      <c r="K152" s="287">
        <f t="shared" si="6"/>
        <v>17773897.79227471</v>
      </c>
      <c r="L152" s="288">
        <f t="shared" si="9"/>
        <v>8374056.6876347093</v>
      </c>
    </row>
    <row r="153" spans="1:12" ht="15" x14ac:dyDescent="0.2">
      <c r="A153" s="283">
        <v>0.09</v>
      </c>
      <c r="B153" s="284">
        <f t="shared" si="2"/>
        <v>25937500</v>
      </c>
      <c r="C153" s="285">
        <f t="shared" si="3"/>
        <v>7032367.5233235899</v>
      </c>
      <c r="D153" s="287">
        <f t="shared" si="10"/>
        <v>2334375</v>
      </c>
      <c r="E153" s="285">
        <f t="shared" si="7"/>
        <v>16259117.051083591</v>
      </c>
      <c r="F153" s="288">
        <f t="shared" si="8"/>
        <v>7862774.9808219932</v>
      </c>
      <c r="G153" s="283"/>
      <c r="H153" s="289">
        <f t="shared" si="4"/>
        <v>30000000</v>
      </c>
      <c r="I153" s="285">
        <f t="shared" si="5"/>
        <v>7556679.2002747087</v>
      </c>
      <c r="J153" s="287">
        <f t="shared" si="11"/>
        <v>2700000</v>
      </c>
      <c r="K153" s="287">
        <f t="shared" si="6"/>
        <v>17773897.79227471</v>
      </c>
      <c r="L153" s="288">
        <f t="shared" si="9"/>
        <v>8476228.8735547084</v>
      </c>
    </row>
    <row r="154" spans="1:12" ht="15" x14ac:dyDescent="0.2">
      <c r="A154" s="283">
        <v>0.1</v>
      </c>
      <c r="B154" s="284">
        <f t="shared" si="2"/>
        <v>25937500</v>
      </c>
      <c r="C154" s="285">
        <f t="shared" si="3"/>
        <v>7032367.5233235899</v>
      </c>
      <c r="D154" s="287">
        <f t="shared" si="10"/>
        <v>2593750</v>
      </c>
      <c r="E154" s="285">
        <f t="shared" si="7"/>
        <v>16259117.051083591</v>
      </c>
      <c r="F154" s="288">
        <f t="shared" si="8"/>
        <v>7955042.4760995936</v>
      </c>
      <c r="G154" s="283"/>
      <c r="H154" s="289">
        <f t="shared" si="4"/>
        <v>30000000</v>
      </c>
      <c r="I154" s="285">
        <f t="shared" si="5"/>
        <v>7556679.2002747087</v>
      </c>
      <c r="J154" s="287">
        <f t="shared" si="11"/>
        <v>3000000</v>
      </c>
      <c r="K154" s="287">
        <f t="shared" si="6"/>
        <v>17773897.79227471</v>
      </c>
      <c r="L154" s="288">
        <f t="shared" si="9"/>
        <v>8578401.0594747085</v>
      </c>
    </row>
    <row r="155" spans="1:12" ht="15" x14ac:dyDescent="0.2">
      <c r="A155" s="283">
        <v>0.11</v>
      </c>
      <c r="B155" s="284">
        <f t="shared" si="2"/>
        <v>25937500</v>
      </c>
      <c r="C155" s="285">
        <f t="shared" si="3"/>
        <v>7032367.5233235899</v>
      </c>
      <c r="D155" s="287">
        <f t="shared" si="10"/>
        <v>2853125</v>
      </c>
      <c r="E155" s="285">
        <f t="shared" si="7"/>
        <v>16259117.051083591</v>
      </c>
      <c r="F155" s="288">
        <f>F154+$I$140</f>
        <v>8047309.9713771939</v>
      </c>
      <c r="G155" s="283"/>
      <c r="H155" s="289">
        <f t="shared" si="4"/>
        <v>30000000</v>
      </c>
      <c r="I155" s="285">
        <f t="shared" si="5"/>
        <v>7556679.2002747087</v>
      </c>
      <c r="J155" s="287">
        <f t="shared" si="11"/>
        <v>3300000</v>
      </c>
      <c r="K155" s="287">
        <f t="shared" si="6"/>
        <v>17773897.79227471</v>
      </c>
      <c r="L155" s="288">
        <f t="shared" si="9"/>
        <v>8680573.2453947086</v>
      </c>
    </row>
    <row r="156" spans="1:12" ht="15" x14ac:dyDescent="0.2">
      <c r="A156" s="283">
        <v>0.12</v>
      </c>
      <c r="B156" s="284">
        <f t="shared" si="2"/>
        <v>25937500</v>
      </c>
      <c r="C156" s="285">
        <f t="shared" si="3"/>
        <v>7032367.5233235899</v>
      </c>
      <c r="D156" s="287">
        <f t="shared" si="10"/>
        <v>3112500</v>
      </c>
      <c r="E156" s="285">
        <f t="shared" si="7"/>
        <v>16259117.051083591</v>
      </c>
      <c r="F156" s="288">
        <f t="shared" si="8"/>
        <v>8139577.4666547943</v>
      </c>
      <c r="G156" s="283"/>
      <c r="H156" s="289">
        <f t="shared" si="4"/>
        <v>30000000</v>
      </c>
      <c r="I156" s="285">
        <f t="shared" si="5"/>
        <v>7556679.2002747087</v>
      </c>
      <c r="J156" s="287">
        <f t="shared" si="11"/>
        <v>3600000</v>
      </c>
      <c r="K156" s="287">
        <f t="shared" si="6"/>
        <v>17773897.79227471</v>
      </c>
      <c r="L156" s="288">
        <f t="shared" si="9"/>
        <v>8782745.4313147087</v>
      </c>
    </row>
    <row r="157" spans="1:12" ht="15" x14ac:dyDescent="0.2">
      <c r="A157" s="283">
        <v>0.13</v>
      </c>
      <c r="B157" s="284">
        <f t="shared" si="2"/>
        <v>25937500</v>
      </c>
      <c r="C157" s="285">
        <f t="shared" si="3"/>
        <v>7032367.5233235899</v>
      </c>
      <c r="D157" s="287">
        <f t="shared" si="10"/>
        <v>3371875</v>
      </c>
      <c r="E157" s="285">
        <f t="shared" si="7"/>
        <v>16259117.051083591</v>
      </c>
      <c r="F157" s="288">
        <f t="shared" si="8"/>
        <v>8231844.9619323947</v>
      </c>
      <c r="G157" s="283"/>
      <c r="H157" s="289">
        <f t="shared" si="4"/>
        <v>30000000</v>
      </c>
      <c r="I157" s="285">
        <f t="shared" si="5"/>
        <v>7556679.2002747087</v>
      </c>
      <c r="J157" s="287">
        <f t="shared" si="11"/>
        <v>3900000</v>
      </c>
      <c r="K157" s="287">
        <f t="shared" si="6"/>
        <v>17773897.79227471</v>
      </c>
      <c r="L157" s="288">
        <f t="shared" si="9"/>
        <v>8884917.6172347087</v>
      </c>
    </row>
    <row r="158" spans="1:12" ht="15" x14ac:dyDescent="0.2">
      <c r="A158" s="283">
        <v>0.14000000000000001</v>
      </c>
      <c r="B158" s="284">
        <f t="shared" si="2"/>
        <v>25937500</v>
      </c>
      <c r="C158" s="285">
        <f t="shared" si="3"/>
        <v>7032367.5233235899</v>
      </c>
      <c r="D158" s="287">
        <f t="shared" si="10"/>
        <v>3631250</v>
      </c>
      <c r="E158" s="285">
        <f t="shared" si="7"/>
        <v>16259117.051083591</v>
      </c>
      <c r="F158" s="288">
        <f t="shared" si="8"/>
        <v>8324112.457209995</v>
      </c>
      <c r="G158" s="283"/>
      <c r="H158" s="289">
        <f t="shared" si="4"/>
        <v>30000000</v>
      </c>
      <c r="I158" s="285">
        <f t="shared" si="5"/>
        <v>7556679.2002747087</v>
      </c>
      <c r="J158" s="287">
        <f t="shared" si="11"/>
        <v>4200000</v>
      </c>
      <c r="K158" s="287">
        <f t="shared" si="6"/>
        <v>17773897.79227471</v>
      </c>
      <c r="L158" s="288">
        <f t="shared" si="9"/>
        <v>8987089.8031547088</v>
      </c>
    </row>
    <row r="159" spans="1:12" ht="15" x14ac:dyDescent="0.2">
      <c r="A159" s="283">
        <v>0.15</v>
      </c>
      <c r="B159" s="284">
        <f t="shared" si="2"/>
        <v>25937500</v>
      </c>
      <c r="C159" s="285">
        <f t="shared" si="3"/>
        <v>7032367.5233235899</v>
      </c>
      <c r="D159" s="287">
        <f t="shared" si="10"/>
        <v>3890625</v>
      </c>
      <c r="E159" s="285">
        <f t="shared" si="7"/>
        <v>16259117.051083591</v>
      </c>
      <c r="F159" s="288">
        <f t="shared" si="8"/>
        <v>8416379.9524875954</v>
      </c>
      <c r="G159" s="283"/>
      <c r="H159" s="289">
        <f t="shared" si="4"/>
        <v>30000000</v>
      </c>
      <c r="I159" s="285">
        <f t="shared" si="5"/>
        <v>7556679.2002747087</v>
      </c>
      <c r="J159" s="287">
        <f t="shared" si="11"/>
        <v>4500000</v>
      </c>
      <c r="K159" s="287">
        <f t="shared" si="6"/>
        <v>17773897.79227471</v>
      </c>
      <c r="L159" s="288">
        <f t="shared" si="9"/>
        <v>9089261.9890747089</v>
      </c>
    </row>
    <row r="160" spans="1:12" ht="15" x14ac:dyDescent="0.2">
      <c r="A160" s="283">
        <v>0.16</v>
      </c>
      <c r="B160" s="284">
        <f t="shared" si="2"/>
        <v>25937500</v>
      </c>
      <c r="C160" s="285">
        <f t="shared" si="3"/>
        <v>7032367.5233235899</v>
      </c>
      <c r="D160" s="287">
        <f t="shared" si="10"/>
        <v>4150000</v>
      </c>
      <c r="E160" s="285">
        <f t="shared" si="7"/>
        <v>16259117.051083591</v>
      </c>
      <c r="F160" s="288">
        <f t="shared" si="8"/>
        <v>8508647.4477651957</v>
      </c>
      <c r="G160" s="283"/>
      <c r="H160" s="289">
        <f t="shared" si="4"/>
        <v>30000000</v>
      </c>
      <c r="I160" s="285">
        <f t="shared" si="5"/>
        <v>7556679.2002747087</v>
      </c>
      <c r="J160" s="287">
        <f t="shared" si="11"/>
        <v>4800000</v>
      </c>
      <c r="K160" s="287">
        <f t="shared" si="6"/>
        <v>17773897.79227471</v>
      </c>
      <c r="L160" s="288">
        <f t="shared" si="9"/>
        <v>9191434.174994709</v>
      </c>
    </row>
    <row r="161" spans="1:12" ht="15" x14ac:dyDescent="0.2">
      <c r="A161" s="283">
        <v>0.17</v>
      </c>
      <c r="B161" s="284">
        <f t="shared" si="2"/>
        <v>25937500</v>
      </c>
      <c r="C161" s="285">
        <f t="shared" si="3"/>
        <v>7032367.5233235899</v>
      </c>
      <c r="D161" s="287">
        <f t="shared" si="10"/>
        <v>4409375</v>
      </c>
      <c r="E161" s="285">
        <f t="shared" si="7"/>
        <v>16259117.051083591</v>
      </c>
      <c r="F161" s="288">
        <f t="shared" si="8"/>
        <v>8600914.9430427961</v>
      </c>
      <c r="G161" s="283"/>
      <c r="H161" s="289">
        <f t="shared" si="4"/>
        <v>30000000</v>
      </c>
      <c r="I161" s="285">
        <f t="shared" si="5"/>
        <v>7556679.2002747087</v>
      </c>
      <c r="J161" s="287">
        <f t="shared" si="11"/>
        <v>5100000</v>
      </c>
      <c r="K161" s="287">
        <f t="shared" si="6"/>
        <v>17773897.79227471</v>
      </c>
      <c r="L161" s="288">
        <f t="shared" si="9"/>
        <v>9293606.360914709</v>
      </c>
    </row>
    <row r="162" spans="1:12" ht="15" x14ac:dyDescent="0.2">
      <c r="A162" s="283">
        <v>0.18</v>
      </c>
      <c r="B162" s="284">
        <f t="shared" si="2"/>
        <v>25937500</v>
      </c>
      <c r="C162" s="285">
        <f t="shared" si="3"/>
        <v>7032367.5233235899</v>
      </c>
      <c r="D162" s="287">
        <f t="shared" si="10"/>
        <v>4668750</v>
      </c>
      <c r="E162" s="285">
        <f t="shared" si="7"/>
        <v>16259117.051083591</v>
      </c>
      <c r="F162" s="288">
        <f t="shared" si="8"/>
        <v>8693182.4383203965</v>
      </c>
      <c r="G162" s="283"/>
      <c r="H162" s="289">
        <f t="shared" si="4"/>
        <v>30000000</v>
      </c>
      <c r="I162" s="285">
        <f t="shared" si="5"/>
        <v>7556679.2002747087</v>
      </c>
      <c r="J162" s="287">
        <f t="shared" si="11"/>
        <v>5400000</v>
      </c>
      <c r="K162" s="287">
        <f t="shared" si="6"/>
        <v>17773897.79227471</v>
      </c>
      <c r="L162" s="288">
        <f t="shared" si="9"/>
        <v>9395778.5468347091</v>
      </c>
    </row>
    <row r="163" spans="1:12" ht="15" x14ac:dyDescent="0.2">
      <c r="A163" s="283">
        <v>0.19</v>
      </c>
      <c r="B163" s="284">
        <f t="shared" si="2"/>
        <v>25937500</v>
      </c>
      <c r="C163" s="285">
        <f t="shared" si="3"/>
        <v>7032367.5233235899</v>
      </c>
      <c r="D163" s="287">
        <f t="shared" si="10"/>
        <v>4928125</v>
      </c>
      <c r="E163" s="285">
        <f t="shared" si="7"/>
        <v>16259117.051083591</v>
      </c>
      <c r="F163" s="288">
        <f t="shared" si="8"/>
        <v>8785449.9335979968</v>
      </c>
      <c r="G163" s="283"/>
      <c r="H163" s="289">
        <f t="shared" si="4"/>
        <v>30000000</v>
      </c>
      <c r="I163" s="285">
        <f t="shared" si="5"/>
        <v>7556679.2002747087</v>
      </c>
      <c r="J163" s="287">
        <f t="shared" si="11"/>
        <v>5700000</v>
      </c>
      <c r="K163" s="287">
        <f t="shared" si="6"/>
        <v>17773897.79227471</v>
      </c>
      <c r="L163" s="288">
        <f t="shared" si="9"/>
        <v>9497950.7327547092</v>
      </c>
    </row>
    <row r="164" spans="1:12" ht="15" x14ac:dyDescent="0.2">
      <c r="A164" s="283">
        <v>0.2</v>
      </c>
      <c r="B164" s="284">
        <f t="shared" si="2"/>
        <v>25937500</v>
      </c>
      <c r="C164" s="285">
        <f t="shared" si="3"/>
        <v>7032367.5233235899</v>
      </c>
      <c r="D164" s="287">
        <f t="shared" si="10"/>
        <v>5187500</v>
      </c>
      <c r="E164" s="285">
        <f t="shared" si="7"/>
        <v>16259117.051083591</v>
      </c>
      <c r="F164" s="288">
        <f t="shared" si="8"/>
        <v>8877717.4288755972</v>
      </c>
      <c r="G164" s="283"/>
      <c r="H164" s="289">
        <f t="shared" si="4"/>
        <v>30000000</v>
      </c>
      <c r="I164" s="285">
        <f t="shared" si="5"/>
        <v>7556679.2002747087</v>
      </c>
      <c r="J164" s="287">
        <f t="shared" si="11"/>
        <v>6000000</v>
      </c>
      <c r="K164" s="287">
        <f t="shared" si="6"/>
        <v>17773897.79227471</v>
      </c>
      <c r="L164" s="288">
        <f t="shared" si="9"/>
        <v>9600122.9186747093</v>
      </c>
    </row>
    <row r="165" spans="1:12" ht="15" x14ac:dyDescent="0.2">
      <c r="A165" s="283">
        <v>0.21</v>
      </c>
      <c r="B165" s="284">
        <f t="shared" si="2"/>
        <v>25937500</v>
      </c>
      <c r="C165" s="285">
        <f t="shared" si="3"/>
        <v>7032367.5233235899</v>
      </c>
      <c r="D165" s="287">
        <f t="shared" si="10"/>
        <v>5446875</v>
      </c>
      <c r="E165" s="285">
        <f t="shared" si="7"/>
        <v>16259117.051083591</v>
      </c>
      <c r="F165" s="288">
        <f t="shared" si="8"/>
        <v>8969984.9241531976</v>
      </c>
      <c r="G165" s="283"/>
      <c r="H165" s="289">
        <f t="shared" si="4"/>
        <v>30000000</v>
      </c>
      <c r="I165" s="285">
        <f t="shared" si="5"/>
        <v>7556679.2002747087</v>
      </c>
      <c r="J165" s="287">
        <f t="shared" si="11"/>
        <v>6300000</v>
      </c>
      <c r="K165" s="287">
        <f t="shared" si="6"/>
        <v>17773897.79227471</v>
      </c>
      <c r="L165" s="288">
        <f t="shared" si="9"/>
        <v>9702295.1045947094</v>
      </c>
    </row>
    <row r="166" spans="1:12" ht="15" x14ac:dyDescent="0.2">
      <c r="A166" s="283">
        <v>0.22</v>
      </c>
      <c r="B166" s="284">
        <f t="shared" si="2"/>
        <v>25937500</v>
      </c>
      <c r="C166" s="285">
        <f t="shared" si="3"/>
        <v>7032367.5233235899</v>
      </c>
      <c r="D166" s="287">
        <f t="shared" si="10"/>
        <v>5706250</v>
      </c>
      <c r="E166" s="285">
        <f t="shared" si="7"/>
        <v>16259117.051083591</v>
      </c>
      <c r="F166" s="288">
        <f t="shared" si="8"/>
        <v>9062252.4194307979</v>
      </c>
      <c r="G166" s="283"/>
      <c r="H166" s="289">
        <f t="shared" si="4"/>
        <v>30000000</v>
      </c>
      <c r="I166" s="285">
        <f t="shared" si="5"/>
        <v>7556679.2002747087</v>
      </c>
      <c r="J166" s="287">
        <f t="shared" si="11"/>
        <v>6600000</v>
      </c>
      <c r="K166" s="287">
        <f t="shared" si="6"/>
        <v>17773897.79227471</v>
      </c>
      <c r="L166" s="288">
        <f t="shared" si="9"/>
        <v>9804467.2905147094</v>
      </c>
    </row>
    <row r="167" spans="1:12" ht="15" x14ac:dyDescent="0.2">
      <c r="A167" s="283">
        <v>0.23</v>
      </c>
      <c r="B167" s="284">
        <f t="shared" si="2"/>
        <v>25937500</v>
      </c>
      <c r="C167" s="285">
        <f t="shared" si="3"/>
        <v>7032367.5233235899</v>
      </c>
      <c r="D167" s="287">
        <f t="shared" si="10"/>
        <v>5965625</v>
      </c>
      <c r="E167" s="285">
        <f t="shared" si="7"/>
        <v>16259117.051083591</v>
      </c>
      <c r="F167" s="288">
        <f t="shared" si="8"/>
        <v>9154519.9147083983</v>
      </c>
      <c r="G167" s="283"/>
      <c r="H167" s="289">
        <f t="shared" si="4"/>
        <v>30000000</v>
      </c>
      <c r="I167" s="285">
        <f t="shared" si="5"/>
        <v>7556679.2002747087</v>
      </c>
      <c r="J167" s="287">
        <f t="shared" si="11"/>
        <v>6900000</v>
      </c>
      <c r="K167" s="287">
        <f t="shared" si="6"/>
        <v>17773897.79227471</v>
      </c>
      <c r="L167" s="288">
        <f t="shared" si="9"/>
        <v>9906639.4764347095</v>
      </c>
    </row>
    <row r="168" spans="1:12" ht="15" x14ac:dyDescent="0.2">
      <c r="A168" s="283">
        <v>0.24</v>
      </c>
      <c r="B168" s="284">
        <f t="shared" si="2"/>
        <v>25937500</v>
      </c>
      <c r="C168" s="285">
        <f t="shared" si="3"/>
        <v>7032367.5233235899</v>
      </c>
      <c r="D168" s="287">
        <f t="shared" si="10"/>
        <v>6225000</v>
      </c>
      <c r="E168" s="285">
        <f t="shared" si="7"/>
        <v>16259117.051083591</v>
      </c>
      <c r="F168" s="288">
        <f t="shared" si="8"/>
        <v>9246787.4099859986</v>
      </c>
      <c r="G168" s="283"/>
      <c r="H168" s="289">
        <f t="shared" si="4"/>
        <v>30000000</v>
      </c>
      <c r="I168" s="285">
        <f t="shared" si="5"/>
        <v>7556679.2002747087</v>
      </c>
      <c r="J168" s="287">
        <f t="shared" si="11"/>
        <v>7200000</v>
      </c>
      <c r="K168" s="287">
        <f t="shared" si="6"/>
        <v>17773897.79227471</v>
      </c>
      <c r="L168" s="288">
        <f t="shared" si="9"/>
        <v>10008811.66235471</v>
      </c>
    </row>
    <row r="169" spans="1:12" ht="15" x14ac:dyDescent="0.2">
      <c r="A169" s="283">
        <v>0.25</v>
      </c>
      <c r="B169" s="284">
        <f t="shared" si="2"/>
        <v>25937500</v>
      </c>
      <c r="C169" s="285">
        <f t="shared" si="3"/>
        <v>7032367.5233235899</v>
      </c>
      <c r="D169" s="287">
        <f t="shared" si="10"/>
        <v>6484375</v>
      </c>
      <c r="E169" s="285">
        <f t="shared" si="7"/>
        <v>16259117.051083591</v>
      </c>
      <c r="F169" s="288">
        <f t="shared" si="8"/>
        <v>9339054.905263599</v>
      </c>
      <c r="G169" s="283"/>
      <c r="H169" s="289">
        <f t="shared" si="4"/>
        <v>30000000</v>
      </c>
      <c r="I169" s="285">
        <f t="shared" si="5"/>
        <v>7556679.2002747087</v>
      </c>
      <c r="J169" s="287">
        <f t="shared" si="11"/>
        <v>7500000</v>
      </c>
      <c r="K169" s="287">
        <f t="shared" si="6"/>
        <v>17773897.79227471</v>
      </c>
      <c r="L169" s="288">
        <f t="shared" si="9"/>
        <v>10110983.84827471</v>
      </c>
    </row>
    <row r="170" spans="1:12" ht="15" x14ac:dyDescent="0.2">
      <c r="A170" s="283">
        <v>0.26</v>
      </c>
      <c r="B170" s="284">
        <f t="shared" si="2"/>
        <v>25937500</v>
      </c>
      <c r="C170" s="285">
        <f t="shared" si="3"/>
        <v>7032367.5233235899</v>
      </c>
      <c r="D170" s="287">
        <f t="shared" si="10"/>
        <v>6743750</v>
      </c>
      <c r="E170" s="285">
        <f t="shared" si="7"/>
        <v>16259117.051083591</v>
      </c>
      <c r="F170" s="288">
        <f>F169+$I$140</f>
        <v>9431322.4005411994</v>
      </c>
      <c r="G170" s="283"/>
      <c r="H170" s="289">
        <f t="shared" si="4"/>
        <v>30000000</v>
      </c>
      <c r="I170" s="285">
        <f t="shared" si="5"/>
        <v>7556679.2002747087</v>
      </c>
      <c r="J170" s="287">
        <f t="shared" si="11"/>
        <v>7800000</v>
      </c>
      <c r="K170" s="287">
        <f t="shared" si="6"/>
        <v>17773897.79227471</v>
      </c>
      <c r="L170" s="288">
        <f t="shared" si="9"/>
        <v>10213156.03419471</v>
      </c>
    </row>
    <row r="171" spans="1:12" ht="15" x14ac:dyDescent="0.2">
      <c r="A171" s="283">
        <v>0.27</v>
      </c>
      <c r="B171" s="284">
        <f t="shared" si="2"/>
        <v>25937500</v>
      </c>
      <c r="C171" s="285">
        <f t="shared" si="3"/>
        <v>7032367.5233235899</v>
      </c>
      <c r="D171" s="287">
        <f t="shared" si="10"/>
        <v>7003125</v>
      </c>
      <c r="E171" s="285">
        <f t="shared" si="7"/>
        <v>16259117.051083591</v>
      </c>
      <c r="F171" s="288">
        <f t="shared" si="8"/>
        <v>9523589.8958187997</v>
      </c>
      <c r="G171" s="283"/>
      <c r="H171" s="289">
        <f t="shared" si="4"/>
        <v>30000000</v>
      </c>
      <c r="I171" s="285">
        <f t="shared" si="5"/>
        <v>7556679.2002747087</v>
      </c>
      <c r="J171" s="287">
        <f t="shared" si="11"/>
        <v>8100000</v>
      </c>
      <c r="K171" s="287">
        <f t="shared" si="6"/>
        <v>17773897.79227471</v>
      </c>
      <c r="L171" s="288">
        <f t="shared" si="9"/>
        <v>10315328.22011471</v>
      </c>
    </row>
    <row r="172" spans="1:12" ht="15" x14ac:dyDescent="0.2">
      <c r="A172" s="283">
        <v>0.28000000000000003</v>
      </c>
      <c r="B172" s="284">
        <f t="shared" si="2"/>
        <v>25937500</v>
      </c>
      <c r="C172" s="285">
        <f t="shared" si="3"/>
        <v>7032367.5233235899</v>
      </c>
      <c r="D172" s="287">
        <f t="shared" si="10"/>
        <v>7262500</v>
      </c>
      <c r="E172" s="285">
        <f t="shared" si="7"/>
        <v>16259117.051083591</v>
      </c>
      <c r="F172" s="288">
        <f t="shared" si="8"/>
        <v>9615857.3910964001</v>
      </c>
      <c r="G172" s="283"/>
      <c r="H172" s="289">
        <f t="shared" si="4"/>
        <v>30000000</v>
      </c>
      <c r="I172" s="285">
        <f t="shared" si="5"/>
        <v>7556679.2002747087</v>
      </c>
      <c r="J172" s="287">
        <f t="shared" si="11"/>
        <v>8400000</v>
      </c>
      <c r="K172" s="287">
        <f t="shared" si="6"/>
        <v>17773897.79227471</v>
      </c>
      <c r="L172" s="288">
        <f t="shared" si="9"/>
        <v>10417500.40603471</v>
      </c>
    </row>
    <row r="173" spans="1:12" ht="15" x14ac:dyDescent="0.2">
      <c r="A173" s="283">
        <v>0.28999999999999998</v>
      </c>
      <c r="B173" s="284">
        <f t="shared" si="2"/>
        <v>25937500</v>
      </c>
      <c r="C173" s="285">
        <f t="shared" si="3"/>
        <v>7032367.5233235899</v>
      </c>
      <c r="D173" s="287">
        <f t="shared" si="10"/>
        <v>7521875</v>
      </c>
      <c r="E173" s="285">
        <f t="shared" si="7"/>
        <v>16259117.051083591</v>
      </c>
      <c r="F173" s="288">
        <f t="shared" si="8"/>
        <v>9708124.8863740005</v>
      </c>
      <c r="G173" s="283"/>
      <c r="H173" s="289">
        <f t="shared" si="4"/>
        <v>30000000</v>
      </c>
      <c r="I173" s="285">
        <f t="shared" si="5"/>
        <v>7556679.2002747087</v>
      </c>
      <c r="J173" s="287">
        <f t="shared" si="11"/>
        <v>8700000</v>
      </c>
      <c r="K173" s="287">
        <f t="shared" si="6"/>
        <v>17773897.79227471</v>
      </c>
      <c r="L173" s="288">
        <f t="shared" si="9"/>
        <v>10519672.59195471</v>
      </c>
    </row>
    <row r="174" spans="1:12" ht="15" x14ac:dyDescent="0.2">
      <c r="A174" s="283">
        <v>0.3</v>
      </c>
      <c r="B174" s="284">
        <f t="shared" si="2"/>
        <v>25937500</v>
      </c>
      <c r="C174" s="285">
        <f t="shared" si="3"/>
        <v>7032367.5233235899</v>
      </c>
      <c r="D174" s="287">
        <f t="shared" si="10"/>
        <v>7781250</v>
      </c>
      <c r="E174" s="285">
        <f t="shared" si="7"/>
        <v>16259117.051083591</v>
      </c>
      <c r="F174" s="288">
        <f t="shared" si="8"/>
        <v>9800392.3816516008</v>
      </c>
      <c r="G174" s="283"/>
      <c r="H174" s="289">
        <f t="shared" si="4"/>
        <v>30000000</v>
      </c>
      <c r="I174" s="285">
        <f t="shared" si="5"/>
        <v>7556679.2002747087</v>
      </c>
      <c r="J174" s="287">
        <f t="shared" si="11"/>
        <v>9000000</v>
      </c>
      <c r="K174" s="287">
        <f t="shared" si="6"/>
        <v>17773897.79227471</v>
      </c>
      <c r="L174" s="288">
        <f t="shared" si="9"/>
        <v>10621844.77787471</v>
      </c>
    </row>
    <row r="175" spans="1:12" ht="15" x14ac:dyDescent="0.2">
      <c r="A175" s="283">
        <v>0.31</v>
      </c>
      <c r="B175" s="284">
        <f t="shared" si="2"/>
        <v>25937500</v>
      </c>
      <c r="C175" s="285">
        <f t="shared" si="3"/>
        <v>7032367.5233235899</v>
      </c>
      <c r="D175" s="287">
        <f t="shared" si="10"/>
        <v>8040625</v>
      </c>
      <c r="E175" s="285">
        <f t="shared" si="7"/>
        <v>16259117.051083591</v>
      </c>
      <c r="F175" s="288">
        <f t="shared" si="8"/>
        <v>9892659.8769292012</v>
      </c>
      <c r="G175" s="283"/>
      <c r="H175" s="289">
        <f t="shared" si="4"/>
        <v>30000000</v>
      </c>
      <c r="I175" s="285">
        <f t="shared" si="5"/>
        <v>7556679.2002747087</v>
      </c>
      <c r="J175" s="287">
        <f t="shared" si="11"/>
        <v>9300000</v>
      </c>
      <c r="K175" s="287">
        <f t="shared" si="6"/>
        <v>17773897.79227471</v>
      </c>
      <c r="L175" s="288">
        <f t="shared" si="9"/>
        <v>10724016.96379471</v>
      </c>
    </row>
    <row r="176" spans="1:12" ht="15" x14ac:dyDescent="0.2">
      <c r="A176" s="283">
        <v>0.32</v>
      </c>
      <c r="B176" s="284">
        <f t="shared" si="2"/>
        <v>25937500</v>
      </c>
      <c r="C176" s="285">
        <f t="shared" si="3"/>
        <v>7032367.5233235899</v>
      </c>
      <c r="D176" s="287">
        <f t="shared" si="10"/>
        <v>8300000</v>
      </c>
      <c r="E176" s="285">
        <f t="shared" si="7"/>
        <v>16259117.051083591</v>
      </c>
      <c r="F176" s="288">
        <f t="shared" si="8"/>
        <v>9984927.3722068015</v>
      </c>
      <c r="G176" s="283"/>
      <c r="H176" s="289">
        <f t="shared" si="4"/>
        <v>30000000</v>
      </c>
      <c r="I176" s="285">
        <f t="shared" si="5"/>
        <v>7556679.2002747087</v>
      </c>
      <c r="J176" s="287">
        <f t="shared" si="11"/>
        <v>9600000</v>
      </c>
      <c r="K176" s="287">
        <f t="shared" si="6"/>
        <v>17773897.79227471</v>
      </c>
      <c r="L176" s="288">
        <f t="shared" si="9"/>
        <v>10826189.14971471</v>
      </c>
    </row>
    <row r="177" spans="1:12" ht="15" x14ac:dyDescent="0.2">
      <c r="A177" s="283">
        <v>0.33</v>
      </c>
      <c r="B177" s="284">
        <f t="shared" si="2"/>
        <v>25937500</v>
      </c>
      <c r="C177" s="285">
        <f t="shared" si="3"/>
        <v>7032367.5233235899</v>
      </c>
      <c r="D177" s="287">
        <f t="shared" si="10"/>
        <v>8559375</v>
      </c>
      <c r="E177" s="285">
        <f t="shared" si="7"/>
        <v>16259117.051083591</v>
      </c>
      <c r="F177" s="288">
        <f t="shared" si="8"/>
        <v>10077194.867484402</v>
      </c>
      <c r="G177" s="283"/>
      <c r="H177" s="289">
        <f t="shared" si="4"/>
        <v>30000000</v>
      </c>
      <c r="I177" s="285">
        <f t="shared" si="5"/>
        <v>7556679.2002747087</v>
      </c>
      <c r="J177" s="287">
        <f t="shared" si="11"/>
        <v>9900000</v>
      </c>
      <c r="K177" s="287">
        <f t="shared" si="6"/>
        <v>17773897.79227471</v>
      </c>
      <c r="L177" s="288">
        <f t="shared" si="9"/>
        <v>10928361.33563471</v>
      </c>
    </row>
    <row r="178" spans="1:12" ht="15" x14ac:dyDescent="0.2">
      <c r="A178" s="283">
        <v>0.34</v>
      </c>
      <c r="B178" s="284">
        <f t="shared" si="2"/>
        <v>25937500</v>
      </c>
      <c r="C178" s="285">
        <f t="shared" si="3"/>
        <v>7032367.5233235899</v>
      </c>
      <c r="D178" s="287">
        <f t="shared" si="10"/>
        <v>8818750</v>
      </c>
      <c r="E178" s="285">
        <f t="shared" si="7"/>
        <v>16259117.051083591</v>
      </c>
      <c r="F178" s="288">
        <f t="shared" si="8"/>
        <v>10169462.362762002</v>
      </c>
      <c r="G178" s="283"/>
      <c r="H178" s="289">
        <f t="shared" si="4"/>
        <v>30000000</v>
      </c>
      <c r="I178" s="285">
        <f t="shared" si="5"/>
        <v>7556679.2002747087</v>
      </c>
      <c r="J178" s="287">
        <f t="shared" si="11"/>
        <v>10200000</v>
      </c>
      <c r="K178" s="287">
        <f t="shared" si="6"/>
        <v>17773897.79227471</v>
      </c>
      <c r="L178" s="288">
        <f t="shared" si="9"/>
        <v>11030533.52155471</v>
      </c>
    </row>
    <row r="179" spans="1:12" ht="15" x14ac:dyDescent="0.2">
      <c r="A179" s="283">
        <v>0.35</v>
      </c>
      <c r="B179" s="284">
        <f t="shared" si="2"/>
        <v>25937500</v>
      </c>
      <c r="C179" s="285">
        <f t="shared" si="3"/>
        <v>7032367.5233235899</v>
      </c>
      <c r="D179" s="287">
        <f t="shared" si="10"/>
        <v>9078125</v>
      </c>
      <c r="E179" s="285">
        <f t="shared" si="7"/>
        <v>16259117.051083591</v>
      </c>
      <c r="F179" s="288">
        <f t="shared" si="8"/>
        <v>10261729.858039603</v>
      </c>
      <c r="G179" s="283"/>
      <c r="H179" s="289">
        <f t="shared" si="4"/>
        <v>30000000</v>
      </c>
      <c r="I179" s="285">
        <f t="shared" si="5"/>
        <v>7556679.2002747087</v>
      </c>
      <c r="J179" s="287">
        <f t="shared" si="11"/>
        <v>10500000</v>
      </c>
      <c r="K179" s="287">
        <f t="shared" si="6"/>
        <v>17773897.79227471</v>
      </c>
      <c r="L179" s="288">
        <f t="shared" si="9"/>
        <v>11132705.70747471</v>
      </c>
    </row>
    <row r="180" spans="1:12" ht="15" x14ac:dyDescent="0.2">
      <c r="A180" s="283">
        <v>0.36</v>
      </c>
      <c r="B180" s="284">
        <f t="shared" si="2"/>
        <v>25937500</v>
      </c>
      <c r="C180" s="285">
        <f t="shared" si="3"/>
        <v>7032367.5233235899</v>
      </c>
      <c r="D180" s="287">
        <f t="shared" si="10"/>
        <v>9337500</v>
      </c>
      <c r="E180" s="285">
        <f t="shared" si="7"/>
        <v>16259117.051083591</v>
      </c>
      <c r="F180" s="288">
        <f t="shared" si="8"/>
        <v>10353997.353317203</v>
      </c>
      <c r="G180" s="283"/>
      <c r="H180" s="289">
        <f t="shared" si="4"/>
        <v>30000000</v>
      </c>
      <c r="I180" s="285">
        <f t="shared" si="5"/>
        <v>7556679.2002747087</v>
      </c>
      <c r="J180" s="287">
        <f t="shared" si="11"/>
        <v>10800000</v>
      </c>
      <c r="K180" s="287">
        <f t="shared" si="6"/>
        <v>17773897.79227471</v>
      </c>
      <c r="L180" s="288">
        <f t="shared" si="9"/>
        <v>11234877.89339471</v>
      </c>
    </row>
    <row r="181" spans="1:12" ht="15" x14ac:dyDescent="0.2">
      <c r="A181" s="283">
        <v>0.37</v>
      </c>
      <c r="B181" s="284">
        <f t="shared" si="2"/>
        <v>25937500</v>
      </c>
      <c r="C181" s="285">
        <f t="shared" si="3"/>
        <v>7032367.5233235899</v>
      </c>
      <c r="D181" s="287">
        <f t="shared" si="10"/>
        <v>9596875</v>
      </c>
      <c r="E181" s="285">
        <f t="shared" si="7"/>
        <v>16259117.051083591</v>
      </c>
      <c r="F181" s="288">
        <f t="shared" si="8"/>
        <v>10446264.848594803</v>
      </c>
      <c r="G181" s="283"/>
      <c r="H181" s="289">
        <f t="shared" si="4"/>
        <v>30000000</v>
      </c>
      <c r="I181" s="285">
        <f t="shared" si="5"/>
        <v>7556679.2002747087</v>
      </c>
      <c r="J181" s="287">
        <f t="shared" si="11"/>
        <v>11100000</v>
      </c>
      <c r="K181" s="287">
        <f t="shared" si="6"/>
        <v>17773897.79227471</v>
      </c>
      <c r="L181" s="288">
        <f t="shared" si="9"/>
        <v>11337050.079314711</v>
      </c>
    </row>
    <row r="182" spans="1:12" ht="15" x14ac:dyDescent="0.2">
      <c r="A182" s="283">
        <v>0.38</v>
      </c>
      <c r="B182" s="284">
        <f t="shared" si="2"/>
        <v>25937500</v>
      </c>
      <c r="C182" s="285">
        <f t="shared" si="3"/>
        <v>7032367.5233235899</v>
      </c>
      <c r="D182" s="287">
        <f t="shared" si="10"/>
        <v>9856250</v>
      </c>
      <c r="E182" s="285">
        <f t="shared" si="7"/>
        <v>16259117.051083591</v>
      </c>
      <c r="F182" s="288">
        <f t="shared" si="8"/>
        <v>10538532.343872404</v>
      </c>
      <c r="G182" s="283"/>
      <c r="H182" s="289">
        <f t="shared" si="4"/>
        <v>30000000</v>
      </c>
      <c r="I182" s="285">
        <f t="shared" si="5"/>
        <v>7556679.2002747087</v>
      </c>
      <c r="J182" s="287">
        <f t="shared" si="11"/>
        <v>11400000</v>
      </c>
      <c r="K182" s="287">
        <f t="shared" si="6"/>
        <v>17773897.79227471</v>
      </c>
      <c r="L182" s="288">
        <f t="shared" si="9"/>
        <v>11439222.265234711</v>
      </c>
    </row>
    <row r="183" spans="1:12" ht="15" x14ac:dyDescent="0.2">
      <c r="A183" s="283">
        <v>0.39</v>
      </c>
      <c r="B183" s="284">
        <f t="shared" si="2"/>
        <v>25937500</v>
      </c>
      <c r="C183" s="285">
        <f t="shared" si="3"/>
        <v>7032367.5233235899</v>
      </c>
      <c r="D183" s="287">
        <f t="shared" si="10"/>
        <v>10115625</v>
      </c>
      <c r="E183" s="285">
        <f t="shared" si="7"/>
        <v>16259117.051083591</v>
      </c>
      <c r="F183" s="288">
        <f t="shared" si="8"/>
        <v>10630799.839150004</v>
      </c>
      <c r="G183" s="283"/>
      <c r="H183" s="289">
        <f t="shared" si="4"/>
        <v>30000000</v>
      </c>
      <c r="I183" s="285">
        <f t="shared" si="5"/>
        <v>7556679.2002747087</v>
      </c>
      <c r="J183" s="287">
        <f t="shared" si="11"/>
        <v>11700000</v>
      </c>
      <c r="K183" s="287">
        <f t="shared" si="6"/>
        <v>17773897.79227471</v>
      </c>
      <c r="L183" s="288">
        <f t="shared" si="9"/>
        <v>11541394.451154711</v>
      </c>
    </row>
    <row r="184" spans="1:12" ht="15" x14ac:dyDescent="0.2">
      <c r="A184" s="283">
        <v>0.4</v>
      </c>
      <c r="B184" s="284">
        <f t="shared" si="2"/>
        <v>25937500</v>
      </c>
      <c r="C184" s="285">
        <f t="shared" si="3"/>
        <v>7032367.5233235899</v>
      </c>
      <c r="D184" s="287">
        <f t="shared" si="10"/>
        <v>10375000</v>
      </c>
      <c r="E184" s="285">
        <f t="shared" si="7"/>
        <v>16259117.051083591</v>
      </c>
      <c r="F184" s="288">
        <f t="shared" si="8"/>
        <v>10723067.334427604</v>
      </c>
      <c r="G184" s="283"/>
      <c r="H184" s="289">
        <f t="shared" si="4"/>
        <v>30000000</v>
      </c>
      <c r="I184" s="285">
        <f t="shared" si="5"/>
        <v>7556679.2002747087</v>
      </c>
      <c r="J184" s="287">
        <f t="shared" si="11"/>
        <v>12000000</v>
      </c>
      <c r="K184" s="287">
        <f t="shared" si="6"/>
        <v>17773897.79227471</v>
      </c>
      <c r="L184" s="288">
        <f t="shared" si="9"/>
        <v>11643566.637074711</v>
      </c>
    </row>
    <row r="185" spans="1:12" ht="15" x14ac:dyDescent="0.2">
      <c r="A185" s="283">
        <v>0.41</v>
      </c>
      <c r="B185" s="284">
        <f t="shared" si="2"/>
        <v>25937500</v>
      </c>
      <c r="C185" s="285">
        <f t="shared" si="3"/>
        <v>7032367.5233235899</v>
      </c>
      <c r="D185" s="287">
        <f t="shared" si="10"/>
        <v>10634375</v>
      </c>
      <c r="E185" s="285">
        <f t="shared" si="7"/>
        <v>16259117.051083591</v>
      </c>
      <c r="F185" s="288">
        <f t="shared" si="8"/>
        <v>10815334.829705205</v>
      </c>
      <c r="G185" s="283"/>
      <c r="H185" s="289">
        <f t="shared" si="4"/>
        <v>30000000</v>
      </c>
      <c r="I185" s="285">
        <f t="shared" si="5"/>
        <v>7556679.2002747087</v>
      </c>
      <c r="J185" s="287">
        <f t="shared" si="11"/>
        <v>12300000</v>
      </c>
      <c r="K185" s="287">
        <f t="shared" si="6"/>
        <v>17773897.79227471</v>
      </c>
      <c r="L185" s="288">
        <f t="shared" si="9"/>
        <v>11745738.822994711</v>
      </c>
    </row>
    <row r="186" spans="1:12" ht="15" x14ac:dyDescent="0.2">
      <c r="A186" s="283">
        <v>0.42</v>
      </c>
      <c r="B186" s="284">
        <f t="shared" si="2"/>
        <v>25937500</v>
      </c>
      <c r="C186" s="285">
        <f t="shared" si="3"/>
        <v>7032367.5233235899</v>
      </c>
      <c r="D186" s="287">
        <f t="shared" si="10"/>
        <v>10893750</v>
      </c>
      <c r="E186" s="285">
        <f t="shared" si="7"/>
        <v>16259117.051083591</v>
      </c>
      <c r="F186" s="288">
        <f t="shared" si="8"/>
        <v>10907602.324982805</v>
      </c>
      <c r="G186" s="283"/>
      <c r="H186" s="289">
        <f t="shared" si="4"/>
        <v>30000000</v>
      </c>
      <c r="I186" s="285">
        <f t="shared" si="5"/>
        <v>7556679.2002747087</v>
      </c>
      <c r="J186" s="287">
        <f t="shared" si="11"/>
        <v>12600000</v>
      </c>
      <c r="K186" s="287">
        <f t="shared" si="6"/>
        <v>17773897.79227471</v>
      </c>
      <c r="L186" s="288">
        <f t="shared" si="9"/>
        <v>11847911.008914711</v>
      </c>
    </row>
    <row r="187" spans="1:12" ht="15" x14ac:dyDescent="0.2">
      <c r="A187" s="283">
        <v>0.43</v>
      </c>
      <c r="B187" s="284">
        <f t="shared" si="2"/>
        <v>25937500</v>
      </c>
      <c r="C187" s="285">
        <f t="shared" si="3"/>
        <v>7032367.5233235899</v>
      </c>
      <c r="D187" s="287">
        <f t="shared" si="10"/>
        <v>11153125</v>
      </c>
      <c r="E187" s="285">
        <f t="shared" si="7"/>
        <v>16259117.051083591</v>
      </c>
      <c r="F187" s="288">
        <f t="shared" si="8"/>
        <v>10999869.820260406</v>
      </c>
      <c r="G187" s="283"/>
      <c r="H187" s="289">
        <f t="shared" si="4"/>
        <v>30000000</v>
      </c>
      <c r="I187" s="285">
        <f t="shared" si="5"/>
        <v>7556679.2002747087</v>
      </c>
      <c r="J187" s="287">
        <f t="shared" si="11"/>
        <v>12900000</v>
      </c>
      <c r="K187" s="287">
        <f t="shared" si="6"/>
        <v>17773897.79227471</v>
      </c>
      <c r="L187" s="288">
        <f t="shared" si="9"/>
        <v>11950083.194834711</v>
      </c>
    </row>
    <row r="188" spans="1:12" ht="15" x14ac:dyDescent="0.2">
      <c r="A188" s="283">
        <v>0.44</v>
      </c>
      <c r="B188" s="284">
        <f t="shared" si="2"/>
        <v>25937500</v>
      </c>
      <c r="C188" s="285">
        <f t="shared" si="3"/>
        <v>7032367.5233235899</v>
      </c>
      <c r="D188" s="287">
        <f t="shared" si="10"/>
        <v>11412500</v>
      </c>
      <c r="E188" s="285">
        <f t="shared" si="7"/>
        <v>16259117.051083591</v>
      </c>
      <c r="F188" s="288">
        <f t="shared" si="8"/>
        <v>11092137.315538006</v>
      </c>
      <c r="G188" s="283"/>
      <c r="H188" s="289">
        <f t="shared" si="4"/>
        <v>30000000</v>
      </c>
      <c r="I188" s="285">
        <f t="shared" si="5"/>
        <v>7556679.2002747087</v>
      </c>
      <c r="J188" s="287">
        <f t="shared" si="11"/>
        <v>13200000</v>
      </c>
      <c r="K188" s="287">
        <f t="shared" si="6"/>
        <v>17773897.79227471</v>
      </c>
      <c r="L188" s="288">
        <f t="shared" si="9"/>
        <v>12052255.380754711</v>
      </c>
    </row>
    <row r="189" spans="1:12" ht="15" x14ac:dyDescent="0.2">
      <c r="A189" s="283">
        <v>0.45</v>
      </c>
      <c r="B189" s="284">
        <f t="shared" si="2"/>
        <v>25937500</v>
      </c>
      <c r="C189" s="285">
        <f t="shared" si="3"/>
        <v>7032367.5233235899</v>
      </c>
      <c r="D189" s="287">
        <f t="shared" si="10"/>
        <v>11671875</v>
      </c>
      <c r="E189" s="285">
        <f t="shared" si="7"/>
        <v>16259117.051083591</v>
      </c>
      <c r="F189" s="288">
        <f t="shared" si="8"/>
        <v>11184404.810815606</v>
      </c>
      <c r="G189" s="283"/>
      <c r="H189" s="289">
        <f t="shared" si="4"/>
        <v>30000000</v>
      </c>
      <c r="I189" s="285">
        <f t="shared" si="5"/>
        <v>7556679.2002747087</v>
      </c>
      <c r="J189" s="287">
        <f t="shared" si="11"/>
        <v>13500000</v>
      </c>
      <c r="K189" s="287">
        <f t="shared" si="6"/>
        <v>17773897.79227471</v>
      </c>
      <c r="L189" s="288">
        <f t="shared" si="9"/>
        <v>12154427.566674711</v>
      </c>
    </row>
    <row r="190" spans="1:12" ht="15" x14ac:dyDescent="0.2">
      <c r="A190" s="283">
        <v>0.46</v>
      </c>
      <c r="B190" s="284">
        <f t="shared" si="2"/>
        <v>25937500</v>
      </c>
      <c r="C190" s="285">
        <f t="shared" si="3"/>
        <v>7032367.5233235899</v>
      </c>
      <c r="D190" s="287">
        <f t="shared" si="10"/>
        <v>11931250</v>
      </c>
      <c r="E190" s="285">
        <f t="shared" si="7"/>
        <v>16259117.051083591</v>
      </c>
      <c r="F190" s="288">
        <f t="shared" si="8"/>
        <v>11276672.306093207</v>
      </c>
      <c r="G190" s="283"/>
      <c r="H190" s="289">
        <f t="shared" si="4"/>
        <v>30000000</v>
      </c>
      <c r="I190" s="285">
        <f t="shared" si="5"/>
        <v>7556679.2002747087</v>
      </c>
      <c r="J190" s="287">
        <f t="shared" si="11"/>
        <v>13800000</v>
      </c>
      <c r="K190" s="287">
        <f t="shared" si="6"/>
        <v>17773897.79227471</v>
      </c>
      <c r="L190" s="288">
        <f t="shared" si="9"/>
        <v>12256599.752594711</v>
      </c>
    </row>
    <row r="191" spans="1:12" ht="15" x14ac:dyDescent="0.2">
      <c r="A191" s="283">
        <v>0.47</v>
      </c>
      <c r="B191" s="284">
        <f t="shared" si="2"/>
        <v>25937500</v>
      </c>
      <c r="C191" s="285">
        <f t="shared" si="3"/>
        <v>7032367.5233235899</v>
      </c>
      <c r="D191" s="287">
        <f t="shared" si="10"/>
        <v>12190625</v>
      </c>
      <c r="E191" s="285">
        <f t="shared" si="7"/>
        <v>16259117.051083591</v>
      </c>
      <c r="F191" s="288">
        <f t="shared" si="8"/>
        <v>11368939.801370807</v>
      </c>
      <c r="G191" s="283"/>
      <c r="H191" s="289">
        <f t="shared" si="4"/>
        <v>30000000</v>
      </c>
      <c r="I191" s="285">
        <f t="shared" si="5"/>
        <v>7556679.2002747087</v>
      </c>
      <c r="J191" s="287">
        <f t="shared" si="11"/>
        <v>14100000</v>
      </c>
      <c r="K191" s="287">
        <f t="shared" si="6"/>
        <v>17773897.79227471</v>
      </c>
      <c r="L191" s="288">
        <f t="shared" si="9"/>
        <v>12358771.938514711</v>
      </c>
    </row>
    <row r="192" spans="1:12" ht="15" x14ac:dyDescent="0.2">
      <c r="A192" s="283">
        <v>0.48</v>
      </c>
      <c r="B192" s="284">
        <f t="shared" si="2"/>
        <v>25937500</v>
      </c>
      <c r="C192" s="285">
        <f t="shared" si="3"/>
        <v>7032367.5233235899</v>
      </c>
      <c r="D192" s="287">
        <f t="shared" si="10"/>
        <v>12450000</v>
      </c>
      <c r="E192" s="285">
        <f t="shared" si="7"/>
        <v>16259117.051083591</v>
      </c>
      <c r="F192" s="288">
        <f t="shared" si="8"/>
        <v>11461207.296648407</v>
      </c>
      <c r="G192" s="283"/>
      <c r="H192" s="289">
        <f t="shared" si="4"/>
        <v>30000000</v>
      </c>
      <c r="I192" s="285">
        <f t="shared" si="5"/>
        <v>7556679.2002747087</v>
      </c>
      <c r="J192" s="287">
        <f t="shared" si="11"/>
        <v>14400000</v>
      </c>
      <c r="K192" s="287">
        <f t="shared" si="6"/>
        <v>17773897.79227471</v>
      </c>
      <c r="L192" s="288">
        <f t="shared" si="9"/>
        <v>12460944.124434711</v>
      </c>
    </row>
    <row r="193" spans="1:12" ht="15" x14ac:dyDescent="0.2">
      <c r="A193" s="283">
        <v>0.49</v>
      </c>
      <c r="B193" s="284">
        <f t="shared" si="2"/>
        <v>25937500</v>
      </c>
      <c r="C193" s="285">
        <f t="shared" si="3"/>
        <v>7032367.5233235899</v>
      </c>
      <c r="D193" s="287">
        <f t="shared" si="10"/>
        <v>12709375</v>
      </c>
      <c r="E193" s="285">
        <f t="shared" si="7"/>
        <v>16259117.051083591</v>
      </c>
      <c r="F193" s="288">
        <f>F192+$I$140</f>
        <v>11553474.791926008</v>
      </c>
      <c r="G193" s="283"/>
      <c r="H193" s="289">
        <f t="shared" si="4"/>
        <v>30000000</v>
      </c>
      <c r="I193" s="285">
        <f t="shared" si="5"/>
        <v>7556679.2002747087</v>
      </c>
      <c r="J193" s="287">
        <f t="shared" si="11"/>
        <v>14700000</v>
      </c>
      <c r="K193" s="287">
        <f t="shared" si="6"/>
        <v>17773897.79227471</v>
      </c>
      <c r="L193" s="288">
        <f t="shared" si="9"/>
        <v>12563116.310354711</v>
      </c>
    </row>
    <row r="194" spans="1:12" ht="15" x14ac:dyDescent="0.2">
      <c r="A194" s="283">
        <v>0.5</v>
      </c>
      <c r="B194" s="284">
        <f t="shared" si="2"/>
        <v>25937500</v>
      </c>
      <c r="C194" s="285">
        <f t="shared" si="3"/>
        <v>7032367.5233235899</v>
      </c>
      <c r="D194" s="287">
        <f t="shared" si="10"/>
        <v>12968750</v>
      </c>
      <c r="E194" s="285">
        <f t="shared" si="7"/>
        <v>16259117.051083591</v>
      </c>
      <c r="F194" s="288">
        <f t="shared" si="8"/>
        <v>11645742.287203608</v>
      </c>
      <c r="G194" s="283"/>
      <c r="H194" s="289">
        <f t="shared" si="4"/>
        <v>30000000</v>
      </c>
      <c r="I194" s="285">
        <f t="shared" si="5"/>
        <v>7556679.2002747087</v>
      </c>
      <c r="J194" s="287">
        <f t="shared" si="11"/>
        <v>15000000</v>
      </c>
      <c r="K194" s="287">
        <f t="shared" si="6"/>
        <v>17773897.79227471</v>
      </c>
      <c r="L194" s="288">
        <f t="shared" si="9"/>
        <v>12665288.496274712</v>
      </c>
    </row>
    <row r="195" spans="1:12" ht="15" x14ac:dyDescent="0.2">
      <c r="A195" s="283">
        <v>0.51</v>
      </c>
      <c r="B195" s="284">
        <f t="shared" si="2"/>
        <v>25937500</v>
      </c>
      <c r="C195" s="285">
        <f t="shared" si="3"/>
        <v>7032367.5233235899</v>
      </c>
      <c r="D195" s="287">
        <f t="shared" si="10"/>
        <v>13228125</v>
      </c>
      <c r="E195" s="285">
        <f t="shared" si="7"/>
        <v>16259117.051083591</v>
      </c>
      <c r="F195" s="288">
        <f t="shared" si="8"/>
        <v>11738009.782481208</v>
      </c>
      <c r="G195" s="283"/>
      <c r="H195" s="289">
        <f t="shared" si="4"/>
        <v>30000000</v>
      </c>
      <c r="I195" s="285">
        <f t="shared" si="5"/>
        <v>7556679.2002747087</v>
      </c>
      <c r="J195" s="287">
        <f t="shared" si="11"/>
        <v>15300000</v>
      </c>
      <c r="K195" s="287">
        <f t="shared" si="6"/>
        <v>17773897.79227471</v>
      </c>
      <c r="L195" s="288">
        <f t="shared" si="9"/>
        <v>12767460.682194712</v>
      </c>
    </row>
    <row r="196" spans="1:12" ht="15" x14ac:dyDescent="0.2">
      <c r="A196" s="283">
        <v>0.52</v>
      </c>
      <c r="B196" s="284">
        <f t="shared" si="2"/>
        <v>25937500</v>
      </c>
      <c r="C196" s="285">
        <f t="shared" si="3"/>
        <v>7032367.5233235899</v>
      </c>
      <c r="D196" s="287">
        <f t="shared" si="10"/>
        <v>13487500</v>
      </c>
      <c r="E196" s="285">
        <f t="shared" si="7"/>
        <v>16259117.051083591</v>
      </c>
      <c r="F196" s="288">
        <f t="shared" si="8"/>
        <v>11830277.277758809</v>
      </c>
      <c r="G196" s="283"/>
      <c r="H196" s="289">
        <f t="shared" si="4"/>
        <v>30000000</v>
      </c>
      <c r="I196" s="285">
        <f t="shared" si="5"/>
        <v>7556679.2002747087</v>
      </c>
      <c r="J196" s="287">
        <f t="shared" si="11"/>
        <v>15600000</v>
      </c>
      <c r="K196" s="287">
        <f t="shared" si="6"/>
        <v>17773897.79227471</v>
      </c>
      <c r="L196" s="288">
        <f t="shared" si="9"/>
        <v>12869632.868114712</v>
      </c>
    </row>
    <row r="197" spans="1:12" ht="15" x14ac:dyDescent="0.2">
      <c r="A197" s="283">
        <v>0.53</v>
      </c>
      <c r="B197" s="284">
        <f t="shared" si="2"/>
        <v>25937500</v>
      </c>
      <c r="C197" s="285">
        <f t="shared" si="3"/>
        <v>7032367.5233235899</v>
      </c>
      <c r="D197" s="287">
        <f t="shared" si="10"/>
        <v>13746875</v>
      </c>
      <c r="E197" s="285">
        <f t="shared" si="7"/>
        <v>16259117.051083591</v>
      </c>
      <c r="F197" s="288">
        <f t="shared" si="8"/>
        <v>11922544.773036409</v>
      </c>
      <c r="G197" s="283"/>
      <c r="H197" s="289">
        <f t="shared" si="4"/>
        <v>30000000</v>
      </c>
      <c r="I197" s="285">
        <f t="shared" si="5"/>
        <v>7556679.2002747087</v>
      </c>
      <c r="J197" s="287">
        <f t="shared" si="11"/>
        <v>15900000</v>
      </c>
      <c r="K197" s="287">
        <f t="shared" si="6"/>
        <v>17773897.79227471</v>
      </c>
      <c r="L197" s="288">
        <f t="shared" si="9"/>
        <v>12971805.054034712</v>
      </c>
    </row>
    <row r="198" spans="1:12" ht="15" x14ac:dyDescent="0.2">
      <c r="A198" s="283">
        <v>0.54</v>
      </c>
      <c r="B198" s="284">
        <f t="shared" si="2"/>
        <v>25937500</v>
      </c>
      <c r="C198" s="285">
        <f t="shared" si="3"/>
        <v>7032367.5233235899</v>
      </c>
      <c r="D198" s="287">
        <f t="shared" si="10"/>
        <v>14006250</v>
      </c>
      <c r="E198" s="285">
        <f t="shared" si="7"/>
        <v>16259117.051083591</v>
      </c>
      <c r="F198" s="288">
        <f t="shared" si="8"/>
        <v>12014812.26831401</v>
      </c>
      <c r="G198" s="283"/>
      <c r="H198" s="289">
        <f t="shared" si="4"/>
        <v>30000000</v>
      </c>
      <c r="I198" s="285">
        <f t="shared" si="5"/>
        <v>7556679.2002747087</v>
      </c>
      <c r="J198" s="287">
        <f t="shared" si="11"/>
        <v>16200000</v>
      </c>
      <c r="K198" s="287">
        <f t="shared" si="6"/>
        <v>17773897.79227471</v>
      </c>
      <c r="L198" s="288">
        <f t="shared" si="9"/>
        <v>13073977.239954712</v>
      </c>
    </row>
    <row r="199" spans="1:12" ht="15" x14ac:dyDescent="0.2">
      <c r="A199" s="283">
        <v>0.55000000000000004</v>
      </c>
      <c r="B199" s="284">
        <f t="shared" si="2"/>
        <v>25937500</v>
      </c>
      <c r="C199" s="285">
        <f t="shared" si="3"/>
        <v>7032367.5233235899</v>
      </c>
      <c r="D199" s="287">
        <f t="shared" si="10"/>
        <v>14265625</v>
      </c>
      <c r="E199" s="285">
        <f t="shared" si="7"/>
        <v>16259117.051083591</v>
      </c>
      <c r="F199" s="288">
        <f t="shared" si="8"/>
        <v>12107079.76359161</v>
      </c>
      <c r="G199" s="283"/>
      <c r="H199" s="289">
        <f t="shared" si="4"/>
        <v>30000000</v>
      </c>
      <c r="I199" s="285">
        <f t="shared" si="5"/>
        <v>7556679.2002747087</v>
      </c>
      <c r="J199" s="287">
        <f t="shared" si="11"/>
        <v>16500000</v>
      </c>
      <c r="K199" s="287">
        <f t="shared" si="6"/>
        <v>17773897.79227471</v>
      </c>
      <c r="L199" s="288">
        <f t="shared" si="9"/>
        <v>13176149.425874712</v>
      </c>
    </row>
    <row r="200" spans="1:12" ht="15" x14ac:dyDescent="0.2">
      <c r="A200" s="283">
        <v>0.56000000000000005</v>
      </c>
      <c r="B200" s="284">
        <f t="shared" si="2"/>
        <v>25937500</v>
      </c>
      <c r="C200" s="285">
        <f t="shared" si="3"/>
        <v>7032367.5233235899</v>
      </c>
      <c r="D200" s="287">
        <f t="shared" si="10"/>
        <v>14525000</v>
      </c>
      <c r="E200" s="285">
        <f t="shared" si="7"/>
        <v>16259117.051083591</v>
      </c>
      <c r="F200" s="288">
        <f t="shared" si="8"/>
        <v>12199347.25886921</v>
      </c>
      <c r="G200" s="283"/>
      <c r="H200" s="289">
        <f t="shared" si="4"/>
        <v>30000000</v>
      </c>
      <c r="I200" s="285">
        <f t="shared" si="5"/>
        <v>7556679.2002747087</v>
      </c>
      <c r="J200" s="287">
        <f t="shared" si="11"/>
        <v>16800000</v>
      </c>
      <c r="K200" s="287">
        <f t="shared" si="6"/>
        <v>17773897.79227471</v>
      </c>
      <c r="L200" s="288">
        <f t="shared" si="9"/>
        <v>13278321.611794712</v>
      </c>
    </row>
    <row r="201" spans="1:12" ht="15" x14ac:dyDescent="0.2">
      <c r="A201" s="283">
        <v>0.56999999999999995</v>
      </c>
      <c r="B201" s="284">
        <f t="shared" si="2"/>
        <v>25937500</v>
      </c>
      <c r="C201" s="285">
        <f t="shared" si="3"/>
        <v>7032367.5233235899</v>
      </c>
      <c r="D201" s="287">
        <f t="shared" si="10"/>
        <v>14784375</v>
      </c>
      <c r="E201" s="285">
        <f t="shared" si="7"/>
        <v>16259117.051083591</v>
      </c>
      <c r="F201" s="288">
        <f t="shared" si="8"/>
        <v>12291614.754146811</v>
      </c>
      <c r="G201" s="283"/>
      <c r="H201" s="289">
        <f t="shared" si="4"/>
        <v>30000000</v>
      </c>
      <c r="I201" s="285">
        <f t="shared" si="5"/>
        <v>7556679.2002747087</v>
      </c>
      <c r="J201" s="287">
        <f t="shared" si="11"/>
        <v>17100000</v>
      </c>
      <c r="K201" s="287">
        <f t="shared" si="6"/>
        <v>17773897.79227471</v>
      </c>
      <c r="L201" s="288">
        <f t="shared" si="9"/>
        <v>13380493.797714712</v>
      </c>
    </row>
    <row r="202" spans="1:12" ht="15" x14ac:dyDescent="0.2">
      <c r="A202" s="283">
        <v>0.57999999999999996</v>
      </c>
      <c r="B202" s="284">
        <f t="shared" si="2"/>
        <v>25937500</v>
      </c>
      <c r="C202" s="285">
        <f t="shared" si="3"/>
        <v>7032367.5233235899</v>
      </c>
      <c r="D202" s="287">
        <f t="shared" si="10"/>
        <v>15043750</v>
      </c>
      <c r="E202" s="285">
        <f t="shared" si="7"/>
        <v>16259117.051083591</v>
      </c>
      <c r="F202" s="288">
        <f t="shared" si="8"/>
        <v>12383882.249424411</v>
      </c>
      <c r="G202" s="283"/>
      <c r="H202" s="289">
        <f t="shared" si="4"/>
        <v>30000000</v>
      </c>
      <c r="I202" s="285">
        <f t="shared" si="5"/>
        <v>7556679.2002747087</v>
      </c>
      <c r="J202" s="287">
        <f t="shared" si="11"/>
        <v>17400000</v>
      </c>
      <c r="K202" s="287">
        <f t="shared" si="6"/>
        <v>17773897.79227471</v>
      </c>
      <c r="L202" s="288">
        <f t="shared" si="9"/>
        <v>13482665.983634712</v>
      </c>
    </row>
    <row r="203" spans="1:12" ht="15" x14ac:dyDescent="0.2">
      <c r="A203" s="283">
        <v>0.59</v>
      </c>
      <c r="B203" s="284">
        <f t="shared" si="2"/>
        <v>25937500</v>
      </c>
      <c r="C203" s="285">
        <f t="shared" si="3"/>
        <v>7032367.5233235899</v>
      </c>
      <c r="D203" s="287">
        <f t="shared" si="10"/>
        <v>15303125</v>
      </c>
      <c r="E203" s="285">
        <f t="shared" si="7"/>
        <v>16259117.051083591</v>
      </c>
      <c r="F203" s="288">
        <f t="shared" si="8"/>
        <v>12476149.744702011</v>
      </c>
      <c r="G203" s="283"/>
      <c r="H203" s="289">
        <f t="shared" si="4"/>
        <v>30000000</v>
      </c>
      <c r="I203" s="285">
        <f t="shared" si="5"/>
        <v>7556679.2002747087</v>
      </c>
      <c r="J203" s="287">
        <f t="shared" si="11"/>
        <v>17700000</v>
      </c>
      <c r="K203" s="287">
        <f t="shared" si="6"/>
        <v>17773897.79227471</v>
      </c>
      <c r="L203" s="288">
        <f t="shared" si="9"/>
        <v>13584838.169554712</v>
      </c>
    </row>
    <row r="204" spans="1:12" ht="15" x14ac:dyDescent="0.2">
      <c r="A204" s="283">
        <v>0.6</v>
      </c>
      <c r="B204" s="284">
        <f t="shared" si="2"/>
        <v>25937500</v>
      </c>
      <c r="C204" s="285">
        <f t="shared" si="3"/>
        <v>7032367.5233235899</v>
      </c>
      <c r="D204" s="287">
        <f t="shared" si="10"/>
        <v>15562500</v>
      </c>
      <c r="E204" s="285">
        <f t="shared" si="7"/>
        <v>16259117.051083591</v>
      </c>
      <c r="F204" s="288">
        <f t="shared" si="8"/>
        <v>12568417.239979612</v>
      </c>
      <c r="G204" s="283"/>
      <c r="H204" s="289">
        <f t="shared" si="4"/>
        <v>30000000</v>
      </c>
      <c r="I204" s="285">
        <f t="shared" si="5"/>
        <v>7556679.2002747087</v>
      </c>
      <c r="J204" s="287">
        <f t="shared" si="11"/>
        <v>18000000</v>
      </c>
      <c r="K204" s="287">
        <f t="shared" si="6"/>
        <v>17773897.79227471</v>
      </c>
      <c r="L204" s="288">
        <f t="shared" si="9"/>
        <v>13687010.355474712</v>
      </c>
    </row>
    <row r="205" spans="1:12" ht="15" x14ac:dyDescent="0.2">
      <c r="A205" s="283">
        <v>0.61</v>
      </c>
      <c r="B205" s="284">
        <f t="shared" si="2"/>
        <v>25937500</v>
      </c>
      <c r="C205" s="285">
        <f t="shared" si="3"/>
        <v>7032367.5233235899</v>
      </c>
      <c r="D205" s="287">
        <f t="shared" si="10"/>
        <v>15821875</v>
      </c>
      <c r="E205" s="285">
        <f t="shared" si="7"/>
        <v>16259117.051083591</v>
      </c>
      <c r="F205" s="288">
        <f t="shared" si="8"/>
        <v>12660684.735257212</v>
      </c>
      <c r="G205" s="283"/>
      <c r="H205" s="289">
        <f t="shared" si="4"/>
        <v>30000000</v>
      </c>
      <c r="I205" s="285">
        <f t="shared" si="5"/>
        <v>7556679.2002747087</v>
      </c>
      <c r="J205" s="287">
        <f t="shared" si="11"/>
        <v>18300000</v>
      </c>
      <c r="K205" s="287">
        <f t="shared" si="6"/>
        <v>17773897.79227471</v>
      </c>
      <c r="L205" s="288">
        <f t="shared" si="9"/>
        <v>13789182.541394712</v>
      </c>
    </row>
    <row r="206" spans="1:12" ht="15" x14ac:dyDescent="0.2">
      <c r="A206" s="283">
        <v>0.62</v>
      </c>
      <c r="B206" s="284">
        <f t="shared" si="2"/>
        <v>25937500</v>
      </c>
      <c r="C206" s="285">
        <f t="shared" si="3"/>
        <v>7032367.5233235899</v>
      </c>
      <c r="D206" s="287">
        <f t="shared" si="10"/>
        <v>16081250</v>
      </c>
      <c r="E206" s="285">
        <f t="shared" si="7"/>
        <v>16259117.051083591</v>
      </c>
      <c r="F206" s="288">
        <f t="shared" si="8"/>
        <v>12752952.230534812</v>
      </c>
      <c r="G206" s="283"/>
      <c r="H206" s="289">
        <f t="shared" si="4"/>
        <v>30000000</v>
      </c>
      <c r="I206" s="285">
        <f t="shared" si="5"/>
        <v>7556679.2002747087</v>
      </c>
      <c r="J206" s="287">
        <f t="shared" si="11"/>
        <v>18600000</v>
      </c>
      <c r="K206" s="287">
        <f t="shared" si="6"/>
        <v>17773897.79227471</v>
      </c>
      <c r="L206" s="288">
        <f t="shared" si="9"/>
        <v>13891354.727314712</v>
      </c>
    </row>
    <row r="207" spans="1:12" ht="15" x14ac:dyDescent="0.2">
      <c r="A207" s="283">
        <v>0.63</v>
      </c>
      <c r="B207" s="284">
        <f t="shared" si="2"/>
        <v>25937500</v>
      </c>
      <c r="C207" s="285">
        <f t="shared" si="3"/>
        <v>7032367.5233235899</v>
      </c>
      <c r="D207" s="287">
        <f t="shared" si="10"/>
        <v>16340625</v>
      </c>
      <c r="E207" s="285">
        <f t="shared" si="7"/>
        <v>16259117.051083591</v>
      </c>
      <c r="F207" s="288">
        <f t="shared" si="8"/>
        <v>12845219.725812413</v>
      </c>
      <c r="G207" s="283"/>
      <c r="H207" s="289">
        <f t="shared" si="4"/>
        <v>30000000</v>
      </c>
      <c r="I207" s="285">
        <f t="shared" si="5"/>
        <v>7556679.2002747087</v>
      </c>
      <c r="J207" s="287">
        <f t="shared" si="11"/>
        <v>18900000</v>
      </c>
      <c r="K207" s="287">
        <f t="shared" si="6"/>
        <v>17773897.79227471</v>
      </c>
      <c r="L207" s="288">
        <f t="shared" si="9"/>
        <v>13993526.913234713</v>
      </c>
    </row>
    <row r="208" spans="1:12" ht="15" x14ac:dyDescent="0.2">
      <c r="A208" s="283">
        <v>0.64</v>
      </c>
      <c r="B208" s="284">
        <f t="shared" si="2"/>
        <v>25937500</v>
      </c>
      <c r="C208" s="285">
        <f t="shared" si="3"/>
        <v>7032367.5233235899</v>
      </c>
      <c r="D208" s="287">
        <f t="shared" si="10"/>
        <v>16600000</v>
      </c>
      <c r="E208" s="285">
        <f t="shared" si="7"/>
        <v>16259117.051083591</v>
      </c>
      <c r="F208" s="288">
        <f t="shared" si="8"/>
        <v>12937487.221090013</v>
      </c>
      <c r="G208" s="283"/>
      <c r="H208" s="289">
        <f t="shared" si="4"/>
        <v>30000000</v>
      </c>
      <c r="I208" s="285">
        <f t="shared" si="5"/>
        <v>7556679.2002747087</v>
      </c>
      <c r="J208" s="287">
        <f t="shared" si="11"/>
        <v>19200000</v>
      </c>
      <c r="K208" s="287">
        <f t="shared" si="6"/>
        <v>17773897.79227471</v>
      </c>
      <c r="L208" s="288">
        <f t="shared" si="9"/>
        <v>14095699.099154713</v>
      </c>
    </row>
    <row r="209" spans="1:12" ht="15" x14ac:dyDescent="0.2">
      <c r="A209" s="283">
        <v>0.65</v>
      </c>
      <c r="B209" s="284">
        <f t="shared" ref="B209:B244" si="12">$B$88</f>
        <v>25937500</v>
      </c>
      <c r="C209" s="285">
        <f t="shared" ref="C209:C244" si="13">$B$140</f>
        <v>7032367.5233235899</v>
      </c>
      <c r="D209" s="287">
        <f t="shared" si="10"/>
        <v>16859375</v>
      </c>
      <c r="E209" s="285">
        <f t="shared" ref="E209:E244" si="14">$B$139+$B$140</f>
        <v>16259117.051083591</v>
      </c>
      <c r="F209" s="288">
        <f t="shared" si="8"/>
        <v>13029754.716367614</v>
      </c>
      <c r="G209" s="283"/>
      <c r="H209" s="289">
        <f t="shared" ref="H209:H244" si="15">$C$88</f>
        <v>30000000</v>
      </c>
      <c r="I209" s="285">
        <f t="shared" ref="I209:I244" si="16">$F$140</f>
        <v>7556679.2002747087</v>
      </c>
      <c r="J209" s="287">
        <f t="shared" si="11"/>
        <v>19500000</v>
      </c>
      <c r="K209" s="287">
        <f t="shared" ref="K209:K244" si="17">$F$139+$F$140</f>
        <v>17773897.79227471</v>
      </c>
      <c r="L209" s="288">
        <f t="shared" si="9"/>
        <v>14197871.285074713</v>
      </c>
    </row>
    <row r="210" spans="1:12" ht="15" x14ac:dyDescent="0.2">
      <c r="A210" s="283">
        <v>0.66</v>
      </c>
      <c r="B210" s="284">
        <f t="shared" si="12"/>
        <v>25937500</v>
      </c>
      <c r="C210" s="285">
        <f t="shared" si="13"/>
        <v>7032367.5233235899</v>
      </c>
      <c r="D210" s="287">
        <f t="shared" si="10"/>
        <v>17118750</v>
      </c>
      <c r="E210" s="285">
        <f t="shared" si="14"/>
        <v>16259117.051083591</v>
      </c>
      <c r="F210" s="288">
        <f t="shared" ref="F210:F215" si="18">F209+$I$140</f>
        <v>13122022.211645214</v>
      </c>
      <c r="G210" s="283"/>
      <c r="H210" s="289">
        <f t="shared" si="15"/>
        <v>30000000</v>
      </c>
      <c r="I210" s="285">
        <f t="shared" si="16"/>
        <v>7556679.2002747087</v>
      </c>
      <c r="J210" s="287">
        <f t="shared" si="11"/>
        <v>19800000</v>
      </c>
      <c r="K210" s="287">
        <f t="shared" si="17"/>
        <v>17773897.79227471</v>
      </c>
      <c r="L210" s="288">
        <f t="shared" ref="L210:L244" si="19">L209+$K$140</f>
        <v>14300043.470994713</v>
      </c>
    </row>
    <row r="211" spans="1:12" ht="15" x14ac:dyDescent="0.2">
      <c r="A211" s="283">
        <v>0.67</v>
      </c>
      <c r="B211" s="284">
        <f t="shared" si="12"/>
        <v>25937500</v>
      </c>
      <c r="C211" s="285">
        <f t="shared" si="13"/>
        <v>7032367.5233235899</v>
      </c>
      <c r="D211" s="287">
        <f t="shared" ref="D211:D244" si="20">D210+H$140</f>
        <v>17378125</v>
      </c>
      <c r="E211" s="285">
        <f t="shared" si="14"/>
        <v>16259117.051083591</v>
      </c>
      <c r="F211" s="288">
        <f t="shared" si="18"/>
        <v>13214289.706922814</v>
      </c>
      <c r="G211" s="283"/>
      <c r="H211" s="289">
        <f t="shared" si="15"/>
        <v>30000000</v>
      </c>
      <c r="I211" s="285">
        <f t="shared" si="16"/>
        <v>7556679.2002747087</v>
      </c>
      <c r="J211" s="287">
        <f t="shared" ref="J211:J244" si="21">J210+J$140</f>
        <v>20100000</v>
      </c>
      <c r="K211" s="287">
        <f t="shared" si="17"/>
        <v>17773897.79227471</v>
      </c>
      <c r="L211" s="288">
        <f t="shared" si="19"/>
        <v>14402215.656914713</v>
      </c>
    </row>
    <row r="212" spans="1:12" ht="15" x14ac:dyDescent="0.2">
      <c r="A212" s="283">
        <v>0.68</v>
      </c>
      <c r="B212" s="284">
        <f t="shared" si="12"/>
        <v>25937500</v>
      </c>
      <c r="C212" s="285">
        <f t="shared" si="13"/>
        <v>7032367.5233235899</v>
      </c>
      <c r="D212" s="287">
        <f t="shared" si="20"/>
        <v>17637500</v>
      </c>
      <c r="E212" s="285">
        <f t="shared" si="14"/>
        <v>16259117.051083591</v>
      </c>
      <c r="F212" s="288">
        <f t="shared" si="18"/>
        <v>13306557.202200415</v>
      </c>
      <c r="G212" s="283"/>
      <c r="H212" s="289">
        <f t="shared" si="15"/>
        <v>30000000</v>
      </c>
      <c r="I212" s="285">
        <f t="shared" si="16"/>
        <v>7556679.2002747087</v>
      </c>
      <c r="J212" s="287">
        <f t="shared" si="21"/>
        <v>20400000</v>
      </c>
      <c r="K212" s="287">
        <f t="shared" si="17"/>
        <v>17773897.79227471</v>
      </c>
      <c r="L212" s="288">
        <f t="shared" si="19"/>
        <v>14504387.842834713</v>
      </c>
    </row>
    <row r="213" spans="1:12" ht="15" x14ac:dyDescent="0.2">
      <c r="A213" s="283">
        <v>0.69</v>
      </c>
      <c r="B213" s="284">
        <f t="shared" si="12"/>
        <v>25937500</v>
      </c>
      <c r="C213" s="285">
        <f t="shared" si="13"/>
        <v>7032367.5233235899</v>
      </c>
      <c r="D213" s="287">
        <f t="shared" si="20"/>
        <v>17896875</v>
      </c>
      <c r="E213" s="285">
        <f t="shared" si="14"/>
        <v>16259117.051083591</v>
      </c>
      <c r="F213" s="288">
        <f t="shared" si="18"/>
        <v>13398824.697478015</v>
      </c>
      <c r="G213" s="283"/>
      <c r="H213" s="289">
        <f t="shared" si="15"/>
        <v>30000000</v>
      </c>
      <c r="I213" s="285">
        <f t="shared" si="16"/>
        <v>7556679.2002747087</v>
      </c>
      <c r="J213" s="287">
        <f t="shared" si="21"/>
        <v>20700000</v>
      </c>
      <c r="K213" s="287">
        <f t="shared" si="17"/>
        <v>17773897.79227471</v>
      </c>
      <c r="L213" s="288">
        <f t="shared" si="19"/>
        <v>14606560.028754713</v>
      </c>
    </row>
    <row r="214" spans="1:12" ht="15" x14ac:dyDescent="0.2">
      <c r="A214" s="283">
        <v>0.7</v>
      </c>
      <c r="B214" s="284">
        <f t="shared" si="12"/>
        <v>25937500</v>
      </c>
      <c r="C214" s="285">
        <f t="shared" si="13"/>
        <v>7032367.5233235899</v>
      </c>
      <c r="D214" s="287">
        <f t="shared" si="20"/>
        <v>18156250</v>
      </c>
      <c r="E214" s="285">
        <f t="shared" si="14"/>
        <v>16259117.051083591</v>
      </c>
      <c r="F214" s="288">
        <f t="shared" si="18"/>
        <v>13491092.192755615</v>
      </c>
      <c r="G214" s="283"/>
      <c r="H214" s="289">
        <f t="shared" si="15"/>
        <v>30000000</v>
      </c>
      <c r="I214" s="285">
        <f t="shared" si="16"/>
        <v>7556679.2002747087</v>
      </c>
      <c r="J214" s="287">
        <f t="shared" si="21"/>
        <v>21000000</v>
      </c>
      <c r="K214" s="287">
        <f t="shared" si="17"/>
        <v>17773897.79227471</v>
      </c>
      <c r="L214" s="288">
        <f t="shared" si="19"/>
        <v>14708732.214674713</v>
      </c>
    </row>
    <row r="215" spans="1:12" ht="15" x14ac:dyDescent="0.2">
      <c r="A215" s="283">
        <v>0.71</v>
      </c>
      <c r="B215" s="284">
        <f t="shared" si="12"/>
        <v>25937500</v>
      </c>
      <c r="C215" s="285">
        <f t="shared" si="13"/>
        <v>7032367.5233235899</v>
      </c>
      <c r="D215" s="287">
        <f t="shared" si="20"/>
        <v>18415625</v>
      </c>
      <c r="E215" s="285">
        <f t="shared" si="14"/>
        <v>16259117.051083591</v>
      </c>
      <c r="F215" s="288">
        <f t="shared" si="18"/>
        <v>13583359.688033216</v>
      </c>
      <c r="G215" s="283"/>
      <c r="H215" s="289">
        <f t="shared" si="15"/>
        <v>30000000</v>
      </c>
      <c r="I215" s="285">
        <f t="shared" si="16"/>
        <v>7556679.2002747087</v>
      </c>
      <c r="J215" s="287">
        <f t="shared" si="21"/>
        <v>21300000</v>
      </c>
      <c r="K215" s="287">
        <f t="shared" si="17"/>
        <v>17773897.79227471</v>
      </c>
      <c r="L215" s="288">
        <f t="shared" si="19"/>
        <v>14810904.400594713</v>
      </c>
    </row>
    <row r="216" spans="1:12" ht="15" x14ac:dyDescent="0.2">
      <c r="A216" s="283">
        <v>0.72</v>
      </c>
      <c r="B216" s="284">
        <f t="shared" si="12"/>
        <v>25937500</v>
      </c>
      <c r="C216" s="285">
        <f t="shared" si="13"/>
        <v>7032367.5233235899</v>
      </c>
      <c r="D216" s="287">
        <f t="shared" si="20"/>
        <v>18675000</v>
      </c>
      <c r="E216" s="285">
        <f t="shared" si="14"/>
        <v>16259117.051083591</v>
      </c>
      <c r="F216" s="288">
        <f>F215+$I$140</f>
        <v>13675627.183310816</v>
      </c>
      <c r="G216" s="283"/>
      <c r="H216" s="289">
        <f t="shared" si="15"/>
        <v>30000000</v>
      </c>
      <c r="I216" s="285">
        <f t="shared" si="16"/>
        <v>7556679.2002747087</v>
      </c>
      <c r="J216" s="287">
        <f t="shared" si="21"/>
        <v>21600000</v>
      </c>
      <c r="K216" s="287">
        <f t="shared" si="17"/>
        <v>17773897.79227471</v>
      </c>
      <c r="L216" s="288">
        <f t="shared" si="19"/>
        <v>14913076.586514713</v>
      </c>
    </row>
    <row r="217" spans="1:12" ht="15" x14ac:dyDescent="0.2">
      <c r="A217" s="283">
        <v>0.73</v>
      </c>
      <c r="B217" s="284">
        <f t="shared" si="12"/>
        <v>25937500</v>
      </c>
      <c r="C217" s="285">
        <f t="shared" si="13"/>
        <v>7032367.5233235899</v>
      </c>
      <c r="D217" s="287">
        <f t="shared" si="20"/>
        <v>18934375</v>
      </c>
      <c r="E217" s="285">
        <f t="shared" si="14"/>
        <v>16259117.051083591</v>
      </c>
      <c r="F217" s="288">
        <f t="shared" ref="F217:F240" si="22">F216+$I$140</f>
        <v>13767894.678588416</v>
      </c>
      <c r="G217" s="283"/>
      <c r="H217" s="289">
        <f t="shared" si="15"/>
        <v>30000000</v>
      </c>
      <c r="I217" s="285">
        <f t="shared" si="16"/>
        <v>7556679.2002747087</v>
      </c>
      <c r="J217" s="287">
        <f t="shared" si="21"/>
        <v>21900000</v>
      </c>
      <c r="K217" s="287">
        <f t="shared" si="17"/>
        <v>17773897.79227471</v>
      </c>
      <c r="L217" s="288">
        <f t="shared" si="19"/>
        <v>15015248.772434713</v>
      </c>
    </row>
    <row r="218" spans="1:12" ht="15" x14ac:dyDescent="0.2">
      <c r="A218" s="283">
        <v>0.74</v>
      </c>
      <c r="B218" s="284">
        <f t="shared" si="12"/>
        <v>25937500</v>
      </c>
      <c r="C218" s="285">
        <f t="shared" si="13"/>
        <v>7032367.5233235899</v>
      </c>
      <c r="D218" s="287">
        <f t="shared" si="20"/>
        <v>19193750</v>
      </c>
      <c r="E218" s="285">
        <f t="shared" si="14"/>
        <v>16259117.051083591</v>
      </c>
      <c r="F218" s="288">
        <f t="shared" si="22"/>
        <v>13860162.173866017</v>
      </c>
      <c r="G218" s="283"/>
      <c r="H218" s="289">
        <f t="shared" si="15"/>
        <v>30000000</v>
      </c>
      <c r="I218" s="285">
        <f t="shared" si="16"/>
        <v>7556679.2002747087</v>
      </c>
      <c r="J218" s="287">
        <f t="shared" si="21"/>
        <v>22200000</v>
      </c>
      <c r="K218" s="287">
        <f t="shared" si="17"/>
        <v>17773897.79227471</v>
      </c>
      <c r="L218" s="288">
        <f t="shared" si="19"/>
        <v>15117420.958354713</v>
      </c>
    </row>
    <row r="219" spans="1:12" ht="15" x14ac:dyDescent="0.2">
      <c r="A219" s="283">
        <v>0.75</v>
      </c>
      <c r="B219" s="284">
        <f t="shared" si="12"/>
        <v>25937500</v>
      </c>
      <c r="C219" s="285">
        <f t="shared" si="13"/>
        <v>7032367.5233235899</v>
      </c>
      <c r="D219" s="287">
        <f t="shared" si="20"/>
        <v>19453125</v>
      </c>
      <c r="E219" s="285">
        <f t="shared" si="14"/>
        <v>16259117.051083591</v>
      </c>
      <c r="F219" s="288">
        <f t="shared" si="22"/>
        <v>13952429.669143617</v>
      </c>
      <c r="G219" s="283"/>
      <c r="H219" s="289">
        <f t="shared" si="15"/>
        <v>30000000</v>
      </c>
      <c r="I219" s="285">
        <f t="shared" si="16"/>
        <v>7556679.2002747087</v>
      </c>
      <c r="J219" s="287">
        <f t="shared" si="21"/>
        <v>22500000</v>
      </c>
      <c r="K219" s="287">
        <f t="shared" si="17"/>
        <v>17773897.79227471</v>
      </c>
      <c r="L219" s="288">
        <f t="shared" si="19"/>
        <v>15219593.144274713</v>
      </c>
    </row>
    <row r="220" spans="1:12" ht="15" x14ac:dyDescent="0.2">
      <c r="A220" s="283">
        <v>0.76</v>
      </c>
      <c r="B220" s="284">
        <f t="shared" si="12"/>
        <v>25937500</v>
      </c>
      <c r="C220" s="285">
        <f t="shared" si="13"/>
        <v>7032367.5233235899</v>
      </c>
      <c r="D220" s="287">
        <f t="shared" si="20"/>
        <v>19712500</v>
      </c>
      <c r="E220" s="285">
        <f t="shared" si="14"/>
        <v>16259117.051083591</v>
      </c>
      <c r="F220" s="288">
        <f t="shared" si="22"/>
        <v>14044697.164421218</v>
      </c>
      <c r="G220" s="283"/>
      <c r="H220" s="289">
        <f t="shared" si="15"/>
        <v>30000000</v>
      </c>
      <c r="I220" s="285">
        <f t="shared" si="16"/>
        <v>7556679.2002747087</v>
      </c>
      <c r="J220" s="287">
        <f t="shared" si="21"/>
        <v>22800000</v>
      </c>
      <c r="K220" s="287">
        <f t="shared" si="17"/>
        <v>17773897.79227471</v>
      </c>
      <c r="L220" s="288">
        <f t="shared" si="19"/>
        <v>15321765.330194714</v>
      </c>
    </row>
    <row r="221" spans="1:12" ht="15" x14ac:dyDescent="0.2">
      <c r="A221" s="283">
        <v>0.77</v>
      </c>
      <c r="B221" s="284">
        <f t="shared" si="12"/>
        <v>25937500</v>
      </c>
      <c r="C221" s="285">
        <f t="shared" si="13"/>
        <v>7032367.5233235899</v>
      </c>
      <c r="D221" s="287">
        <f t="shared" si="20"/>
        <v>19971875</v>
      </c>
      <c r="E221" s="285">
        <f t="shared" si="14"/>
        <v>16259117.051083591</v>
      </c>
      <c r="F221" s="288">
        <f t="shared" si="22"/>
        <v>14136964.659698818</v>
      </c>
      <c r="G221" s="283"/>
      <c r="H221" s="289">
        <f t="shared" si="15"/>
        <v>30000000</v>
      </c>
      <c r="I221" s="285">
        <f t="shared" si="16"/>
        <v>7556679.2002747087</v>
      </c>
      <c r="J221" s="287">
        <f t="shared" si="21"/>
        <v>23100000</v>
      </c>
      <c r="K221" s="287">
        <f t="shared" si="17"/>
        <v>17773897.79227471</v>
      </c>
      <c r="L221" s="288">
        <f t="shared" si="19"/>
        <v>15423937.516114714</v>
      </c>
    </row>
    <row r="222" spans="1:12" ht="15" x14ac:dyDescent="0.2">
      <c r="A222" s="283">
        <v>0.78</v>
      </c>
      <c r="B222" s="284">
        <f t="shared" si="12"/>
        <v>25937500</v>
      </c>
      <c r="C222" s="285">
        <f t="shared" si="13"/>
        <v>7032367.5233235899</v>
      </c>
      <c r="D222" s="287">
        <f t="shared" si="20"/>
        <v>20231250</v>
      </c>
      <c r="E222" s="285">
        <f t="shared" si="14"/>
        <v>16259117.051083591</v>
      </c>
      <c r="F222" s="288">
        <f t="shared" si="22"/>
        <v>14229232.154976418</v>
      </c>
      <c r="G222" s="283"/>
      <c r="H222" s="289">
        <f t="shared" si="15"/>
        <v>30000000</v>
      </c>
      <c r="I222" s="285">
        <f t="shared" si="16"/>
        <v>7556679.2002747087</v>
      </c>
      <c r="J222" s="287">
        <f t="shared" si="21"/>
        <v>23400000</v>
      </c>
      <c r="K222" s="287">
        <f t="shared" si="17"/>
        <v>17773897.79227471</v>
      </c>
      <c r="L222" s="288">
        <f t="shared" si="19"/>
        <v>15526109.702034714</v>
      </c>
    </row>
    <row r="223" spans="1:12" ht="15" x14ac:dyDescent="0.2">
      <c r="A223" s="283">
        <v>0.79</v>
      </c>
      <c r="B223" s="284">
        <f t="shared" si="12"/>
        <v>25937500</v>
      </c>
      <c r="C223" s="285">
        <f t="shared" si="13"/>
        <v>7032367.5233235899</v>
      </c>
      <c r="D223" s="287">
        <f t="shared" si="20"/>
        <v>20490625</v>
      </c>
      <c r="E223" s="285">
        <f t="shared" si="14"/>
        <v>16259117.051083591</v>
      </c>
      <c r="F223" s="288">
        <f t="shared" si="22"/>
        <v>14321499.650254019</v>
      </c>
      <c r="G223" s="283"/>
      <c r="H223" s="289">
        <f t="shared" si="15"/>
        <v>30000000</v>
      </c>
      <c r="I223" s="285">
        <f t="shared" si="16"/>
        <v>7556679.2002747087</v>
      </c>
      <c r="J223" s="287">
        <f t="shared" si="21"/>
        <v>23700000</v>
      </c>
      <c r="K223" s="287">
        <f t="shared" si="17"/>
        <v>17773897.79227471</v>
      </c>
      <c r="L223" s="288">
        <f t="shared" si="19"/>
        <v>15628281.887954714</v>
      </c>
    </row>
    <row r="224" spans="1:12" ht="15" x14ac:dyDescent="0.2">
      <c r="A224" s="283">
        <v>0.8</v>
      </c>
      <c r="B224" s="284">
        <f t="shared" si="12"/>
        <v>25937500</v>
      </c>
      <c r="C224" s="285">
        <f t="shared" si="13"/>
        <v>7032367.5233235899</v>
      </c>
      <c r="D224" s="287">
        <f t="shared" si="20"/>
        <v>20750000</v>
      </c>
      <c r="E224" s="285">
        <f t="shared" si="14"/>
        <v>16259117.051083591</v>
      </c>
      <c r="F224" s="288">
        <f t="shared" si="22"/>
        <v>14413767.145531619</v>
      </c>
      <c r="G224" s="283"/>
      <c r="H224" s="289">
        <f t="shared" si="15"/>
        <v>30000000</v>
      </c>
      <c r="I224" s="285">
        <f t="shared" si="16"/>
        <v>7556679.2002747087</v>
      </c>
      <c r="J224" s="287">
        <f t="shared" si="21"/>
        <v>24000000</v>
      </c>
      <c r="K224" s="287">
        <f t="shared" si="17"/>
        <v>17773897.79227471</v>
      </c>
      <c r="L224" s="288">
        <f t="shared" si="19"/>
        <v>15730454.073874714</v>
      </c>
    </row>
    <row r="225" spans="1:12" ht="15" x14ac:dyDescent="0.2">
      <c r="A225" s="283">
        <v>0.81</v>
      </c>
      <c r="B225" s="284">
        <f t="shared" si="12"/>
        <v>25937500</v>
      </c>
      <c r="C225" s="285">
        <f t="shared" si="13"/>
        <v>7032367.5233235899</v>
      </c>
      <c r="D225" s="287">
        <f t="shared" si="20"/>
        <v>21009375</v>
      </c>
      <c r="E225" s="285">
        <f t="shared" si="14"/>
        <v>16259117.051083591</v>
      </c>
      <c r="F225" s="288">
        <f t="shared" si="22"/>
        <v>14506034.640809219</v>
      </c>
      <c r="G225" s="283"/>
      <c r="H225" s="289">
        <f t="shared" si="15"/>
        <v>30000000</v>
      </c>
      <c r="I225" s="285">
        <f t="shared" si="16"/>
        <v>7556679.2002747087</v>
      </c>
      <c r="J225" s="287">
        <f t="shared" si="21"/>
        <v>24300000</v>
      </c>
      <c r="K225" s="287">
        <f t="shared" si="17"/>
        <v>17773897.79227471</v>
      </c>
      <c r="L225" s="288">
        <f t="shared" si="19"/>
        <v>15832626.259794714</v>
      </c>
    </row>
    <row r="226" spans="1:12" ht="15" x14ac:dyDescent="0.2">
      <c r="A226" s="283">
        <v>0.82</v>
      </c>
      <c r="B226" s="284">
        <f t="shared" si="12"/>
        <v>25937500</v>
      </c>
      <c r="C226" s="285">
        <f t="shared" si="13"/>
        <v>7032367.5233235899</v>
      </c>
      <c r="D226" s="287">
        <f t="shared" si="20"/>
        <v>21268750</v>
      </c>
      <c r="E226" s="285">
        <f t="shared" si="14"/>
        <v>16259117.051083591</v>
      </c>
      <c r="F226" s="288">
        <f t="shared" si="22"/>
        <v>14598302.13608682</v>
      </c>
      <c r="G226" s="283"/>
      <c r="H226" s="289">
        <f t="shared" si="15"/>
        <v>30000000</v>
      </c>
      <c r="I226" s="285">
        <f t="shared" si="16"/>
        <v>7556679.2002747087</v>
      </c>
      <c r="J226" s="287">
        <f t="shared" si="21"/>
        <v>24600000</v>
      </c>
      <c r="K226" s="287">
        <f t="shared" si="17"/>
        <v>17773897.79227471</v>
      </c>
      <c r="L226" s="288">
        <f t="shared" si="19"/>
        <v>15934798.445714714</v>
      </c>
    </row>
    <row r="227" spans="1:12" ht="15" x14ac:dyDescent="0.2">
      <c r="A227" s="283">
        <v>0.83</v>
      </c>
      <c r="B227" s="284">
        <f t="shared" si="12"/>
        <v>25937500</v>
      </c>
      <c r="C227" s="285">
        <f t="shared" si="13"/>
        <v>7032367.5233235899</v>
      </c>
      <c r="D227" s="287">
        <f t="shared" si="20"/>
        <v>21528125</v>
      </c>
      <c r="E227" s="285">
        <f t="shared" si="14"/>
        <v>16259117.051083591</v>
      </c>
      <c r="F227" s="288">
        <f t="shared" si="22"/>
        <v>14690569.63136442</v>
      </c>
      <c r="G227" s="283"/>
      <c r="H227" s="289">
        <f t="shared" si="15"/>
        <v>30000000</v>
      </c>
      <c r="I227" s="285">
        <f t="shared" si="16"/>
        <v>7556679.2002747087</v>
      </c>
      <c r="J227" s="287">
        <f t="shared" si="21"/>
        <v>24900000</v>
      </c>
      <c r="K227" s="287">
        <f t="shared" si="17"/>
        <v>17773897.79227471</v>
      </c>
      <c r="L227" s="288">
        <f t="shared" si="19"/>
        <v>16036970.631634714</v>
      </c>
    </row>
    <row r="228" spans="1:12" ht="15" x14ac:dyDescent="0.2">
      <c r="A228" s="283">
        <v>0.84</v>
      </c>
      <c r="B228" s="284">
        <f t="shared" si="12"/>
        <v>25937500</v>
      </c>
      <c r="C228" s="285">
        <f t="shared" si="13"/>
        <v>7032367.5233235899</v>
      </c>
      <c r="D228" s="287">
        <f t="shared" si="20"/>
        <v>21787500</v>
      </c>
      <c r="E228" s="285">
        <f t="shared" si="14"/>
        <v>16259117.051083591</v>
      </c>
      <c r="F228" s="288">
        <f t="shared" si="22"/>
        <v>14782837.12664202</v>
      </c>
      <c r="G228" s="283"/>
      <c r="H228" s="289">
        <f t="shared" si="15"/>
        <v>30000000</v>
      </c>
      <c r="I228" s="285">
        <f t="shared" si="16"/>
        <v>7556679.2002747087</v>
      </c>
      <c r="J228" s="287">
        <f t="shared" si="21"/>
        <v>25200000</v>
      </c>
      <c r="K228" s="287">
        <f t="shared" si="17"/>
        <v>17773897.79227471</v>
      </c>
      <c r="L228" s="288">
        <f t="shared" si="19"/>
        <v>16139142.817554714</v>
      </c>
    </row>
    <row r="229" spans="1:12" ht="15" x14ac:dyDescent="0.2">
      <c r="A229" s="283">
        <v>0.85</v>
      </c>
      <c r="B229" s="284">
        <f t="shared" si="12"/>
        <v>25937500</v>
      </c>
      <c r="C229" s="285">
        <f t="shared" si="13"/>
        <v>7032367.5233235899</v>
      </c>
      <c r="D229" s="287">
        <f t="shared" si="20"/>
        <v>22046875</v>
      </c>
      <c r="E229" s="285">
        <f t="shared" si="14"/>
        <v>16259117.051083591</v>
      </c>
      <c r="F229" s="288">
        <f t="shared" si="22"/>
        <v>14875104.621919621</v>
      </c>
      <c r="G229" s="283"/>
      <c r="H229" s="289">
        <f t="shared" si="15"/>
        <v>30000000</v>
      </c>
      <c r="I229" s="285">
        <f t="shared" si="16"/>
        <v>7556679.2002747087</v>
      </c>
      <c r="J229" s="287">
        <f t="shared" si="21"/>
        <v>25500000</v>
      </c>
      <c r="K229" s="287">
        <f t="shared" si="17"/>
        <v>17773897.79227471</v>
      </c>
      <c r="L229" s="288">
        <f t="shared" si="19"/>
        <v>16241315.003474714</v>
      </c>
    </row>
    <row r="230" spans="1:12" ht="15" x14ac:dyDescent="0.2">
      <c r="A230" s="283">
        <v>0.86</v>
      </c>
      <c r="B230" s="284">
        <f t="shared" si="12"/>
        <v>25937500</v>
      </c>
      <c r="C230" s="285">
        <f t="shared" si="13"/>
        <v>7032367.5233235899</v>
      </c>
      <c r="D230" s="287">
        <f t="shared" si="20"/>
        <v>22306250</v>
      </c>
      <c r="E230" s="285">
        <f t="shared" si="14"/>
        <v>16259117.051083591</v>
      </c>
      <c r="F230" s="288">
        <f t="shared" si="22"/>
        <v>14967372.117197221</v>
      </c>
      <c r="G230" s="283"/>
      <c r="H230" s="289">
        <f t="shared" si="15"/>
        <v>30000000</v>
      </c>
      <c r="I230" s="285">
        <f t="shared" si="16"/>
        <v>7556679.2002747087</v>
      </c>
      <c r="J230" s="287">
        <f t="shared" si="21"/>
        <v>25800000</v>
      </c>
      <c r="K230" s="287">
        <f t="shared" si="17"/>
        <v>17773897.79227471</v>
      </c>
      <c r="L230" s="288">
        <f t="shared" si="19"/>
        <v>16343487.189394714</v>
      </c>
    </row>
    <row r="231" spans="1:12" ht="15" x14ac:dyDescent="0.2">
      <c r="A231" s="283">
        <v>0.87</v>
      </c>
      <c r="B231" s="284">
        <f t="shared" si="12"/>
        <v>25937500</v>
      </c>
      <c r="C231" s="285">
        <f t="shared" si="13"/>
        <v>7032367.5233235899</v>
      </c>
      <c r="D231" s="287">
        <f t="shared" si="20"/>
        <v>22565625</v>
      </c>
      <c r="E231" s="285">
        <f t="shared" si="14"/>
        <v>16259117.051083591</v>
      </c>
      <c r="F231" s="288">
        <f t="shared" si="22"/>
        <v>15059639.612474822</v>
      </c>
      <c r="G231" s="283"/>
      <c r="H231" s="289">
        <f t="shared" si="15"/>
        <v>30000000</v>
      </c>
      <c r="I231" s="285">
        <f t="shared" si="16"/>
        <v>7556679.2002747087</v>
      </c>
      <c r="J231" s="287">
        <f t="shared" si="21"/>
        <v>26100000</v>
      </c>
      <c r="K231" s="287">
        <f t="shared" si="17"/>
        <v>17773897.79227471</v>
      </c>
      <c r="L231" s="288">
        <f t="shared" si="19"/>
        <v>16445659.375314714</v>
      </c>
    </row>
    <row r="232" spans="1:12" ht="15" x14ac:dyDescent="0.2">
      <c r="A232" s="283">
        <v>0.88</v>
      </c>
      <c r="B232" s="284">
        <f t="shared" si="12"/>
        <v>25937500</v>
      </c>
      <c r="C232" s="285">
        <f t="shared" si="13"/>
        <v>7032367.5233235899</v>
      </c>
      <c r="D232" s="287">
        <f t="shared" si="20"/>
        <v>22825000</v>
      </c>
      <c r="E232" s="285">
        <f t="shared" si="14"/>
        <v>16259117.051083591</v>
      </c>
      <c r="F232" s="288">
        <f t="shared" si="22"/>
        <v>15151907.107752422</v>
      </c>
      <c r="G232" s="283"/>
      <c r="H232" s="289">
        <f t="shared" si="15"/>
        <v>30000000</v>
      </c>
      <c r="I232" s="285">
        <f t="shared" si="16"/>
        <v>7556679.2002747087</v>
      </c>
      <c r="J232" s="287">
        <f t="shared" si="21"/>
        <v>26400000</v>
      </c>
      <c r="K232" s="287">
        <f t="shared" si="17"/>
        <v>17773897.79227471</v>
      </c>
      <c r="L232" s="288">
        <f t="shared" si="19"/>
        <v>16547831.561234714</v>
      </c>
    </row>
    <row r="233" spans="1:12" ht="15" x14ac:dyDescent="0.2">
      <c r="A233" s="283">
        <v>0.89</v>
      </c>
      <c r="B233" s="284">
        <f t="shared" si="12"/>
        <v>25937500</v>
      </c>
      <c r="C233" s="285">
        <f t="shared" si="13"/>
        <v>7032367.5233235899</v>
      </c>
      <c r="D233" s="287">
        <f t="shared" si="20"/>
        <v>23084375</v>
      </c>
      <c r="E233" s="285">
        <f t="shared" si="14"/>
        <v>16259117.051083591</v>
      </c>
      <c r="F233" s="288">
        <f t="shared" si="22"/>
        <v>15244174.603030022</v>
      </c>
      <c r="G233" s="283"/>
      <c r="H233" s="289">
        <f t="shared" si="15"/>
        <v>30000000</v>
      </c>
      <c r="I233" s="285">
        <f t="shared" si="16"/>
        <v>7556679.2002747087</v>
      </c>
      <c r="J233" s="287">
        <f t="shared" si="21"/>
        <v>26700000</v>
      </c>
      <c r="K233" s="287">
        <f t="shared" si="17"/>
        <v>17773897.79227471</v>
      </c>
      <c r="L233" s="288">
        <f t="shared" si="19"/>
        <v>16650003.747154715</v>
      </c>
    </row>
    <row r="234" spans="1:12" ht="15" x14ac:dyDescent="0.2">
      <c r="A234" s="283">
        <v>0.9</v>
      </c>
      <c r="B234" s="284">
        <f t="shared" si="12"/>
        <v>25937500</v>
      </c>
      <c r="C234" s="285">
        <f t="shared" si="13"/>
        <v>7032367.5233235899</v>
      </c>
      <c r="D234" s="287">
        <f t="shared" si="20"/>
        <v>23343750</v>
      </c>
      <c r="E234" s="285">
        <f t="shared" si="14"/>
        <v>16259117.051083591</v>
      </c>
      <c r="F234" s="288">
        <f t="shared" si="22"/>
        <v>15336442.098307623</v>
      </c>
      <c r="G234" s="283"/>
      <c r="H234" s="289">
        <f t="shared" si="15"/>
        <v>30000000</v>
      </c>
      <c r="I234" s="285">
        <f t="shared" si="16"/>
        <v>7556679.2002747087</v>
      </c>
      <c r="J234" s="287">
        <f t="shared" si="21"/>
        <v>27000000</v>
      </c>
      <c r="K234" s="287">
        <f t="shared" si="17"/>
        <v>17773897.79227471</v>
      </c>
      <c r="L234" s="288">
        <f t="shared" si="19"/>
        <v>16752175.933074715</v>
      </c>
    </row>
    <row r="235" spans="1:12" ht="15" x14ac:dyDescent="0.2">
      <c r="A235" s="283">
        <v>0.91</v>
      </c>
      <c r="B235" s="284">
        <f t="shared" si="12"/>
        <v>25937500</v>
      </c>
      <c r="C235" s="285">
        <f t="shared" si="13"/>
        <v>7032367.5233235899</v>
      </c>
      <c r="D235" s="287">
        <f t="shared" si="20"/>
        <v>23603125</v>
      </c>
      <c r="E235" s="285">
        <f t="shared" si="14"/>
        <v>16259117.051083591</v>
      </c>
      <c r="F235" s="288">
        <f t="shared" si="22"/>
        <v>15428709.593585223</v>
      </c>
      <c r="G235" s="283"/>
      <c r="H235" s="289">
        <f t="shared" si="15"/>
        <v>30000000</v>
      </c>
      <c r="I235" s="285">
        <f t="shared" si="16"/>
        <v>7556679.2002747087</v>
      </c>
      <c r="J235" s="287">
        <f t="shared" si="21"/>
        <v>27300000</v>
      </c>
      <c r="K235" s="287">
        <f t="shared" si="17"/>
        <v>17773897.79227471</v>
      </c>
      <c r="L235" s="288">
        <f t="shared" si="19"/>
        <v>16854348.118994713</v>
      </c>
    </row>
    <row r="236" spans="1:12" ht="15" x14ac:dyDescent="0.2">
      <c r="A236" s="283">
        <v>0.92</v>
      </c>
      <c r="B236" s="284">
        <f t="shared" si="12"/>
        <v>25937500</v>
      </c>
      <c r="C236" s="285">
        <f t="shared" si="13"/>
        <v>7032367.5233235899</v>
      </c>
      <c r="D236" s="287">
        <f t="shared" si="20"/>
        <v>23862500</v>
      </c>
      <c r="E236" s="285">
        <f t="shared" si="14"/>
        <v>16259117.051083591</v>
      </c>
      <c r="F236" s="288">
        <f t="shared" si="22"/>
        <v>15520977.088862823</v>
      </c>
      <c r="G236" s="283"/>
      <c r="H236" s="289">
        <f t="shared" si="15"/>
        <v>30000000</v>
      </c>
      <c r="I236" s="285">
        <f t="shared" si="16"/>
        <v>7556679.2002747087</v>
      </c>
      <c r="J236" s="287">
        <f t="shared" si="21"/>
        <v>27600000</v>
      </c>
      <c r="K236" s="287">
        <f t="shared" si="17"/>
        <v>17773897.79227471</v>
      </c>
      <c r="L236" s="288">
        <f t="shared" si="19"/>
        <v>16956520.304914713</v>
      </c>
    </row>
    <row r="237" spans="1:12" ht="15" x14ac:dyDescent="0.2">
      <c r="A237" s="283">
        <v>0.93</v>
      </c>
      <c r="B237" s="284">
        <f t="shared" si="12"/>
        <v>25937500</v>
      </c>
      <c r="C237" s="285">
        <f t="shared" si="13"/>
        <v>7032367.5233235899</v>
      </c>
      <c r="D237" s="287">
        <f t="shared" si="20"/>
        <v>24121875</v>
      </c>
      <c r="E237" s="285">
        <f t="shared" si="14"/>
        <v>16259117.051083591</v>
      </c>
      <c r="F237" s="288">
        <f t="shared" si="22"/>
        <v>15613244.584140424</v>
      </c>
      <c r="G237" s="283"/>
      <c r="H237" s="289">
        <f t="shared" si="15"/>
        <v>30000000</v>
      </c>
      <c r="I237" s="285">
        <f t="shared" si="16"/>
        <v>7556679.2002747087</v>
      </c>
      <c r="J237" s="287">
        <f t="shared" si="21"/>
        <v>27900000</v>
      </c>
      <c r="K237" s="287">
        <f t="shared" si="17"/>
        <v>17773897.79227471</v>
      </c>
      <c r="L237" s="288">
        <f t="shared" si="19"/>
        <v>17058692.490834713</v>
      </c>
    </row>
    <row r="238" spans="1:12" ht="15" x14ac:dyDescent="0.2">
      <c r="A238" s="283">
        <v>0.94</v>
      </c>
      <c r="B238" s="284">
        <f t="shared" si="12"/>
        <v>25937500</v>
      </c>
      <c r="C238" s="285">
        <f t="shared" si="13"/>
        <v>7032367.5233235899</v>
      </c>
      <c r="D238" s="287">
        <f t="shared" si="20"/>
        <v>24381250</v>
      </c>
      <c r="E238" s="285">
        <f t="shared" si="14"/>
        <v>16259117.051083591</v>
      </c>
      <c r="F238" s="288">
        <f t="shared" si="22"/>
        <v>15705512.079418024</v>
      </c>
      <c r="G238" s="283"/>
      <c r="H238" s="289">
        <f t="shared" si="15"/>
        <v>30000000</v>
      </c>
      <c r="I238" s="285">
        <f t="shared" si="16"/>
        <v>7556679.2002747087</v>
      </c>
      <c r="J238" s="287">
        <f t="shared" si="21"/>
        <v>28200000</v>
      </c>
      <c r="K238" s="287">
        <f t="shared" si="17"/>
        <v>17773897.79227471</v>
      </c>
      <c r="L238" s="288">
        <f t="shared" si="19"/>
        <v>17160864.676754713</v>
      </c>
    </row>
    <row r="239" spans="1:12" ht="15" x14ac:dyDescent="0.2">
      <c r="A239" s="283">
        <v>0.95</v>
      </c>
      <c r="B239" s="284">
        <f t="shared" si="12"/>
        <v>25937500</v>
      </c>
      <c r="C239" s="285">
        <f t="shared" si="13"/>
        <v>7032367.5233235899</v>
      </c>
      <c r="D239" s="287">
        <f t="shared" si="20"/>
        <v>24640625</v>
      </c>
      <c r="E239" s="285">
        <f t="shared" si="14"/>
        <v>16259117.051083591</v>
      </c>
      <c r="F239" s="288">
        <f t="shared" si="22"/>
        <v>15797779.574695624</v>
      </c>
      <c r="G239" s="283"/>
      <c r="H239" s="289">
        <f t="shared" si="15"/>
        <v>30000000</v>
      </c>
      <c r="I239" s="285">
        <f t="shared" si="16"/>
        <v>7556679.2002747087</v>
      </c>
      <c r="J239" s="287">
        <f t="shared" si="21"/>
        <v>28500000</v>
      </c>
      <c r="K239" s="287">
        <f t="shared" si="17"/>
        <v>17773897.79227471</v>
      </c>
      <c r="L239" s="288">
        <f t="shared" si="19"/>
        <v>17263036.862674713</v>
      </c>
    </row>
    <row r="240" spans="1:12" ht="15" x14ac:dyDescent="0.2">
      <c r="A240" s="283">
        <v>0.96</v>
      </c>
      <c r="B240" s="284">
        <f t="shared" si="12"/>
        <v>25937500</v>
      </c>
      <c r="C240" s="285">
        <f t="shared" si="13"/>
        <v>7032367.5233235899</v>
      </c>
      <c r="D240" s="287">
        <f t="shared" si="20"/>
        <v>24900000</v>
      </c>
      <c r="E240" s="285">
        <f t="shared" si="14"/>
        <v>16259117.051083591</v>
      </c>
      <c r="F240" s="288">
        <f t="shared" si="22"/>
        <v>15890047.069973225</v>
      </c>
      <c r="G240" s="283"/>
      <c r="H240" s="289">
        <f t="shared" si="15"/>
        <v>30000000</v>
      </c>
      <c r="I240" s="285">
        <f t="shared" si="16"/>
        <v>7556679.2002747087</v>
      </c>
      <c r="J240" s="287">
        <f t="shared" si="21"/>
        <v>28800000</v>
      </c>
      <c r="K240" s="287">
        <f t="shared" si="17"/>
        <v>17773897.79227471</v>
      </c>
      <c r="L240" s="288">
        <f t="shared" si="19"/>
        <v>17365209.048594713</v>
      </c>
    </row>
    <row r="241" spans="1:12" ht="15" x14ac:dyDescent="0.2">
      <c r="A241" s="283">
        <v>0.97</v>
      </c>
      <c r="B241" s="284">
        <f t="shared" si="12"/>
        <v>25937500</v>
      </c>
      <c r="C241" s="285">
        <f t="shared" si="13"/>
        <v>7032367.5233235899</v>
      </c>
      <c r="D241" s="287">
        <f t="shared" si="20"/>
        <v>25159375</v>
      </c>
      <c r="E241" s="285">
        <f t="shared" si="14"/>
        <v>16259117.051083591</v>
      </c>
      <c r="F241" s="288">
        <f>F240+$I$140</f>
        <v>15982314.565250825</v>
      </c>
      <c r="G241" s="283"/>
      <c r="H241" s="289">
        <f t="shared" si="15"/>
        <v>30000000</v>
      </c>
      <c r="I241" s="285">
        <f t="shared" si="16"/>
        <v>7556679.2002747087</v>
      </c>
      <c r="J241" s="287">
        <f t="shared" si="21"/>
        <v>29100000</v>
      </c>
      <c r="K241" s="287">
        <f t="shared" si="17"/>
        <v>17773897.79227471</v>
      </c>
      <c r="L241" s="288">
        <f t="shared" si="19"/>
        <v>17467381.234514713</v>
      </c>
    </row>
    <row r="242" spans="1:12" ht="15" x14ac:dyDescent="0.2">
      <c r="A242" s="283">
        <v>0.98</v>
      </c>
      <c r="B242" s="284">
        <f t="shared" si="12"/>
        <v>25937500</v>
      </c>
      <c r="C242" s="285">
        <f t="shared" si="13"/>
        <v>7032367.5233235899</v>
      </c>
      <c r="D242" s="287">
        <f t="shared" si="20"/>
        <v>25418750</v>
      </c>
      <c r="E242" s="285">
        <f t="shared" si="14"/>
        <v>16259117.051083591</v>
      </c>
      <c r="F242" s="288">
        <f>F241+$I$140</f>
        <v>16074582.060528425</v>
      </c>
      <c r="G242" s="283"/>
      <c r="H242" s="289">
        <f t="shared" si="15"/>
        <v>30000000</v>
      </c>
      <c r="I242" s="285">
        <f t="shared" si="16"/>
        <v>7556679.2002747087</v>
      </c>
      <c r="J242" s="287">
        <f t="shared" si="21"/>
        <v>29400000</v>
      </c>
      <c r="K242" s="287">
        <f t="shared" si="17"/>
        <v>17773897.79227471</v>
      </c>
      <c r="L242" s="288">
        <f t="shared" si="19"/>
        <v>17569553.420434713</v>
      </c>
    </row>
    <row r="243" spans="1:12" ht="15" x14ac:dyDescent="0.2">
      <c r="A243" s="283">
        <v>0.99</v>
      </c>
      <c r="B243" s="284">
        <f t="shared" si="12"/>
        <v>25937500</v>
      </c>
      <c r="C243" s="285">
        <f t="shared" si="13"/>
        <v>7032367.5233235899</v>
      </c>
      <c r="D243" s="287">
        <f t="shared" si="20"/>
        <v>25678125</v>
      </c>
      <c r="E243" s="285">
        <f t="shared" si="14"/>
        <v>16259117.051083591</v>
      </c>
      <c r="F243" s="288">
        <f>F242+$I$140</f>
        <v>16166849.555806026</v>
      </c>
      <c r="G243" s="283"/>
      <c r="H243" s="289">
        <f t="shared" si="15"/>
        <v>30000000</v>
      </c>
      <c r="I243" s="285">
        <f t="shared" si="16"/>
        <v>7556679.2002747087</v>
      </c>
      <c r="J243" s="287">
        <f t="shared" si="21"/>
        <v>29700000</v>
      </c>
      <c r="K243" s="287">
        <f t="shared" si="17"/>
        <v>17773897.79227471</v>
      </c>
      <c r="L243" s="288">
        <f t="shared" si="19"/>
        <v>17671725.606354713</v>
      </c>
    </row>
    <row r="244" spans="1:12" ht="15.75" thickBot="1" x14ac:dyDescent="0.25">
      <c r="A244" s="283">
        <v>1</v>
      </c>
      <c r="B244" s="290">
        <f t="shared" si="12"/>
        <v>25937500</v>
      </c>
      <c r="C244" s="291">
        <f t="shared" si="13"/>
        <v>7032367.5233235899</v>
      </c>
      <c r="D244" s="292">
        <f t="shared" si="20"/>
        <v>25937500</v>
      </c>
      <c r="E244" s="291">
        <f t="shared" si="14"/>
        <v>16259117.051083591</v>
      </c>
      <c r="F244" s="293">
        <f>F243+$I$140</f>
        <v>16259117.051083626</v>
      </c>
      <c r="G244" s="283"/>
      <c r="H244" s="294">
        <f t="shared" si="15"/>
        <v>30000000</v>
      </c>
      <c r="I244" s="291">
        <f t="shared" si="16"/>
        <v>7556679.2002747087</v>
      </c>
      <c r="J244" s="292">
        <f t="shared" si="21"/>
        <v>30000000</v>
      </c>
      <c r="K244" s="292">
        <f t="shared" si="17"/>
        <v>17773897.79227471</v>
      </c>
      <c r="L244" s="293">
        <f t="shared" si="19"/>
        <v>17773897.792274714</v>
      </c>
    </row>
    <row r="245" spans="1:12" ht="15" x14ac:dyDescent="0.2">
      <c r="A245" s="276"/>
      <c r="B245" s="276"/>
      <c r="C245" s="276"/>
      <c r="D245" s="276"/>
      <c r="E245" s="276"/>
      <c r="F245" s="276"/>
      <c r="G245" s="276"/>
      <c r="H245" s="276"/>
      <c r="I245" s="276"/>
      <c r="J245" s="276"/>
      <c r="K245" s="276"/>
      <c r="L245" s="276"/>
    </row>
    <row r="247" spans="1:12" x14ac:dyDescent="0.2">
      <c r="C247" s="304"/>
      <c r="D247" s="304"/>
    </row>
  </sheetData>
  <sheetProtection selectLockedCells="1" selectUnlockedCells="1"/>
  <mergeCells count="9">
    <mergeCell ref="A4:F4"/>
    <mergeCell ref="A22:G22"/>
    <mergeCell ref="B67:F67"/>
    <mergeCell ref="H139:K139"/>
    <mergeCell ref="A5:F5"/>
    <mergeCell ref="I100:J100"/>
    <mergeCell ref="I101:J101"/>
    <mergeCell ref="I102:J102"/>
    <mergeCell ref="I103:J103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ignoredErrors>
    <ignoredError sqref="B69:F72 B74:F78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8"/>
  <sheetViews>
    <sheetView zoomScale="70" zoomScaleNormal="70" workbookViewId="0">
      <selection activeCell="H22" sqref="H22"/>
    </sheetView>
  </sheetViews>
  <sheetFormatPr baseColWidth="10" defaultRowHeight="12.75" x14ac:dyDescent="0.2"/>
  <cols>
    <col min="1" max="1" width="45.5703125" style="7" customWidth="1"/>
    <col min="2" max="2" width="19.28515625" style="7" customWidth="1"/>
    <col min="3" max="3" width="24.7109375" style="7" customWidth="1"/>
    <col min="4" max="4" width="22.42578125" style="7" customWidth="1"/>
    <col min="5" max="5" width="24.140625" style="7" customWidth="1"/>
    <col min="6" max="6" width="17.28515625" style="7" customWidth="1"/>
    <col min="7" max="7" width="22" style="7" customWidth="1"/>
    <col min="8" max="8" width="17.42578125" style="7" customWidth="1"/>
    <col min="9" max="9" width="17" style="7" customWidth="1"/>
    <col min="10" max="10" width="11.42578125" style="7"/>
    <col min="11" max="11" width="13.7109375" style="7" customWidth="1"/>
    <col min="12" max="16384" width="11.42578125" style="7"/>
  </cols>
  <sheetData>
    <row r="1" spans="1:12" ht="15" x14ac:dyDescent="0.2">
      <c r="A1" s="1" t="s">
        <v>0</v>
      </c>
      <c r="B1"/>
      <c r="C1"/>
      <c r="D1"/>
      <c r="E1" s="2">
        <f>InfoInicial!E1</f>
        <v>8</v>
      </c>
      <c r="I1" s="272"/>
      <c r="J1" s="272"/>
      <c r="K1" s="272"/>
    </row>
    <row r="2" spans="1:12" ht="15" x14ac:dyDescent="0.2">
      <c r="A2" s="1"/>
      <c r="B2"/>
      <c r="C2"/>
      <c r="D2"/>
      <c r="E2" s="43"/>
      <c r="I2" s="272"/>
      <c r="J2" s="272"/>
      <c r="K2" s="272"/>
    </row>
    <row r="3" spans="1:12" ht="15.75" x14ac:dyDescent="0.25">
      <c r="A3" s="964" t="s">
        <v>161</v>
      </c>
      <c r="B3" s="964"/>
      <c r="C3" s="964"/>
      <c r="D3" s="964"/>
      <c r="E3" s="964"/>
      <c r="F3" s="964"/>
      <c r="G3" s="964"/>
      <c r="I3" s="272"/>
      <c r="J3" s="273" t="s">
        <v>715</v>
      </c>
      <c r="K3" s="272"/>
    </row>
    <row r="4" spans="1:12" ht="15" x14ac:dyDescent="0.2">
      <c r="A4" s="969" t="s">
        <v>88</v>
      </c>
      <c r="B4" s="969" t="s">
        <v>47</v>
      </c>
      <c r="C4" s="969" t="s">
        <v>48</v>
      </c>
      <c r="D4" s="969" t="s">
        <v>89</v>
      </c>
      <c r="E4" s="969" t="s">
        <v>90</v>
      </c>
      <c r="F4" s="969" t="s">
        <v>91</v>
      </c>
      <c r="G4" s="969" t="s">
        <v>92</v>
      </c>
      <c r="I4" s="272"/>
      <c r="J4" s="272"/>
      <c r="K4" s="272"/>
    </row>
    <row r="5" spans="1:12" ht="15" x14ac:dyDescent="0.2">
      <c r="A5" s="970" t="s">
        <v>162</v>
      </c>
      <c r="B5" s="1081"/>
      <c r="C5" s="1081"/>
      <c r="D5" s="1081"/>
      <c r="E5" s="1081"/>
      <c r="F5" s="1081"/>
      <c r="G5" s="1081"/>
      <c r="I5" s="272"/>
      <c r="J5" s="272"/>
      <c r="K5" s="272"/>
    </row>
    <row r="6" spans="1:12" ht="15.75" x14ac:dyDescent="0.25">
      <c r="A6" s="970" t="s">
        <v>163</v>
      </c>
      <c r="B6" s="1082">
        <f>'ACT TRABAJO'!B13</f>
        <v>540000</v>
      </c>
      <c r="C6" s="1082">
        <f>'ACT TRABAJO'!B14</f>
        <v>900000</v>
      </c>
      <c r="D6" s="1082">
        <f>'ACT TRABAJO'!$B$15</f>
        <v>900000</v>
      </c>
      <c r="E6" s="1082">
        <f>'ACT TRABAJO'!$B$15</f>
        <v>900000</v>
      </c>
      <c r="F6" s="1082">
        <f>'ACT TRABAJO'!$B$15</f>
        <v>900000</v>
      </c>
      <c r="G6" s="1082">
        <f>'ACT TRABAJO'!$B$15</f>
        <v>900000</v>
      </c>
      <c r="I6" s="272"/>
      <c r="J6" s="272"/>
      <c r="K6" s="272"/>
    </row>
    <row r="7" spans="1:12" ht="15.75" x14ac:dyDescent="0.25">
      <c r="A7" s="970" t="s">
        <v>164</v>
      </c>
      <c r="B7" s="1082">
        <v>0</v>
      </c>
      <c r="C7" s="1082">
        <f>'ACT TRABAJO'!B20</f>
        <v>2131849.3150684931</v>
      </c>
      <c r="D7" s="1082">
        <f>'ACT TRABAJO'!$B$21</f>
        <v>2500000</v>
      </c>
      <c r="E7" s="1082">
        <f>'ACT TRABAJO'!$B$21</f>
        <v>2500000</v>
      </c>
      <c r="F7" s="1082">
        <f>'ACT TRABAJO'!$B$21</f>
        <v>2500000</v>
      </c>
      <c r="G7" s="1082">
        <f>'ACT TRABAJO'!$B$21</f>
        <v>2500000</v>
      </c>
      <c r="I7" s="1058" t="s">
        <v>708</v>
      </c>
      <c r="J7" s="1058"/>
      <c r="K7" s="921" t="s">
        <v>717</v>
      </c>
    </row>
    <row r="8" spans="1:12" ht="15" x14ac:dyDescent="0.2">
      <c r="A8" s="907"/>
      <c r="B8" s="1083"/>
      <c r="C8" s="1083"/>
      <c r="D8" s="1083"/>
      <c r="E8" s="1083"/>
      <c r="F8" s="1083"/>
      <c r="G8" s="1083"/>
      <c r="I8" s="1058"/>
      <c r="J8" s="1058"/>
      <c r="K8" s="921"/>
    </row>
    <row r="9" spans="1:12" ht="15.75" x14ac:dyDescent="0.25">
      <c r="A9" s="970" t="s">
        <v>165</v>
      </c>
      <c r="B9" s="1084">
        <f t="shared" ref="B9:G9" si="0">SUM(B10:B13)</f>
        <v>1221344.8677895756</v>
      </c>
      <c r="C9" s="1084">
        <f>SUM(C10:C13)</f>
        <v>5054603.6721266033</v>
      </c>
      <c r="D9" s="1084">
        <f t="shared" si="0"/>
        <v>5049518.1362811681</v>
      </c>
      <c r="E9" s="1084">
        <f t="shared" si="0"/>
        <v>5049204.9553356022</v>
      </c>
      <c r="F9" s="1084">
        <f t="shared" si="0"/>
        <v>5066698.1719020922</v>
      </c>
      <c r="G9" s="1084">
        <f t="shared" si="0"/>
        <v>5066698.1719020922</v>
      </c>
      <c r="I9" s="931" t="s">
        <v>47</v>
      </c>
      <c r="J9" s="931"/>
      <c r="K9" s="341">
        <v>0</v>
      </c>
      <c r="L9" s="272"/>
    </row>
    <row r="10" spans="1:12" ht="15" x14ac:dyDescent="0.2">
      <c r="A10" s="654" t="s">
        <v>166</v>
      </c>
      <c r="B10" s="1085">
        <f>'ACT TRABAJO'!I32</f>
        <v>1090976</v>
      </c>
      <c r="C10" s="1085">
        <f>'ACT TRABAJO'!$I$42</f>
        <v>4688928</v>
      </c>
      <c r="D10" s="1085">
        <f>'ACT TRABAJO'!$I$42</f>
        <v>4688928</v>
      </c>
      <c r="E10" s="1085">
        <f>'ACT TRABAJO'!$I$42</f>
        <v>4688928</v>
      </c>
      <c r="F10" s="1085">
        <f>'ACT TRABAJO'!$I$42</f>
        <v>4688928</v>
      </c>
      <c r="G10" s="1085">
        <f>'ACT TRABAJO'!$I$42</f>
        <v>4688928</v>
      </c>
      <c r="I10" s="931" t="s">
        <v>48</v>
      </c>
      <c r="J10" s="931"/>
      <c r="K10" s="341">
        <v>6250</v>
      </c>
      <c r="L10" s="272"/>
    </row>
    <row r="11" spans="1:12" ht="15" x14ac:dyDescent="0.2">
      <c r="A11" s="654" t="s">
        <v>167</v>
      </c>
      <c r="B11" s="1085">
        <f>0.8*C11</f>
        <v>130368.86778957563</v>
      </c>
      <c r="C11" s="1085">
        <f>ADM!Q30+COMER!G38+PRODUCCION!K116</f>
        <v>162961.08473696953</v>
      </c>
      <c r="D11" s="1085">
        <f>C11</f>
        <v>162961.08473696953</v>
      </c>
      <c r="E11" s="1085">
        <f>D11</f>
        <v>162961.08473696953</v>
      </c>
      <c r="F11" s="1085">
        <f>ADM!Q31+COMER!G39+PRODUCCION!C113</f>
        <v>180455.7271636927</v>
      </c>
      <c r="G11" s="1085">
        <f>F11</f>
        <v>180455.7271636927</v>
      </c>
      <c r="I11" s="931" t="s">
        <v>416</v>
      </c>
      <c r="J11" s="931"/>
      <c r="K11" s="341">
        <v>6250</v>
      </c>
      <c r="L11" s="272"/>
    </row>
    <row r="12" spans="1:12" ht="15" x14ac:dyDescent="0.2">
      <c r="A12" s="654" t="s">
        <v>168</v>
      </c>
      <c r="B12" s="1085">
        <v>0</v>
      </c>
      <c r="C12" s="1085">
        <f>'E-Costos'!B35</f>
        <v>49977.503427443269</v>
      </c>
      <c r="D12" s="1085">
        <f>'E-Costos'!C35</f>
        <v>49747.291577729884</v>
      </c>
      <c r="E12" s="1085">
        <f>'E-Costos'!D35</f>
        <v>49434.110632163967</v>
      </c>
      <c r="F12" s="1085">
        <f>'E-Costos'!E35</f>
        <v>49432.68477193053</v>
      </c>
      <c r="G12" s="1085">
        <f>'E-Costos'!F35</f>
        <v>49432.68477193053</v>
      </c>
      <c r="I12" s="272"/>
      <c r="J12" s="272"/>
      <c r="K12" s="272"/>
      <c r="L12" s="272"/>
    </row>
    <row r="13" spans="1:12" ht="15" x14ac:dyDescent="0.2">
      <c r="A13" s="654" t="s">
        <v>169</v>
      </c>
      <c r="B13" s="1085">
        <v>0</v>
      </c>
      <c r="C13" s="1085">
        <f>$K$10*'E-Costos'!B102</f>
        <v>152737.08396219063</v>
      </c>
      <c r="D13" s="1085">
        <f>$K$11*'E-Costos'!$C$102</f>
        <v>147881.75996646885</v>
      </c>
      <c r="E13" s="1085">
        <f>$K$11*'E-Costos'!$C$102</f>
        <v>147881.75996646885</v>
      </c>
      <c r="F13" s="1085">
        <f>$K$11*'E-Costos'!$C$102</f>
        <v>147881.75996646885</v>
      </c>
      <c r="G13" s="1085">
        <f>$K$11*'E-Costos'!$C$102</f>
        <v>147881.75996646885</v>
      </c>
      <c r="I13" s="272"/>
      <c r="J13" s="272"/>
      <c r="K13" s="272"/>
      <c r="L13" s="272"/>
    </row>
    <row r="14" spans="1:12" ht="15" x14ac:dyDescent="0.2">
      <c r="A14" s="907"/>
      <c r="B14" s="1083"/>
      <c r="C14" s="1083"/>
      <c r="D14" s="1083"/>
      <c r="E14" s="1083"/>
      <c r="F14" s="1083"/>
      <c r="G14" s="1083"/>
      <c r="I14" s="341" t="s">
        <v>709</v>
      </c>
      <c r="J14" s="341"/>
      <c r="K14" s="272"/>
      <c r="L14" s="272"/>
    </row>
    <row r="15" spans="1:12" ht="15.75" x14ac:dyDescent="0.25">
      <c r="A15" s="970" t="s">
        <v>170</v>
      </c>
      <c r="B15" s="1082">
        <f>B6+B7+B9</f>
        <v>1761344.8677895756</v>
      </c>
      <c r="C15" s="1082">
        <f t="shared" ref="C15:G15" si="1">C6+C7+C9</f>
        <v>8086452.9871950969</v>
      </c>
      <c r="D15" s="1082">
        <f t="shared" si="1"/>
        <v>8449518.1362811681</v>
      </c>
      <c r="E15" s="1082">
        <f t="shared" si="1"/>
        <v>8449204.9553356022</v>
      </c>
      <c r="F15" s="1082">
        <f t="shared" si="1"/>
        <v>8466698.1719020922</v>
      </c>
      <c r="G15" s="1082">
        <f t="shared" si="1"/>
        <v>8466698.1719020922</v>
      </c>
      <c r="I15" s="341" t="s">
        <v>710</v>
      </c>
      <c r="J15" s="341"/>
      <c r="K15" s="272"/>
      <c r="L15" s="272"/>
    </row>
    <row r="16" spans="1:12" ht="15.75" x14ac:dyDescent="0.25">
      <c r="A16" s="970" t="s">
        <v>171</v>
      </c>
      <c r="B16" s="1086">
        <f>SUM(B17:B20)</f>
        <v>0</v>
      </c>
      <c r="C16" s="1086">
        <f t="shared" ref="C16:G16" si="2">SUM(C17:C20)</f>
        <v>570218.56859184953</v>
      </c>
      <c r="D16" s="1086">
        <f t="shared" si="2"/>
        <v>688164.95778238738</v>
      </c>
      <c r="E16" s="1086">
        <f t="shared" si="2"/>
        <v>688000.87133810006</v>
      </c>
      <c r="F16" s="1086">
        <f t="shared" si="2"/>
        <v>688044.99888757349</v>
      </c>
      <c r="G16" s="1086">
        <f t="shared" si="2"/>
        <v>688044.50071941328</v>
      </c>
      <c r="I16" s="341"/>
      <c r="J16" s="937" t="s">
        <v>48</v>
      </c>
      <c r="K16" s="937" t="s">
        <v>416</v>
      </c>
      <c r="L16" s="272"/>
    </row>
    <row r="17" spans="1:12" ht="15" x14ac:dyDescent="0.2">
      <c r="A17" s="654" t="s">
        <v>172</v>
      </c>
      <c r="B17" s="1085">
        <v>0</v>
      </c>
      <c r="C17" s="1085">
        <f>'E-Costos'!B28</f>
        <v>2386.403204829714</v>
      </c>
      <c r="D17" s="1085">
        <f>'E-Costos'!$C$28</f>
        <v>2068.2094907813889</v>
      </c>
      <c r="E17" s="1085">
        <f>'E-Costos'!$C$28</f>
        <v>2068.2094907813889</v>
      </c>
      <c r="F17" s="1085">
        <f>'E-Costos'!$C$28</f>
        <v>2068.2094907813889</v>
      </c>
      <c r="G17" s="1085">
        <f>'E-Costos'!$C$28</f>
        <v>2068.2094907813889</v>
      </c>
      <c r="I17" s="937" t="s">
        <v>571</v>
      </c>
      <c r="J17" s="711">
        <f>'E-Costos'!B25*InfoInicial!B3</f>
        <v>6873.1487999999999</v>
      </c>
      <c r="K17" s="711">
        <f>'E-Costos'!C25*InfoInicial!B3</f>
        <v>6873.1487999999999</v>
      </c>
      <c r="L17" s="272"/>
    </row>
    <row r="18" spans="1:12" ht="15" x14ac:dyDescent="0.2">
      <c r="A18" s="654" t="s">
        <v>173</v>
      </c>
      <c r="B18" s="1085">
        <v>0</v>
      </c>
      <c r="C18" s="1085">
        <f>('E-Costos'!B10-C17+B17)/PRODUCCION!F22*'E-InvAT'!K10</f>
        <v>11947.925378847434</v>
      </c>
      <c r="D18" s="1085">
        <f>('E-Costos'!C10-D17+C17)*'E-InvAT'!$K$11/PRODUCCION!$B$22</f>
        <v>10358.150035033488</v>
      </c>
      <c r="E18" s="1085">
        <f>('E-Costos'!D10-E17+D17)*'E-InvAT'!$K$11/PRODUCCION!$B$22</f>
        <v>10354.835517178821</v>
      </c>
      <c r="F18" s="1085">
        <f>('E-Costos'!E10-F17+E17)*'E-InvAT'!$K$11/PRODUCCION!$B$22</f>
        <v>10347.891072734375</v>
      </c>
      <c r="G18" s="1085">
        <f>('E-Costos'!F10-G17+F17)*'E-InvAT'!$K$11/PRODUCCION!$B$22</f>
        <v>10347.891072734375</v>
      </c>
      <c r="I18" s="937" t="s">
        <v>97</v>
      </c>
      <c r="J18" s="711">
        <f>'E-Costos'!B30*InfoInicial!B3</f>
        <v>142.371896499987</v>
      </c>
      <c r="K18" s="711">
        <f>'E-Costos'!C30*InfoInicial!B3</f>
        <v>142.371896499987</v>
      </c>
      <c r="L18" s="272"/>
    </row>
    <row r="19" spans="1:12" ht="15" x14ac:dyDescent="0.2">
      <c r="A19" s="654" t="s">
        <v>174</v>
      </c>
      <c r="B19" s="1085">
        <v>0</v>
      </c>
      <c r="C19" s="1085">
        <f>'E-Costos'!B121*C7</f>
        <v>466341.16719929659</v>
      </c>
      <c r="D19" s="1085">
        <f>'E-Costos'!C121*D7</f>
        <v>584860.54207989888</v>
      </c>
      <c r="E19" s="1085">
        <f>'E-Costos'!D121*E7</f>
        <v>584856.31710196007</v>
      </c>
      <c r="F19" s="1085">
        <f>'E-Costos'!E121*F7</f>
        <v>584907.09074574721</v>
      </c>
      <c r="G19" s="1085">
        <f>'E-Costos'!F121*G7</f>
        <v>584907.16335384268</v>
      </c>
      <c r="I19" s="937" t="s">
        <v>711</v>
      </c>
      <c r="J19" s="711">
        <f>'E-Costos'!B31*InfoInicial!B3</f>
        <v>26.830047553854293</v>
      </c>
      <c r="K19" s="711">
        <f>'E-Costos'!C31*InfoInicial!B3</f>
        <v>24.417696786950732</v>
      </c>
      <c r="L19" s="272"/>
    </row>
    <row r="20" spans="1:12" ht="15" x14ac:dyDescent="0.2">
      <c r="A20" s="654" t="s">
        <v>175</v>
      </c>
      <c r="B20" s="1085">
        <v>0</v>
      </c>
      <c r="C20" s="1085">
        <f>('E-Inv AF y Am'!$D56-C17-C18)*30/365</f>
        <v>89543.072808875862</v>
      </c>
      <c r="D20" s="1085">
        <f>('E-Inv AF y Am'!$D$56-D17-D18+C17+C18)*30/365</f>
        <v>90878.056176673606</v>
      </c>
      <c r="E20" s="1085">
        <f>('E-Inv AF y Am'!$D$56-E17-E18+D17+D18)*30/365</f>
        <v>90721.509228179842</v>
      </c>
      <c r="F20" s="1085">
        <f>('E-Inv AF y Am'!$D$56-F17-F18+E17+E18)*30/365</f>
        <v>90721.807578310487</v>
      </c>
      <c r="G20" s="1085">
        <f>('E-Inv AF y Am'!$D$56-G17-G18+F17+F18)*30/365</f>
        <v>90721.236802054802</v>
      </c>
      <c r="I20" s="937" t="s">
        <v>99</v>
      </c>
      <c r="J20" s="711">
        <f>'E-Costos'!B32*InfoInicial!B3</f>
        <v>118.56752746338215</v>
      </c>
      <c r="K20" s="711">
        <f>'E-Costos'!C32*InfoInicial!B3</f>
        <v>118.56752746338215</v>
      </c>
      <c r="L20" s="272"/>
    </row>
    <row r="21" spans="1:12" ht="15" x14ac:dyDescent="0.2">
      <c r="A21" s="907"/>
      <c r="B21" s="1083"/>
      <c r="C21" s="1083"/>
      <c r="D21" s="1083"/>
      <c r="E21" s="1083"/>
      <c r="F21" s="1083"/>
      <c r="G21" s="1083"/>
      <c r="I21" s="937"/>
      <c r="J21" s="711">
        <v>0</v>
      </c>
      <c r="K21" s="711">
        <v>0</v>
      </c>
      <c r="L21" s="272"/>
    </row>
    <row r="22" spans="1:12" ht="15.75" x14ac:dyDescent="0.25">
      <c r="A22" s="970" t="s">
        <v>176</v>
      </c>
      <c r="B22" s="1082">
        <f t="shared" ref="B22:G22" si="3">B15-B16</f>
        <v>1761344.8677895756</v>
      </c>
      <c r="C22" s="1082">
        <f t="shared" si="3"/>
        <v>7516234.418603247</v>
      </c>
      <c r="D22" s="1082">
        <f t="shared" si="3"/>
        <v>7761353.1784987804</v>
      </c>
      <c r="E22" s="1082">
        <f t="shared" si="3"/>
        <v>7761204.083997502</v>
      </c>
      <c r="F22" s="1082">
        <f t="shared" si="3"/>
        <v>7778653.1730145188</v>
      </c>
      <c r="G22" s="1082">
        <f t="shared" si="3"/>
        <v>7778653.671182679</v>
      </c>
      <c r="I22" s="1076" t="s">
        <v>191</v>
      </c>
      <c r="J22" s="711">
        <f>SUM(J17:J21)</f>
        <v>7160.9182715172237</v>
      </c>
      <c r="K22" s="711">
        <f>SUM(K17:K21)</f>
        <v>7158.50592075032</v>
      </c>
      <c r="L22" s="272"/>
    </row>
    <row r="23" spans="1:12" ht="15.75" x14ac:dyDescent="0.25">
      <c r="A23" s="907"/>
      <c r="B23" s="1083"/>
      <c r="C23" s="1083"/>
      <c r="D23" s="1083"/>
      <c r="E23" s="1083"/>
      <c r="F23" s="1083"/>
      <c r="G23" s="1083"/>
      <c r="I23" s="1076" t="s">
        <v>712</v>
      </c>
      <c r="J23" s="711">
        <f>J22</f>
        <v>7160.9182715172237</v>
      </c>
      <c r="K23" s="711">
        <f>K22-J22</f>
        <v>-2.4123507669037281</v>
      </c>
      <c r="L23" s="272"/>
    </row>
    <row r="24" spans="1:12" ht="15" x14ac:dyDescent="0.2">
      <c r="A24" s="970" t="s">
        <v>177</v>
      </c>
      <c r="B24" s="1085">
        <f>B15</f>
        <v>1761344.8677895756</v>
      </c>
      <c r="C24" s="1085">
        <f>C15-B15</f>
        <v>6325108.1194055211</v>
      </c>
      <c r="D24" s="1085">
        <f>D15-C15</f>
        <v>363065.14908607118</v>
      </c>
      <c r="E24" s="1085">
        <f>E15-D15</f>
        <v>-313.18094556592405</v>
      </c>
      <c r="F24" s="1085">
        <f>F15-E15</f>
        <v>17493.216566490009</v>
      </c>
      <c r="G24" s="1085">
        <f>G15-F15</f>
        <v>0</v>
      </c>
      <c r="I24" s="272"/>
      <c r="J24" s="272"/>
      <c r="K24" s="272"/>
      <c r="L24" s="272"/>
    </row>
    <row r="25" spans="1:12" ht="15" x14ac:dyDescent="0.2">
      <c r="A25" s="970" t="s">
        <v>178</v>
      </c>
      <c r="B25" s="1085">
        <f>B22</f>
        <v>1761344.8677895756</v>
      </c>
      <c r="C25" s="1085">
        <f>C22-B22</f>
        <v>5754889.5508136712</v>
      </c>
      <c r="D25" s="1085">
        <f>D22-C22</f>
        <v>245118.75989553332</v>
      </c>
      <c r="E25" s="1085">
        <f>E22-D22</f>
        <v>-149.09450127836317</v>
      </c>
      <c r="F25" s="1085">
        <f>F22-E22</f>
        <v>17449.089017016813</v>
      </c>
      <c r="G25" s="1085">
        <f>G22-F22</f>
        <v>0.4981681602075696</v>
      </c>
      <c r="I25" s="272"/>
      <c r="J25" s="272"/>
      <c r="K25" s="272"/>
      <c r="L25" s="272"/>
    </row>
    <row r="26" spans="1:12" ht="15" x14ac:dyDescent="0.2">
      <c r="A26" s="907"/>
      <c r="B26" s="1083"/>
      <c r="C26" s="1083"/>
      <c r="D26" s="1083"/>
      <c r="E26" s="1083"/>
      <c r="F26" s="1083"/>
      <c r="G26" s="1083"/>
      <c r="I26" s="272" t="s">
        <v>713</v>
      </c>
      <c r="J26" s="272"/>
      <c r="K26" s="272"/>
      <c r="L26" s="272"/>
    </row>
    <row r="27" spans="1:12" ht="15" x14ac:dyDescent="0.2">
      <c r="A27" s="970" t="s">
        <v>179</v>
      </c>
      <c r="B27" s="1083"/>
      <c r="C27" s="1083"/>
      <c r="D27" s="1083"/>
      <c r="E27" s="1085"/>
      <c r="F27" s="1083"/>
      <c r="G27" s="1083"/>
      <c r="I27" s="341"/>
      <c r="J27" s="937" t="s">
        <v>48</v>
      </c>
      <c r="K27" s="937" t="s">
        <v>416</v>
      </c>
      <c r="L27" s="272"/>
    </row>
    <row r="28" spans="1:12" ht="15" x14ac:dyDescent="0.2">
      <c r="A28" s="654" t="s">
        <v>180</v>
      </c>
      <c r="B28" s="1085"/>
      <c r="C28" s="1085"/>
      <c r="D28" s="1085"/>
      <c r="E28" s="1087"/>
      <c r="F28" s="1085"/>
      <c r="G28" s="1085"/>
      <c r="I28" s="937" t="s">
        <v>571</v>
      </c>
      <c r="J28" s="711">
        <f>((('E-Costos'!B7-'E-Costos'!B25-'E-Costos'!G25)/PRODUCCION!F22)*'E-InvAT'!$K$10)*InfoInicial!B3</f>
        <v>15982.14118554217</v>
      </c>
      <c r="K28" s="711">
        <f>((('E-Costos'!C7-'E-Costos'!C25)/PRODUCCION!B22)*'E-InvAT'!K11)*InfoInicial!B3</f>
        <v>15492.800399999998</v>
      </c>
      <c r="L28" s="272"/>
    </row>
    <row r="29" spans="1:12" ht="15" x14ac:dyDescent="0.2">
      <c r="A29" s="654" t="s">
        <v>181</v>
      </c>
      <c r="B29" s="1085"/>
      <c r="C29" s="1085"/>
      <c r="D29" s="1085"/>
      <c r="E29" s="1085"/>
      <c r="F29" s="1085"/>
      <c r="G29" s="1085"/>
      <c r="I29" s="937" t="s">
        <v>97</v>
      </c>
      <c r="J29" s="711">
        <f>((('E-Costos'!B12-'E-Costos'!B30-'E-Costos'!G30)/PRODUCCION!F22)*'E-InvAT'!K10)*InfoInicial!B3</f>
        <v>712.8086284766016</v>
      </c>
      <c r="K29" s="711">
        <f>((('E-Costos'!C12-'E-Costos'!C30)/PRODUCCION!B22)*'E-InvAT'!K11)*InfoInicial!B3</f>
        <v>711.32558788806</v>
      </c>
      <c r="L29" s="272"/>
    </row>
    <row r="30" spans="1:12" ht="15" x14ac:dyDescent="0.2">
      <c r="A30" s="654" t="s">
        <v>182</v>
      </c>
      <c r="B30" s="1085">
        <f>InfoInicial!$B$3*'E-InvAT'!B10</f>
        <v>229104.96</v>
      </c>
      <c r="C30" s="1085">
        <f>(C10-B10)*InfoInicial!$B$3</f>
        <v>755569.91999999993</v>
      </c>
      <c r="D30" s="1085">
        <f>(D10-C10)*InfoInicial!$B$3</f>
        <v>0</v>
      </c>
      <c r="E30" s="1085">
        <f>(E10-D10)*InfoInicial!$B$3</f>
        <v>0</v>
      </c>
      <c r="F30" s="1085">
        <f>(F10-E10)*InfoInicial!$B$3</f>
        <v>0</v>
      </c>
      <c r="G30" s="1085">
        <f>(G10-F10)*InfoInicial!$B$3</f>
        <v>0</v>
      </c>
      <c r="I30" s="937" t="s">
        <v>711</v>
      </c>
      <c r="J30" s="711">
        <f>((('E-Costos'!B13-'E-Costos'!B31-'E-Costos'!G31)/PRODUCCION!F22)*'E-InvAT'!K10)*InfoInicial!B3</f>
        <v>133.68259758299141</v>
      </c>
      <c r="K30" s="711">
        <f>((('E-Costos'!C13-'E-Costos'!C31)/PRODUCCION!B22)*'E-InvAT'!K11)*InfoInicial!B3</f>
        <v>121.99691757180257</v>
      </c>
      <c r="L30" s="272"/>
    </row>
    <row r="31" spans="1:12" ht="15" x14ac:dyDescent="0.2">
      <c r="A31" s="654" t="s">
        <v>183</v>
      </c>
      <c r="B31" s="1085">
        <f>B11*InfoInicial!B3</f>
        <v>27377.462235810879</v>
      </c>
      <c r="C31" s="1085">
        <f>(C11-B11)*InfoInicial!B3</f>
        <v>6844.3655589527189</v>
      </c>
      <c r="D31" s="1085">
        <f>(D11-C11)*InfoInicial!B3</f>
        <v>0</v>
      </c>
      <c r="E31" s="1085">
        <f>(E11-D11)*InfoInicial!B3</f>
        <v>0</v>
      </c>
      <c r="F31" s="1085">
        <f>(F11-E11)*InfoInicial!B3</f>
        <v>3673.8749096118672</v>
      </c>
      <c r="G31" s="1085">
        <f>(G11-F11)*InfoInicial!B3</f>
        <v>0</v>
      </c>
      <c r="I31" s="937" t="s">
        <v>123</v>
      </c>
      <c r="J31" s="711">
        <f>((('E-Costos'!B14-'E-Costos'!B32-'E-Costos'!G32)/PRODUCCION!F22)*'E-InvAT'!K10)*InfoInicial!B3</f>
        <v>593.62808749999988</v>
      </c>
      <c r="K31" s="711">
        <f>((('E-Costos'!C14-'E-Costos'!C32)/PRODUCCION!B22)*'E-InvAT'!K11)*InfoInicial!B3</f>
        <v>592.39300908892301</v>
      </c>
      <c r="L31" s="272"/>
    </row>
    <row r="32" spans="1:12" ht="15" x14ac:dyDescent="0.2">
      <c r="A32" s="654" t="s">
        <v>184</v>
      </c>
      <c r="B32" s="1085">
        <v>0</v>
      </c>
      <c r="C32" s="1085">
        <f>J23</f>
        <v>7160.9182715172237</v>
      </c>
      <c r="D32" s="1085">
        <f>$K$23</f>
        <v>-2.4123507669037281</v>
      </c>
      <c r="E32" s="1085">
        <v>0</v>
      </c>
      <c r="F32" s="1085">
        <v>0</v>
      </c>
      <c r="G32" s="1085">
        <v>0</v>
      </c>
      <c r="I32" s="341"/>
      <c r="J32" s="711">
        <v>0</v>
      </c>
      <c r="K32" s="711">
        <v>0</v>
      </c>
      <c r="L32" s="272"/>
    </row>
    <row r="33" spans="1:12" ht="15.75" x14ac:dyDescent="0.25">
      <c r="A33" s="654" t="s">
        <v>185</v>
      </c>
      <c r="B33" s="1085">
        <v>0</v>
      </c>
      <c r="C33" s="1085">
        <f>J34</f>
        <v>17422.260499101765</v>
      </c>
      <c r="D33" s="1085">
        <f>$K$34</f>
        <v>-503.74458455298009</v>
      </c>
      <c r="E33" s="1085">
        <v>0</v>
      </c>
      <c r="F33" s="1085">
        <v>0</v>
      </c>
      <c r="G33" s="1085">
        <v>0</v>
      </c>
      <c r="I33" s="1076" t="s">
        <v>152</v>
      </c>
      <c r="J33" s="711">
        <f>SUM(J28:J32)</f>
        <v>17422.260499101765</v>
      </c>
      <c r="K33" s="711">
        <f>SUM(K28:K32)</f>
        <v>16918.515914548785</v>
      </c>
      <c r="L33" s="272"/>
    </row>
    <row r="34" spans="1:12" ht="15.75" x14ac:dyDescent="0.25">
      <c r="A34" s="970" t="s">
        <v>186</v>
      </c>
      <c r="B34" s="1085">
        <f>SUM(B30:B33)</f>
        <v>256482.42223581087</v>
      </c>
      <c r="C34" s="1085">
        <f t="shared" ref="C34:G34" si="4">SUM(C30:C33)</f>
        <v>786997.46432957158</v>
      </c>
      <c r="D34" s="1085">
        <f t="shared" si="4"/>
        <v>-506.15693531988381</v>
      </c>
      <c r="E34" s="1085">
        <f t="shared" si="4"/>
        <v>0</v>
      </c>
      <c r="F34" s="1085">
        <f t="shared" si="4"/>
        <v>3673.8749096118672</v>
      </c>
      <c r="G34" s="1085">
        <f t="shared" si="4"/>
        <v>0</v>
      </c>
      <c r="I34" s="1076" t="s">
        <v>714</v>
      </c>
      <c r="J34" s="711">
        <f>J33</f>
        <v>17422.260499101765</v>
      </c>
      <c r="K34" s="711">
        <f>K33-J33</f>
        <v>-503.74458455298009</v>
      </c>
      <c r="L34" s="272"/>
    </row>
    <row r="35" spans="1:12" ht="15" x14ac:dyDescent="0.2">
      <c r="A35" s="907"/>
      <c r="B35" s="1083"/>
      <c r="C35" s="1083"/>
      <c r="D35" s="1083"/>
      <c r="E35" s="1083"/>
      <c r="F35" s="1083"/>
      <c r="G35" s="1087"/>
      <c r="I35" s="339"/>
      <c r="J35" s="189"/>
      <c r="K35" s="189"/>
      <c r="L35" s="272"/>
    </row>
    <row r="36" spans="1:12" ht="15.75" x14ac:dyDescent="0.25">
      <c r="A36" s="970" t="s">
        <v>187</v>
      </c>
      <c r="B36" s="1082">
        <f>B25+B34</f>
        <v>2017827.2900253865</v>
      </c>
      <c r="C36" s="1082">
        <f t="shared" ref="C36:G36" si="5">C25+C34</f>
        <v>6541887.0151432427</v>
      </c>
      <c r="D36" s="1082">
        <f t="shared" si="5"/>
        <v>244612.60296021344</v>
      </c>
      <c r="E36" s="1082">
        <f t="shared" si="5"/>
        <v>-149.09450127836317</v>
      </c>
      <c r="F36" s="1082">
        <f t="shared" si="5"/>
        <v>21122.963926628679</v>
      </c>
      <c r="G36" s="1082">
        <f t="shared" si="5"/>
        <v>0.4981681602075696</v>
      </c>
      <c r="I36" s="340"/>
      <c r="J36" s="189"/>
      <c r="K36" s="189"/>
      <c r="L36" s="272"/>
    </row>
    <row r="37" spans="1:12" ht="15.75" x14ac:dyDescent="0.25">
      <c r="I37" s="340"/>
      <c r="J37" s="189"/>
      <c r="K37" s="189"/>
      <c r="L37" s="272"/>
    </row>
    <row r="38" spans="1:12" ht="15" x14ac:dyDescent="0.2">
      <c r="I38" s="272"/>
      <c r="J38" s="272"/>
      <c r="K38" s="272"/>
      <c r="L38" s="272"/>
    </row>
  </sheetData>
  <sheetProtection selectLockedCells="1" selectUnlockedCells="1"/>
  <mergeCells count="5">
    <mergeCell ref="I7:J8"/>
    <mergeCell ref="K7:K8"/>
    <mergeCell ref="I9:J9"/>
    <mergeCell ref="I10:J10"/>
    <mergeCell ref="I11:J11"/>
  </mergeCells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26"/>
  <sheetViews>
    <sheetView zoomScale="70" zoomScaleNormal="70" workbookViewId="0">
      <selection activeCell="L19" sqref="L19"/>
    </sheetView>
  </sheetViews>
  <sheetFormatPr baseColWidth="10" defaultRowHeight="12.75" x14ac:dyDescent="0.2"/>
  <cols>
    <col min="1" max="1" width="30.7109375" style="7" customWidth="1"/>
    <col min="2" max="2" width="14" style="7" customWidth="1"/>
    <col min="3" max="3" width="18.7109375" style="7" customWidth="1"/>
    <col min="4" max="4" width="22" style="7" customWidth="1"/>
    <col min="5" max="5" width="21" style="7" customWidth="1"/>
    <col min="6" max="8" width="14" style="7" customWidth="1"/>
    <col min="9" max="9" width="24.140625" style="7" customWidth="1"/>
    <col min="10" max="10" width="17.42578125" style="7" customWidth="1"/>
    <col min="11" max="16384" width="11.42578125" style="7"/>
  </cols>
  <sheetData>
    <row r="1" spans="1:9" x14ac:dyDescent="0.2">
      <c r="A1" s="1" t="s">
        <v>0</v>
      </c>
      <c r="B1"/>
      <c r="C1"/>
      <c r="D1"/>
      <c r="G1" s="2">
        <f>InfoInicial!E1</f>
        <v>8</v>
      </c>
    </row>
    <row r="3" spans="1:9" ht="15.75" x14ac:dyDescent="0.25">
      <c r="A3" s="964" t="s">
        <v>188</v>
      </c>
      <c r="B3" s="964"/>
      <c r="C3" s="964"/>
      <c r="D3" s="964"/>
      <c r="E3" s="964"/>
      <c r="F3" s="964"/>
      <c r="G3" s="964"/>
      <c r="H3" s="964"/>
      <c r="I3" s="964"/>
    </row>
    <row r="4" spans="1:9" ht="25.5" x14ac:dyDescent="0.2">
      <c r="A4" s="969" t="s">
        <v>88</v>
      </c>
      <c r="B4" s="1077" t="s">
        <v>189</v>
      </c>
      <c r="C4" s="1077" t="s">
        <v>190</v>
      </c>
      <c r="D4" s="969" t="s">
        <v>48</v>
      </c>
      <c r="E4" s="969" t="s">
        <v>89</v>
      </c>
      <c r="F4" s="969" t="s">
        <v>90</v>
      </c>
      <c r="G4" s="969" t="s">
        <v>91</v>
      </c>
      <c r="H4" s="969" t="s">
        <v>92</v>
      </c>
      <c r="I4" s="969" t="s">
        <v>191</v>
      </c>
    </row>
    <row r="5" spans="1:9" ht="15" x14ac:dyDescent="0.2">
      <c r="A5" s="970" t="s">
        <v>192</v>
      </c>
      <c r="B5" s="1078"/>
      <c r="C5" s="1078"/>
      <c r="D5" s="1078"/>
      <c r="E5" s="1078"/>
      <c r="F5" s="1078"/>
      <c r="G5" s="1078"/>
      <c r="H5" s="1078"/>
      <c r="I5" s="1078"/>
    </row>
    <row r="6" spans="1:9" ht="15" x14ac:dyDescent="0.2">
      <c r="A6" s="824" t="s">
        <v>193</v>
      </c>
      <c r="B6" s="1079"/>
      <c r="C6" s="1079">
        <f>'E-Inv AF y Am'!B20</f>
        <v>10985103.303375</v>
      </c>
      <c r="D6" s="1079">
        <v>0</v>
      </c>
      <c r="E6" s="1079">
        <v>0</v>
      </c>
      <c r="F6" s="1079">
        <v>0</v>
      </c>
      <c r="G6" s="1079">
        <v>0</v>
      </c>
      <c r="H6" s="1079">
        <v>0</v>
      </c>
      <c r="I6" s="1079">
        <f>SUM(B6:H6)</f>
        <v>10985103.303375</v>
      </c>
    </row>
    <row r="7" spans="1:9" ht="15" x14ac:dyDescent="0.2">
      <c r="A7" s="824" t="s">
        <v>194</v>
      </c>
      <c r="B7" s="1079">
        <f>'E-Inv AF y Am'!B23</f>
        <v>50000</v>
      </c>
      <c r="C7" s="1079">
        <f>'E-Inv AF y Am'!B31-'E-Inv AF y Am'!B23</f>
        <v>1115500</v>
      </c>
      <c r="D7" s="1079">
        <f>'E-Inv AF y Am'!C26</f>
        <v>135000</v>
      </c>
      <c r="E7" s="1079">
        <v>0</v>
      </c>
      <c r="F7" s="1079">
        <v>0</v>
      </c>
      <c r="G7" s="1079">
        <v>0</v>
      </c>
      <c r="H7" s="1079">
        <v>0</v>
      </c>
      <c r="I7" s="1079">
        <f>SUM(B7:H7)</f>
        <v>1300500</v>
      </c>
    </row>
    <row r="8" spans="1:9" ht="15.75" x14ac:dyDescent="0.25">
      <c r="A8" s="970" t="s">
        <v>195</v>
      </c>
      <c r="B8" s="1080">
        <f>SUM(B6:B7)</f>
        <v>50000</v>
      </c>
      <c r="C8" s="1080">
        <f t="shared" ref="C8:H8" si="0">SUM(C6:C7)</f>
        <v>12100603.303375</v>
      </c>
      <c r="D8" s="1080">
        <f t="shared" si="0"/>
        <v>135000</v>
      </c>
      <c r="E8" s="1080">
        <f>SUM(E6:E7)</f>
        <v>0</v>
      </c>
      <c r="F8" s="1080">
        <f t="shared" si="0"/>
        <v>0</v>
      </c>
      <c r="G8" s="1080">
        <f t="shared" si="0"/>
        <v>0</v>
      </c>
      <c r="H8" s="1080">
        <f t="shared" si="0"/>
        <v>0</v>
      </c>
      <c r="I8" s="1080">
        <f>SUM(B8:H8)</f>
        <v>12285603.303375</v>
      </c>
    </row>
    <row r="9" spans="1:9" ht="15" x14ac:dyDescent="0.2">
      <c r="A9" s="967"/>
      <c r="B9" s="1078"/>
      <c r="C9" s="1078"/>
      <c r="D9" s="1078"/>
      <c r="E9" s="1078"/>
      <c r="F9" s="1078"/>
      <c r="G9" s="1078"/>
      <c r="H9" s="1078"/>
      <c r="I9" s="1078"/>
    </row>
    <row r="10" spans="1:9" ht="15" x14ac:dyDescent="0.2">
      <c r="A10" s="970" t="s">
        <v>196</v>
      </c>
      <c r="B10" s="1079"/>
      <c r="C10" s="1079"/>
      <c r="D10" s="1079"/>
      <c r="E10" s="1079"/>
      <c r="F10" s="1079"/>
      <c r="G10" s="1079"/>
      <c r="H10" s="1079"/>
      <c r="I10" s="1079"/>
    </row>
    <row r="11" spans="1:9" ht="15" x14ac:dyDescent="0.2">
      <c r="A11" s="824" t="s">
        <v>197</v>
      </c>
      <c r="B11" s="1079">
        <v>0</v>
      </c>
      <c r="C11" s="1079">
        <f>'E-InvAT'!B6</f>
        <v>540000</v>
      </c>
      <c r="D11" s="1079">
        <f>'E-InvAT'!C6-'E-InvAT'!B6</f>
        <v>360000</v>
      </c>
      <c r="E11" s="1079">
        <f>'E-InvAT'!D6-'E-InvAT'!C6</f>
        <v>0</v>
      </c>
      <c r="F11" s="1079">
        <f>'E-InvAT'!E6-'E-InvAT'!D6</f>
        <v>0</v>
      </c>
      <c r="G11" s="1079">
        <f>'E-InvAT'!F6-'E-InvAT'!E6</f>
        <v>0</v>
      </c>
      <c r="H11" s="1079">
        <f>'E-InvAT'!G6-'E-InvAT'!F6</f>
        <v>0</v>
      </c>
      <c r="I11" s="1079">
        <f>SUM(B11:H11)</f>
        <v>900000</v>
      </c>
    </row>
    <row r="12" spans="1:9" ht="15" x14ac:dyDescent="0.2">
      <c r="A12" s="824" t="s">
        <v>198</v>
      </c>
      <c r="B12" s="1079">
        <v>0</v>
      </c>
      <c r="C12" s="1079">
        <v>0</v>
      </c>
      <c r="D12" s="1079">
        <f>'E-InvAT'!C7-'E-InvAT'!C19-'E-InvAT'!C20</f>
        <v>1575965.0750603206</v>
      </c>
      <c r="E12" s="1079">
        <f>('E-InvAT'!D7-'E-InvAT'!D19-'E-InvAT'!D20)-'E-Cal Inv.'!D12</f>
        <v>248296.32668310683</v>
      </c>
      <c r="F12" s="1079">
        <f>('E-InvAT'!E7-'E-InvAT'!E19-'E-InvAT'!E20)-('E-Cal Inv.'!E12+D12)</f>
        <v>160.77192643261515</v>
      </c>
      <c r="G12" s="1079">
        <f>('E-InvAT'!F7-'E-InvAT'!F19-'E-InvAT'!F20)-('E-Cal Inv.'!F12+E12+D12)</f>
        <v>-51.071993917459622</v>
      </c>
      <c r="H12" s="1079">
        <f>('E-InvAT'!G7-'E-InvAT'!G19-'E-InvAT'!G20)-('E-Cal Inv.'!G12+F12+E12+D12)</f>
        <v>0.49816815997473896</v>
      </c>
      <c r="I12" s="1079">
        <f>SUM(B12:H12)</f>
        <v>1824371.5998441025</v>
      </c>
    </row>
    <row r="13" spans="1:9" ht="15" x14ac:dyDescent="0.2">
      <c r="A13" s="824" t="s">
        <v>199</v>
      </c>
      <c r="B13" s="1079"/>
      <c r="C13" s="1079"/>
      <c r="D13" s="1079"/>
      <c r="E13" s="1079"/>
      <c r="F13" s="1079"/>
      <c r="G13" s="1079"/>
      <c r="H13" s="1079"/>
      <c r="I13" s="1079"/>
    </row>
    <row r="14" spans="1:9" ht="15" x14ac:dyDescent="0.2">
      <c r="A14" s="824" t="s">
        <v>200</v>
      </c>
      <c r="B14" s="1079">
        <v>0</v>
      </c>
      <c r="C14" s="1079">
        <f>'E-InvAT'!B10</f>
        <v>1090976</v>
      </c>
      <c r="D14" s="1079">
        <f>'E-InvAT'!C10-'E-InvAT'!B10</f>
        <v>3597952</v>
      </c>
      <c r="E14" s="1079">
        <f>'E-InvAT'!D10-'E-InvAT'!C10</f>
        <v>0</v>
      </c>
      <c r="F14" s="1079">
        <f>'E-InvAT'!E10-'E-InvAT'!D10</f>
        <v>0</v>
      </c>
      <c r="G14" s="1079">
        <f>'E-InvAT'!F10-'E-InvAT'!E10</f>
        <v>0</v>
      </c>
      <c r="H14" s="1079">
        <f>'E-InvAT'!G10-'E-InvAT'!F10</f>
        <v>0</v>
      </c>
      <c r="I14" s="1079">
        <f>SUM(B14:H14)</f>
        <v>4688928</v>
      </c>
    </row>
    <row r="15" spans="1:9" ht="15" x14ac:dyDescent="0.2">
      <c r="A15" s="824" t="s">
        <v>201</v>
      </c>
      <c r="B15" s="1079">
        <v>0</v>
      </c>
      <c r="C15" s="1079">
        <f>'E-InvAT'!B11</f>
        <v>130368.86778957563</v>
      </c>
      <c r="D15" s="1079">
        <f>'E-InvAT'!C11-'E-InvAT'!B11</f>
        <v>32592.216947393899</v>
      </c>
      <c r="E15" s="1079">
        <f>'E-InvAT'!D11-'E-InvAT'!C11</f>
        <v>0</v>
      </c>
      <c r="F15" s="1079">
        <f>'E-InvAT'!E11-'E-InvAT'!D11</f>
        <v>0</v>
      </c>
      <c r="G15" s="1079">
        <f>'E-InvAT'!F11-'E-InvAT'!E11</f>
        <v>17494.642426723178</v>
      </c>
      <c r="H15" s="1079">
        <f>'E-InvAT'!G11-'E-InvAT'!F11</f>
        <v>0</v>
      </c>
      <c r="I15" s="1079">
        <f>SUM(B15:H15)</f>
        <v>180455.7271636927</v>
      </c>
    </row>
    <row r="16" spans="1:9" ht="15" x14ac:dyDescent="0.2">
      <c r="A16" s="824" t="s">
        <v>202</v>
      </c>
      <c r="B16" s="1079">
        <v>0</v>
      </c>
      <c r="C16" s="1079">
        <v>0</v>
      </c>
      <c r="D16" s="1079">
        <f>'E-InvAT'!C12-'E-InvAT'!C17</f>
        <v>47591.100222613553</v>
      </c>
      <c r="E16" s="1079">
        <f>('E-InvAT'!D12-'E-InvAT'!D17)-'E-Cal Inv.'!D16</f>
        <v>87.981864334942657</v>
      </c>
      <c r="F16" s="1079">
        <f>('E-InvAT'!E12-'E-InvAT'!E17)-(E16+D16)</f>
        <v>-313.18094556591677</v>
      </c>
      <c r="G16" s="1079">
        <f>('E-InvAT'!F12-'E-InvAT'!F17)-('E-Cal Inv.'!F16+E16+D16)</f>
        <v>-1.425860233437561</v>
      </c>
      <c r="H16" s="1079">
        <f>('E-InvAT'!G12-'E-InvAT'!G17)-('E-Cal Inv.'!G16+E16+D16+F16)</f>
        <v>0</v>
      </c>
      <c r="I16" s="1079">
        <f>SUM(B16:H16)</f>
        <v>47364.475281149142</v>
      </c>
    </row>
    <row r="17" spans="1:9" ht="15" x14ac:dyDescent="0.2">
      <c r="A17" s="824" t="s">
        <v>203</v>
      </c>
      <c r="B17" s="1079">
        <v>0</v>
      </c>
      <c r="C17" s="1079">
        <v>0</v>
      </c>
      <c r="D17" s="1079">
        <f>'E-InvAT'!C13-'E-InvAT'!C18</f>
        <v>140789.1585833432</v>
      </c>
      <c r="E17" s="1079">
        <f>('E-InvAT'!D13-'E-InvAT'!D18)-'E-Cal Inv.'!D17</f>
        <v>-3265.5486519078549</v>
      </c>
      <c r="F17" s="1079">
        <f>('E-InvAT'!E13-'E-InvAT'!E18)-('E-Cal Inv.'!E17+D17)</f>
        <v>3.3145178546837997</v>
      </c>
      <c r="G17" s="1079">
        <f>('E-InvAT'!F13-'E-InvAT'!F18)-('E-Cal Inv.'!F17+E17+D17)</f>
        <v>6.9444444444379769</v>
      </c>
      <c r="H17" s="1079">
        <f>('E-InvAT'!G13-'E-InvAT'!G18)-('E-Cal Inv.'!G17+F17+E17+D17)</f>
        <v>0</v>
      </c>
      <c r="I17" s="1079">
        <f>SUM(B17:H17)</f>
        <v>137533.86889373447</v>
      </c>
    </row>
    <row r="18" spans="1:9" ht="15.75" x14ac:dyDescent="0.25">
      <c r="A18" s="970" t="s">
        <v>204</v>
      </c>
      <c r="B18" s="1080">
        <f>SUM(B11:B17)</f>
        <v>0</v>
      </c>
      <c r="C18" s="1080">
        <f>SUM(C11:C17)</f>
        <v>1761344.8677895756</v>
      </c>
      <c r="D18" s="1080">
        <f t="shared" ref="D18:I18" si="1">SUM(D11:D17)</f>
        <v>5754889.5508136712</v>
      </c>
      <c r="E18" s="1080">
        <f t="shared" si="1"/>
        <v>245118.75989553393</v>
      </c>
      <c r="F18" s="1080">
        <f t="shared" si="1"/>
        <v>-149.09450127861783</v>
      </c>
      <c r="G18" s="1080">
        <f t="shared" si="1"/>
        <v>17449.089017016719</v>
      </c>
      <c r="H18" s="1080">
        <f t="shared" si="1"/>
        <v>0.49816815997473896</v>
      </c>
      <c r="I18" s="1080">
        <f t="shared" si="1"/>
        <v>7778653.671182679</v>
      </c>
    </row>
    <row r="19" spans="1:9" ht="15" x14ac:dyDescent="0.2">
      <c r="A19" s="967"/>
      <c r="B19" s="1078"/>
      <c r="C19" s="1078"/>
      <c r="D19" s="1078"/>
      <c r="E19" s="1078"/>
      <c r="F19" s="1078"/>
      <c r="G19" s="1078"/>
      <c r="H19" s="1078"/>
      <c r="I19" s="1078"/>
    </row>
    <row r="20" spans="1:9" ht="15" x14ac:dyDescent="0.2">
      <c r="A20" s="970" t="s">
        <v>205</v>
      </c>
      <c r="B20" s="1078"/>
      <c r="C20" s="1078"/>
      <c r="D20" s="1078"/>
      <c r="E20" s="1078"/>
      <c r="F20" s="1078"/>
      <c r="G20" s="1078"/>
      <c r="H20" s="1078"/>
      <c r="I20" s="1078"/>
    </row>
    <row r="21" spans="1:9" ht="15" x14ac:dyDescent="0.2">
      <c r="A21" s="824" t="s">
        <v>206</v>
      </c>
      <c r="B21" s="1079">
        <f>B8*InfoInicial!$B$3</f>
        <v>10500</v>
      </c>
      <c r="C21" s="1079">
        <f>C8*InfoInicial!$B$3</f>
        <v>2541126.69370875</v>
      </c>
      <c r="D21" s="1079">
        <f>D8*InfoInicial!$B$3</f>
        <v>28350</v>
      </c>
      <c r="E21" s="1079">
        <f>E8*InfoInicial!$B$3</f>
        <v>0</v>
      </c>
      <c r="F21" s="1079">
        <f>F8*InfoInicial!$B$3</f>
        <v>0</v>
      </c>
      <c r="G21" s="1079">
        <f>G8*InfoInicial!$B$3</f>
        <v>0</v>
      </c>
      <c r="H21" s="1079">
        <f>H8*InfoInicial!$B$3</f>
        <v>0</v>
      </c>
      <c r="I21" s="1079">
        <f>SUM(B21:H21)</f>
        <v>2579976.69370875</v>
      </c>
    </row>
    <row r="22" spans="1:9" ht="15" x14ac:dyDescent="0.2">
      <c r="A22" s="824" t="s">
        <v>207</v>
      </c>
      <c r="B22" s="1079">
        <f>B18*InfoInicial!$B$3</f>
        <v>0</v>
      </c>
      <c r="C22" s="1079">
        <f>+'E-InvAT'!B34</f>
        <v>256482.42223581087</v>
      </c>
      <c r="D22" s="1079">
        <f>+'E-InvAT'!C34</f>
        <v>786997.46432957158</v>
      </c>
      <c r="E22" s="1079">
        <f>+'E-InvAT'!D34</f>
        <v>-506.15693531988381</v>
      </c>
      <c r="F22" s="1079">
        <f>+'E-InvAT'!E34</f>
        <v>0</v>
      </c>
      <c r="G22" s="1079">
        <f>+'E-InvAT'!F34</f>
        <v>3673.8749096118672</v>
      </c>
      <c r="H22" s="1079">
        <f>+'E-InvAT'!G34</f>
        <v>0</v>
      </c>
      <c r="I22" s="1079">
        <f>SUM(B22:H22)</f>
        <v>1046647.6045396745</v>
      </c>
    </row>
    <row r="23" spans="1:9" ht="15.75" x14ac:dyDescent="0.25">
      <c r="A23" s="970" t="s">
        <v>208</v>
      </c>
      <c r="B23" s="1080">
        <f>SUM(B21:B22)</f>
        <v>10500</v>
      </c>
      <c r="C23" s="1080">
        <f t="shared" ref="C23:H23" si="2">SUM(C21:C22)</f>
        <v>2797609.1159445606</v>
      </c>
      <c r="D23" s="1080">
        <f t="shared" si="2"/>
        <v>815347.46432957158</v>
      </c>
      <c r="E23" s="1080">
        <f t="shared" si="2"/>
        <v>-506.15693531988381</v>
      </c>
      <c r="F23" s="1080">
        <f t="shared" si="2"/>
        <v>0</v>
      </c>
      <c r="G23" s="1080">
        <f t="shared" si="2"/>
        <v>3673.8749096118672</v>
      </c>
      <c r="H23" s="1080">
        <f t="shared" si="2"/>
        <v>0</v>
      </c>
      <c r="I23" s="1080">
        <f>SUM(I21:I22)</f>
        <v>3626624.2982484242</v>
      </c>
    </row>
    <row r="24" spans="1:9" ht="15" x14ac:dyDescent="0.2">
      <c r="A24" s="968"/>
      <c r="B24" s="1078"/>
      <c r="C24" s="1078"/>
      <c r="D24" s="1078"/>
      <c r="E24" s="1078"/>
      <c r="F24" s="1078"/>
      <c r="G24" s="1078"/>
      <c r="H24" s="1078"/>
      <c r="I24" s="1078"/>
    </row>
    <row r="25" spans="1:9" ht="15.75" x14ac:dyDescent="0.25">
      <c r="A25" s="970" t="s">
        <v>209</v>
      </c>
      <c r="B25" s="1080">
        <f>B8+B18+B23</f>
        <v>60500</v>
      </c>
      <c r="C25" s="1080">
        <f t="shared" ref="C25:I25" si="3">C8+C18+C23</f>
        <v>16659557.287109137</v>
      </c>
      <c r="D25" s="1080">
        <f t="shared" si="3"/>
        <v>6705237.0151432427</v>
      </c>
      <c r="E25" s="1080">
        <f t="shared" si="3"/>
        <v>244612.60296021405</v>
      </c>
      <c r="F25" s="1080">
        <f t="shared" si="3"/>
        <v>-149.09450127861783</v>
      </c>
      <c r="G25" s="1080">
        <f t="shared" si="3"/>
        <v>21122.963926628585</v>
      </c>
      <c r="H25" s="1080">
        <f t="shared" si="3"/>
        <v>0.49816815997473896</v>
      </c>
      <c r="I25" s="1080">
        <f t="shared" si="3"/>
        <v>23690881.272806104</v>
      </c>
    </row>
    <row r="26" spans="1:9" x14ac:dyDescent="0.2">
      <c r="C26" s="304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C7:I7 C6:I6 C11:I14 B21:B25 C16:I25 D15 B8:D8 F8:I8 F15 H15:I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InfoInicial</vt:lpstr>
      <vt:lpstr>E-Inv AF y Am</vt:lpstr>
      <vt:lpstr>PRODUCCION</vt:lpstr>
      <vt:lpstr>COMER</vt:lpstr>
      <vt:lpstr>ADM</vt:lpstr>
      <vt:lpstr>ACT TRABAJO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</dc:creator>
  <cp:lastModifiedBy>pcp</cp:lastModifiedBy>
  <dcterms:created xsi:type="dcterms:W3CDTF">2017-08-31T18:42:14Z</dcterms:created>
  <dcterms:modified xsi:type="dcterms:W3CDTF">2017-09-01T20:19:49Z</dcterms:modified>
</cp:coreProperties>
</file>