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acultad Belu\EDP\"/>
    </mc:Choice>
  </mc:AlternateContent>
  <bookViews>
    <workbookView xWindow="0" yWindow="0" windowWidth="20490" windowHeight="7755" tabRatio="500" firstSheet="3" activeTab="4"/>
  </bookViews>
  <sheets>
    <sheet name="InfoInicial" sheetId="1" r:id="rId1"/>
    <sheet name="E-Inv AF y Am" sheetId="2" r:id="rId2"/>
    <sheet name="Auxiliar" sheetId="15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IVA" sheetId="11" r:id="rId11"/>
    <sheet name="F-2 Estructura" sheetId="10" r:id="rId12"/>
    <sheet name="F- CFyU" sheetId="12" r:id="rId13"/>
    <sheet name="F-Balance" sheetId="13" r:id="rId14"/>
    <sheet name="F- Form" sheetId="14" r:id="rId15"/>
  </sheets>
  <externalReferences>
    <externalReference r:id="rId16"/>
  </externalReferences>
  <definedNames>
    <definedName name="_xlnm.Print_Area" localSheetId="3">('E-Costos'!$A$3:$G$47,'E-Costos'!$A$50:$F$81,'E-Costos'!$A$84:$F$136)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52511"/>
</workbook>
</file>

<file path=xl/calcChain.xml><?xml version="1.0" encoding="utf-8"?>
<calcChain xmlns="http://schemas.openxmlformats.org/spreadsheetml/2006/main">
  <c r="G30" i="6" l="1"/>
  <c r="G28" i="6"/>
  <c r="D6" i="6"/>
  <c r="E6" i="6"/>
  <c r="F6" i="6"/>
  <c r="G6" i="6"/>
  <c r="C6" i="6"/>
  <c r="C19" i="4"/>
  <c r="D17" i="4"/>
  <c r="E17" i="4"/>
  <c r="F17" i="4"/>
  <c r="G17" i="4"/>
  <c r="C17" i="4"/>
  <c r="C15" i="4"/>
  <c r="D15" i="4"/>
  <c r="E15" i="4"/>
  <c r="F15" i="4"/>
  <c r="G15" i="4"/>
  <c r="B15" i="4"/>
  <c r="C9" i="4"/>
  <c r="D9" i="4"/>
  <c r="E9" i="4"/>
  <c r="F9" i="4"/>
  <c r="G9" i="4"/>
  <c r="B9" i="4"/>
  <c r="E13" i="4"/>
  <c r="F13" i="4"/>
  <c r="G13" i="4"/>
  <c r="D13" i="4"/>
  <c r="C13" i="4"/>
  <c r="D12" i="4"/>
  <c r="E12" i="4"/>
  <c r="F12" i="4"/>
  <c r="G12" i="4"/>
  <c r="C12" i="4"/>
  <c r="B10" i="4"/>
  <c r="D10" i="4"/>
  <c r="E10" i="4"/>
  <c r="F10" i="4"/>
  <c r="G10" i="4"/>
  <c r="C10" i="4"/>
  <c r="B135" i="15" l="1"/>
  <c r="F124" i="15"/>
  <c r="F126" i="15" s="1"/>
  <c r="B124" i="15"/>
  <c r="B126" i="15" s="1"/>
  <c r="B111" i="15"/>
  <c r="B110" i="15"/>
  <c r="B112" i="15" s="1"/>
  <c r="F102" i="15"/>
  <c r="B117" i="15" s="1"/>
  <c r="B102" i="15"/>
  <c r="E93" i="15"/>
  <c r="E92" i="15"/>
  <c r="E91" i="15"/>
  <c r="E90" i="15"/>
  <c r="E94" i="15" s="1"/>
  <c r="B106" i="15" s="1"/>
  <c r="B86" i="15"/>
  <c r="B85" i="15"/>
  <c r="E76" i="15"/>
  <c r="F76" i="15" s="1"/>
  <c r="B76" i="15"/>
  <c r="B75" i="15"/>
  <c r="B74" i="15"/>
  <c r="B73" i="15"/>
  <c r="F72" i="15"/>
  <c r="B72" i="15"/>
  <c r="E71" i="15"/>
  <c r="F71" i="15" s="1"/>
  <c r="B71" i="15"/>
  <c r="I70" i="15"/>
  <c r="E70" i="15"/>
  <c r="F70" i="15" s="1"/>
  <c r="F73" i="15" s="1"/>
  <c r="B70" i="15"/>
  <c r="F69" i="15"/>
  <c r="E69" i="15"/>
  <c r="E73" i="15" s="1"/>
  <c r="B69" i="15"/>
  <c r="B77" i="15" s="1"/>
  <c r="E59" i="15"/>
  <c r="D56" i="15"/>
  <c r="D53" i="15"/>
  <c r="B53" i="15"/>
  <c r="D59" i="15" s="1"/>
  <c r="F49" i="15"/>
  <c r="D49" i="15"/>
  <c r="B49" i="15"/>
  <c r="B34" i="15"/>
  <c r="B36" i="15" s="1"/>
  <c r="B38" i="15" s="1"/>
  <c r="B39" i="15" s="1"/>
  <c r="B41" i="15" s="1"/>
  <c r="F33" i="15"/>
  <c r="F32" i="15"/>
  <c r="F34" i="15" s="1"/>
  <c r="C31" i="15" s="1"/>
  <c r="H25" i="15"/>
  <c r="H24" i="15"/>
  <c r="G23" i="15"/>
  <c r="H23" i="15" s="1"/>
  <c r="H22" i="15"/>
  <c r="H21" i="15"/>
  <c r="H20" i="15"/>
  <c r="H19" i="15"/>
  <c r="H18" i="15"/>
  <c r="H17" i="15"/>
  <c r="H16" i="15"/>
  <c r="H15" i="15"/>
  <c r="H14" i="15"/>
  <c r="H26" i="15" s="1"/>
  <c r="B11" i="15" s="1"/>
  <c r="B54" i="15" s="1"/>
  <c r="H13" i="15"/>
  <c r="H12" i="15"/>
  <c r="H7" i="15"/>
  <c r="H6" i="15"/>
  <c r="H9" i="15" s="1"/>
  <c r="B7" i="15" s="1"/>
  <c r="B52" i="15" s="1"/>
  <c r="B3" i="15"/>
  <c r="B50" i="15" s="1"/>
  <c r="B101" i="3"/>
  <c r="F86" i="3"/>
  <c r="F101" i="3" s="1"/>
  <c r="E86" i="3"/>
  <c r="E101" i="3" s="1"/>
  <c r="D86" i="3"/>
  <c r="D101" i="3" s="1"/>
  <c r="C86" i="3"/>
  <c r="C101" i="3" s="1"/>
  <c r="B86" i="3"/>
  <c r="B88" i="3" s="1"/>
  <c r="F72" i="3"/>
  <c r="E72" i="3"/>
  <c r="D72" i="3"/>
  <c r="C72" i="3"/>
  <c r="B72" i="3"/>
  <c r="F71" i="3"/>
  <c r="E71" i="3"/>
  <c r="D71" i="3"/>
  <c r="C71" i="3"/>
  <c r="B71" i="3"/>
  <c r="F70" i="3"/>
  <c r="E70" i="3"/>
  <c r="D70" i="3"/>
  <c r="C70" i="3"/>
  <c r="B70" i="3"/>
  <c r="F69" i="3"/>
  <c r="E69" i="3"/>
  <c r="D69" i="3"/>
  <c r="C69" i="3"/>
  <c r="B69" i="3"/>
  <c r="F55" i="3"/>
  <c r="E55" i="3"/>
  <c r="D55" i="3"/>
  <c r="C55" i="3"/>
  <c r="B55" i="3"/>
  <c r="F54" i="3"/>
  <c r="E54" i="3"/>
  <c r="D54" i="3"/>
  <c r="C54" i="3"/>
  <c r="B54" i="3"/>
  <c r="F53" i="3"/>
  <c r="E53" i="3"/>
  <c r="D53" i="3"/>
  <c r="C53" i="3"/>
  <c r="B53" i="3"/>
  <c r="F52" i="3"/>
  <c r="E52" i="3"/>
  <c r="D52" i="3"/>
  <c r="C52" i="3"/>
  <c r="B52" i="3"/>
  <c r="F33" i="3"/>
  <c r="E33" i="3"/>
  <c r="D33" i="3"/>
  <c r="C33" i="3"/>
  <c r="B33" i="3"/>
  <c r="G32" i="3"/>
  <c r="F32" i="3"/>
  <c r="E32" i="3"/>
  <c r="D32" i="3"/>
  <c r="C32" i="3"/>
  <c r="B32" i="3"/>
  <c r="G30" i="3"/>
  <c r="F29" i="3"/>
  <c r="E29" i="3"/>
  <c r="D29" i="3"/>
  <c r="C29" i="3"/>
  <c r="B29" i="3"/>
  <c r="G25" i="3"/>
  <c r="F25" i="3"/>
  <c r="E25" i="3"/>
  <c r="D25" i="3"/>
  <c r="C25" i="3"/>
  <c r="B25" i="3"/>
  <c r="F15" i="3"/>
  <c r="F75" i="3" s="1"/>
  <c r="E15" i="3"/>
  <c r="E58" i="3" s="1"/>
  <c r="D15" i="3"/>
  <c r="D75" i="3" s="1"/>
  <c r="C15" i="3"/>
  <c r="C58" i="3" s="1"/>
  <c r="B15" i="3"/>
  <c r="B75" i="3" s="1"/>
  <c r="F14" i="3"/>
  <c r="E14" i="3"/>
  <c r="D14" i="3"/>
  <c r="C14" i="3"/>
  <c r="B14" i="3" s="1"/>
  <c r="F13" i="3"/>
  <c r="E13" i="3"/>
  <c r="D13" i="3"/>
  <c r="C13" i="3"/>
  <c r="F31" i="3" s="1"/>
  <c r="B13" i="3"/>
  <c r="F11" i="3"/>
  <c r="E11" i="3"/>
  <c r="D11" i="3"/>
  <c r="C11" i="3"/>
  <c r="B11" i="3" s="1"/>
  <c r="F10" i="3"/>
  <c r="E10" i="3"/>
  <c r="D10" i="3"/>
  <c r="C10" i="3"/>
  <c r="B10" i="3"/>
  <c r="F8" i="3"/>
  <c r="F91" i="3" s="1"/>
  <c r="E8" i="3"/>
  <c r="E91" i="3" s="1"/>
  <c r="D8" i="3"/>
  <c r="D91" i="3" s="1"/>
  <c r="C8" i="3"/>
  <c r="C91" i="3" s="1"/>
  <c r="F7" i="3"/>
  <c r="F90" i="3" s="1"/>
  <c r="E7" i="3"/>
  <c r="E90" i="3" s="1"/>
  <c r="D7" i="3"/>
  <c r="D90" i="3" s="1"/>
  <c r="C7" i="3"/>
  <c r="C90" i="3" s="1"/>
  <c r="B7" i="3"/>
  <c r="B90" i="3" s="1"/>
  <c r="E3" i="3"/>
  <c r="B8" i="3" l="1"/>
  <c r="B91" i="3" s="1"/>
  <c r="E52" i="15"/>
  <c r="F52" i="15"/>
  <c r="D52" i="15"/>
  <c r="D54" i="15"/>
  <c r="E54" i="15"/>
  <c r="C34" i="15"/>
  <c r="C36" i="15" s="1"/>
  <c r="C38" i="15" s="1"/>
  <c r="B128" i="15"/>
  <c r="F128" i="15"/>
  <c r="E78" i="15"/>
  <c r="E79" i="15" s="1"/>
  <c r="E50" i="15"/>
  <c r="F50" i="15"/>
  <c r="D50" i="15"/>
  <c r="B104" i="15"/>
  <c r="B105" i="15" s="1"/>
  <c r="B118" i="15"/>
  <c r="B4" i="15"/>
  <c r="E49" i="15"/>
  <c r="E53" i="15"/>
  <c r="B113" i="15"/>
  <c r="B114" i="15" s="1"/>
  <c r="B76" i="3"/>
  <c r="D76" i="3"/>
  <c r="F76" i="3"/>
  <c r="C12" i="3"/>
  <c r="E12" i="3"/>
  <c r="E39" i="3" s="1"/>
  <c r="C16" i="3"/>
  <c r="E16" i="3"/>
  <c r="C26" i="3"/>
  <c r="E26" i="3"/>
  <c r="G26" i="3"/>
  <c r="C28" i="3"/>
  <c r="C125" i="3" s="1"/>
  <c r="E28" i="3"/>
  <c r="C31" i="3"/>
  <c r="B31" i="3" s="1"/>
  <c r="G31" i="3" s="1"/>
  <c r="E31" i="3"/>
  <c r="C39" i="3"/>
  <c r="B58" i="3"/>
  <c r="D58" i="3"/>
  <c r="F58" i="3"/>
  <c r="C59" i="3"/>
  <c r="E59" i="3"/>
  <c r="C75" i="3"/>
  <c r="E75" i="3"/>
  <c r="D12" i="3"/>
  <c r="F12" i="3"/>
  <c r="D16" i="3"/>
  <c r="C17" i="3"/>
  <c r="C94" i="3" s="1"/>
  <c r="C20" i="3"/>
  <c r="C129" i="3" s="1"/>
  <c r="B26" i="3"/>
  <c r="D26" i="3"/>
  <c r="F26" i="3"/>
  <c r="B28" i="3"/>
  <c r="B125" i="3" s="1"/>
  <c r="D28" i="3"/>
  <c r="D125" i="3" s="1"/>
  <c r="F28" i="3"/>
  <c r="F125" i="3" s="1"/>
  <c r="D31" i="3"/>
  <c r="D39" i="3"/>
  <c r="B59" i="3"/>
  <c r="D59" i="3"/>
  <c r="F59" i="3"/>
  <c r="B78" i="3"/>
  <c r="B80" i="3" s="1"/>
  <c r="D78" i="3"/>
  <c r="D80" i="3" s="1"/>
  <c r="F78" i="3"/>
  <c r="F80" i="3" s="1"/>
  <c r="E125" i="3"/>
  <c r="C76" i="3"/>
  <c r="E76" i="3"/>
  <c r="C78" i="3"/>
  <c r="D88" i="3"/>
  <c r="F88" i="3"/>
  <c r="C88" i="3"/>
  <c r="E88" i="3"/>
  <c r="E78" i="3" l="1"/>
  <c r="E81" i="3" s="1"/>
  <c r="C81" i="3"/>
  <c r="E20" i="3"/>
  <c r="E129" i="3" s="1"/>
  <c r="E17" i="3"/>
  <c r="E94" i="3" s="1"/>
  <c r="D17" i="3"/>
  <c r="D94" i="3" s="1"/>
  <c r="C80" i="3"/>
  <c r="G35" i="3"/>
  <c r="B97" i="3" s="1"/>
  <c r="C39" i="15"/>
  <c r="C41" i="15" s="1"/>
  <c r="B51" i="15"/>
  <c r="B13" i="15"/>
  <c r="E80" i="15"/>
  <c r="D19" i="3"/>
  <c r="D128" i="3" s="1"/>
  <c r="B41" i="3"/>
  <c r="E110" i="3"/>
  <c r="F110" i="3"/>
  <c r="F132" i="3"/>
  <c r="D110" i="3"/>
  <c r="D132" i="3"/>
  <c r="B110" i="3"/>
  <c r="B132" i="3"/>
  <c r="F16" i="3"/>
  <c r="F39" i="3" s="1"/>
  <c r="D92" i="3"/>
  <c r="F81" i="3"/>
  <c r="F133" i="3" s="1"/>
  <c r="D81" i="3"/>
  <c r="D133" i="3" s="1"/>
  <c r="B81" i="3"/>
  <c r="B133" i="3" s="1"/>
  <c r="E80" i="3"/>
  <c r="E132" i="3" s="1"/>
  <c r="D61" i="3"/>
  <c r="D20" i="3"/>
  <c r="D129" i="3" s="1"/>
  <c r="F17" i="3"/>
  <c r="D30" i="3"/>
  <c r="B30" i="3"/>
  <c r="B12" i="3"/>
  <c r="C30" i="3"/>
  <c r="C92" i="3"/>
  <c r="E61" i="3"/>
  <c r="E19" i="3"/>
  <c r="E128" i="3" s="1"/>
  <c r="C132" i="3"/>
  <c r="C133" i="3"/>
  <c r="C110" i="3"/>
  <c r="F92" i="3"/>
  <c r="F61" i="3"/>
  <c r="F64" i="3" s="1"/>
  <c r="B61" i="3"/>
  <c r="B34" i="3"/>
  <c r="F30" i="3"/>
  <c r="E30" i="3"/>
  <c r="E34" i="3" s="1"/>
  <c r="E92" i="3"/>
  <c r="C61" i="3"/>
  <c r="C19" i="3"/>
  <c r="C128" i="3" s="1"/>
  <c r="E133" i="3" l="1"/>
  <c r="B55" i="15"/>
  <c r="B15" i="15"/>
  <c r="E51" i="15"/>
  <c r="F51" i="15"/>
  <c r="F57" i="15" s="1"/>
  <c r="F62" i="15" s="1"/>
  <c r="D51" i="15"/>
  <c r="B57" i="15"/>
  <c r="F34" i="3"/>
  <c r="F35" i="3" s="1"/>
  <c r="B109" i="3"/>
  <c r="E109" i="3"/>
  <c r="E63" i="3"/>
  <c r="E130" i="3" s="1"/>
  <c r="B35" i="3"/>
  <c r="B47" i="3" s="1"/>
  <c r="F94" i="3"/>
  <c r="F19" i="3"/>
  <c r="F128" i="3" s="1"/>
  <c r="D34" i="3"/>
  <c r="D109" i="3"/>
  <c r="F63" i="3"/>
  <c r="F130" i="3" s="1"/>
  <c r="D63" i="3"/>
  <c r="D130" i="3" s="1"/>
  <c r="C109" i="3"/>
  <c r="C63" i="3"/>
  <c r="C130" i="3" s="1"/>
  <c r="E35" i="3"/>
  <c r="E47" i="3" s="1"/>
  <c r="F131" i="3"/>
  <c r="F109" i="3"/>
  <c r="B16" i="3"/>
  <c r="B63" i="3"/>
  <c r="B130" i="3" s="1"/>
  <c r="E64" i="3"/>
  <c r="E131" i="3" s="1"/>
  <c r="E134" i="3" s="1"/>
  <c r="F20" i="3"/>
  <c r="F129" i="3" s="1"/>
  <c r="F134" i="3" s="1"/>
  <c r="B64" i="3"/>
  <c r="B131" i="3" s="1"/>
  <c r="C34" i="3"/>
  <c r="C35" i="3" s="1"/>
  <c r="C64" i="3"/>
  <c r="C131" i="3" s="1"/>
  <c r="C134" i="3" s="1"/>
  <c r="D64" i="3"/>
  <c r="D131" i="3" s="1"/>
  <c r="D134" i="3" s="1"/>
  <c r="E135" i="3" l="1"/>
  <c r="D35" i="3"/>
  <c r="D47" i="3" s="1"/>
  <c r="E57" i="15"/>
  <c r="E62" i="15" s="1"/>
  <c r="E55" i="15"/>
  <c r="D55" i="15"/>
  <c r="D57" i="15" s="1"/>
  <c r="D62" i="15" s="1"/>
  <c r="D135" i="3"/>
  <c r="C42" i="3"/>
  <c r="C46" i="3"/>
  <c r="C135" i="3"/>
  <c r="F42" i="3"/>
  <c r="F46" i="3"/>
  <c r="F47" i="3"/>
  <c r="D42" i="3"/>
  <c r="D46" i="3"/>
  <c r="B17" i="3"/>
  <c r="B20" i="3" s="1"/>
  <c r="B129" i="3" s="1"/>
  <c r="B134" i="3" s="1"/>
  <c r="B92" i="3"/>
  <c r="C47" i="3"/>
  <c r="B39" i="3"/>
  <c r="E42" i="3"/>
  <c r="E46" i="3"/>
  <c r="F135" i="3"/>
  <c r="B42" i="3"/>
  <c r="B98" i="3" s="1"/>
  <c r="B46" i="3"/>
  <c r="E98" i="3" l="1"/>
  <c r="E100" i="3" s="1"/>
  <c r="E43" i="3"/>
  <c r="E44" i="3" s="1"/>
  <c r="F98" i="3"/>
  <c r="F100" i="3" s="1"/>
  <c r="F43" i="3"/>
  <c r="F44" i="3" s="1"/>
  <c r="C98" i="3"/>
  <c r="C100" i="3" s="1"/>
  <c r="C43" i="3"/>
  <c r="C44" i="3" s="1"/>
  <c r="B43" i="3"/>
  <c r="B44" i="3" s="1"/>
  <c r="B94" i="3"/>
  <c r="B100" i="3" s="1"/>
  <c r="B19" i="3"/>
  <c r="B128" i="3" s="1"/>
  <c r="B135" i="3" s="1"/>
  <c r="D98" i="3"/>
  <c r="D100" i="3" s="1"/>
  <c r="D43" i="3"/>
  <c r="D44" i="3" s="1"/>
  <c r="D102" i="3" l="1"/>
  <c r="B102" i="3"/>
  <c r="B105" i="3" s="1"/>
  <c r="B107" i="3" s="1"/>
  <c r="B112" i="3" s="1"/>
  <c r="C102" i="3"/>
  <c r="F102" i="3"/>
  <c r="E102" i="3"/>
  <c r="E105" i="3" s="1"/>
  <c r="E107" i="3" s="1"/>
  <c r="E112" i="3" s="1"/>
  <c r="C105" i="3" l="1"/>
  <c r="C107" i="3" s="1"/>
  <c r="C112" i="3" s="1"/>
  <c r="B114" i="3"/>
  <c r="B116" i="3"/>
  <c r="E114" i="3"/>
  <c r="E116" i="3"/>
  <c r="C114" i="3"/>
  <c r="C116" i="3"/>
  <c r="F105" i="3"/>
  <c r="F107" i="3" s="1"/>
  <c r="F112" i="3" s="1"/>
  <c r="D105" i="3"/>
  <c r="D107" i="3" s="1"/>
  <c r="D112" i="3" s="1"/>
  <c r="D114" i="3" l="1"/>
  <c r="D116" i="3"/>
  <c r="C118" i="3"/>
  <c r="C117" i="3"/>
  <c r="C120" i="3" s="1"/>
  <c r="E118" i="3"/>
  <c r="E117" i="3"/>
  <c r="E120" i="3" s="1"/>
  <c r="B117" i="3"/>
  <c r="B118" i="3"/>
  <c r="F114" i="3"/>
  <c r="F116" i="3"/>
  <c r="B120" i="3" l="1"/>
  <c r="E121" i="3"/>
  <c r="E124" i="3"/>
  <c r="E126" i="3" s="1"/>
  <c r="C121" i="3"/>
  <c r="C124" i="3"/>
  <c r="C126" i="3" s="1"/>
  <c r="B124" i="3"/>
  <c r="B126" i="3" s="1"/>
  <c r="B121" i="3"/>
  <c r="D117" i="3"/>
  <c r="D120" i="3" s="1"/>
  <c r="D118" i="3"/>
  <c r="F117" i="3"/>
  <c r="F120" i="3" s="1"/>
  <c r="F118" i="3"/>
  <c r="F124" i="3" l="1"/>
  <c r="F126" i="3" s="1"/>
  <c r="F121" i="3"/>
  <c r="D124" i="3"/>
  <c r="D126" i="3" s="1"/>
  <c r="D121" i="3"/>
  <c r="D22" i="6" l="1"/>
  <c r="E22" i="6"/>
  <c r="F22" i="6"/>
  <c r="G22" i="6"/>
  <c r="C22" i="6"/>
  <c r="B21" i="6"/>
  <c r="B23" i="6" s="1"/>
  <c r="D19" i="6"/>
  <c r="E19" i="6"/>
  <c r="F19" i="6"/>
  <c r="G19" i="6"/>
  <c r="C19" i="6"/>
  <c r="D18" i="6"/>
  <c r="E18" i="6"/>
  <c r="F18" i="6"/>
  <c r="G18" i="6"/>
  <c r="C18" i="6"/>
  <c r="B16" i="6"/>
  <c r="B15" i="6"/>
  <c r="C13" i="6"/>
  <c r="B12" i="6"/>
  <c r="D9" i="6"/>
  <c r="E9" i="6"/>
  <c r="F9" i="6"/>
  <c r="G9" i="6"/>
  <c r="C9" i="6"/>
  <c r="D8" i="6"/>
  <c r="E8" i="6"/>
  <c r="E12" i="6" s="1"/>
  <c r="F8" i="6"/>
  <c r="G8" i="6"/>
  <c r="C8" i="6"/>
  <c r="D7" i="6"/>
  <c r="E7" i="6"/>
  <c r="F7" i="6"/>
  <c r="G7" i="6"/>
  <c r="C7" i="6"/>
  <c r="B25" i="5"/>
  <c r="B23" i="5"/>
  <c r="C21" i="5"/>
  <c r="D21" i="5"/>
  <c r="E21" i="5"/>
  <c r="F21" i="5"/>
  <c r="G21" i="5"/>
  <c r="H21" i="5"/>
  <c r="I21" i="5"/>
  <c r="B21" i="5"/>
  <c r="I8" i="5"/>
  <c r="B18" i="5"/>
  <c r="D11" i="5"/>
  <c r="C8" i="5"/>
  <c r="D8" i="5"/>
  <c r="E8" i="5"/>
  <c r="F8" i="5"/>
  <c r="G8" i="5"/>
  <c r="H8" i="5"/>
  <c r="B8" i="5"/>
  <c r="I7" i="5"/>
  <c r="I6" i="5"/>
  <c r="C7" i="5"/>
  <c r="D7" i="5"/>
  <c r="B7" i="5"/>
  <c r="C6" i="5"/>
  <c r="L45" i="4"/>
  <c r="M45" i="4"/>
  <c r="N45" i="4"/>
  <c r="K45" i="4"/>
  <c r="J43" i="4"/>
  <c r="J44" i="4"/>
  <c r="J45" i="4"/>
  <c r="L44" i="4"/>
  <c r="M44" i="4"/>
  <c r="N44" i="4"/>
  <c r="K44" i="4"/>
  <c r="L43" i="4"/>
  <c r="M43" i="4"/>
  <c r="N43" i="4"/>
  <c r="K43" i="4"/>
  <c r="L42" i="4"/>
  <c r="M42" i="4"/>
  <c r="M47" i="4" s="1"/>
  <c r="N42" i="4"/>
  <c r="K42" i="4"/>
  <c r="K47" i="4" s="1"/>
  <c r="J42" i="4"/>
  <c r="K36" i="4"/>
  <c r="L36" i="4"/>
  <c r="M36" i="4"/>
  <c r="N36" i="4"/>
  <c r="J36" i="4"/>
  <c r="K35" i="4"/>
  <c r="L35" i="4"/>
  <c r="M35" i="4"/>
  <c r="N35" i="4"/>
  <c r="J35" i="4"/>
  <c r="K34" i="4"/>
  <c r="L34" i="4"/>
  <c r="M34" i="4"/>
  <c r="N34" i="4"/>
  <c r="J34" i="4"/>
  <c r="L33" i="4"/>
  <c r="M33" i="4"/>
  <c r="M38" i="4" s="1"/>
  <c r="N33" i="4"/>
  <c r="K33" i="4"/>
  <c r="K38" i="4" s="1"/>
  <c r="J33" i="4"/>
  <c r="F18" i="4"/>
  <c r="C18" i="4"/>
  <c r="C20" i="4" s="1"/>
  <c r="H16" i="5"/>
  <c r="F16" i="5"/>
  <c r="D16" i="5"/>
  <c r="E11" i="4"/>
  <c r="F11" i="4"/>
  <c r="G15" i="5" s="1"/>
  <c r="G11" i="4"/>
  <c r="D11" i="4"/>
  <c r="E15" i="5" s="1"/>
  <c r="C11" i="4"/>
  <c r="B11" i="4" s="1"/>
  <c r="B31" i="4" s="1"/>
  <c r="E14" i="5"/>
  <c r="E30" i="4"/>
  <c r="G14" i="5"/>
  <c r="G30" i="4"/>
  <c r="D14" i="5"/>
  <c r="B30" i="4"/>
  <c r="B34" i="4" s="1"/>
  <c r="C22" i="5" s="1"/>
  <c r="O8" i="4"/>
  <c r="C6" i="4" s="1"/>
  <c r="B6" i="4" s="1"/>
  <c r="C11" i="5" s="1"/>
  <c r="O9" i="4"/>
  <c r="F7" i="4" s="1"/>
  <c r="G12" i="6" l="1"/>
  <c r="D18" i="4"/>
  <c r="E17" i="5" s="1"/>
  <c r="M48" i="4"/>
  <c r="F33" i="4" s="1"/>
  <c r="F16" i="6" s="1"/>
  <c r="G31" i="4"/>
  <c r="F15" i="5"/>
  <c r="E16" i="5"/>
  <c r="G16" i="5"/>
  <c r="D17" i="5"/>
  <c r="G18" i="4"/>
  <c r="G20" i="4" s="1"/>
  <c r="E18" i="4"/>
  <c r="E20" i="4" s="1"/>
  <c r="J38" i="4"/>
  <c r="J39" i="4" s="1"/>
  <c r="C32" i="4" s="1"/>
  <c r="C15" i="6" s="1"/>
  <c r="N38" i="4"/>
  <c r="N39" i="4" s="1"/>
  <c r="G32" i="4" s="1"/>
  <c r="G15" i="6" s="1"/>
  <c r="L38" i="4"/>
  <c r="L39" i="4" s="1"/>
  <c r="E32" i="4" s="1"/>
  <c r="E15" i="6" s="1"/>
  <c r="J47" i="4"/>
  <c r="J48" i="4" s="1"/>
  <c r="C33" i="4" s="1"/>
  <c r="N47" i="4"/>
  <c r="N48" i="4" s="1"/>
  <c r="G33" i="4" s="1"/>
  <c r="G16" i="6" s="1"/>
  <c r="L47" i="4"/>
  <c r="C12" i="6"/>
  <c r="F12" i="6"/>
  <c r="D12" i="6"/>
  <c r="F20" i="4"/>
  <c r="K39" i="4"/>
  <c r="D32" i="4" s="1"/>
  <c r="D15" i="6" s="1"/>
  <c r="K48" i="4"/>
  <c r="D33" i="4" s="1"/>
  <c r="D16" i="6" s="1"/>
  <c r="C23" i="5"/>
  <c r="B26" i="6" s="1"/>
  <c r="B27" i="6" s="1"/>
  <c r="C16" i="6"/>
  <c r="G34" i="4"/>
  <c r="H22" i="5" s="1"/>
  <c r="H23" i="5" s="1"/>
  <c r="G26" i="6" s="1"/>
  <c r="L48" i="4"/>
  <c r="E33" i="4" s="1"/>
  <c r="C30" i="4"/>
  <c r="C34" i="4" s="1"/>
  <c r="D22" i="5" s="1"/>
  <c r="F30" i="4"/>
  <c r="D30" i="4"/>
  <c r="C31" i="4"/>
  <c r="F31" i="4"/>
  <c r="E31" i="4"/>
  <c r="C14" i="5"/>
  <c r="H14" i="5"/>
  <c r="F14" i="5"/>
  <c r="C15" i="5"/>
  <c r="H15" i="5"/>
  <c r="B22" i="4"/>
  <c r="B25" i="4" s="1"/>
  <c r="D31" i="4"/>
  <c r="D15" i="5"/>
  <c r="C18" i="5"/>
  <c r="C25" i="5" s="1"/>
  <c r="F19" i="4"/>
  <c r="B24" i="4"/>
  <c r="C7" i="4"/>
  <c r="D6" i="4"/>
  <c r="F6" i="4"/>
  <c r="G7" i="4"/>
  <c r="E7" i="4"/>
  <c r="G6" i="4"/>
  <c r="E6" i="4"/>
  <c r="D7" i="4"/>
  <c r="M27" i="2"/>
  <c r="B9" i="2"/>
  <c r="E56" i="2"/>
  <c r="F56" i="2"/>
  <c r="G56" i="2"/>
  <c r="D56" i="2"/>
  <c r="G53" i="2"/>
  <c r="E53" i="2"/>
  <c r="D53" i="2"/>
  <c r="E51" i="2"/>
  <c r="F51" i="2"/>
  <c r="G51" i="2"/>
  <c r="D51" i="2"/>
  <c r="D50" i="2"/>
  <c r="G50" i="2"/>
  <c r="G49" i="2"/>
  <c r="E49" i="2"/>
  <c r="E48" i="2"/>
  <c r="E47" i="2"/>
  <c r="E46" i="2"/>
  <c r="F46" i="2"/>
  <c r="E45" i="2"/>
  <c r="F45" i="2"/>
  <c r="E44" i="2"/>
  <c r="F44" i="2"/>
  <c r="D49" i="2"/>
  <c r="D48" i="2"/>
  <c r="G48" i="2"/>
  <c r="G47" i="2"/>
  <c r="D47" i="2"/>
  <c r="D46" i="2"/>
  <c r="G46" i="2"/>
  <c r="D45" i="2"/>
  <c r="G44" i="2"/>
  <c r="D44" i="2"/>
  <c r="E43" i="2"/>
  <c r="F43" i="2"/>
  <c r="D43" i="2"/>
  <c r="G45" i="2"/>
  <c r="K53" i="2"/>
  <c r="B51" i="2"/>
  <c r="B48" i="2"/>
  <c r="B46" i="2"/>
  <c r="C36" i="2"/>
  <c r="C34" i="2"/>
  <c r="C33" i="2"/>
  <c r="C31" i="2"/>
  <c r="B31" i="2"/>
  <c r="C29" i="2"/>
  <c r="C26" i="2"/>
  <c r="B29" i="2"/>
  <c r="M29" i="2"/>
  <c r="M28" i="2"/>
  <c r="B18" i="2"/>
  <c r="B20" i="2" s="1"/>
  <c r="B33" i="2" s="1"/>
  <c r="B34" i="2" s="1"/>
  <c r="B36" i="2" s="1"/>
  <c r="B12" i="2"/>
  <c r="B16" i="2"/>
  <c r="J31" i="2"/>
  <c r="J14" i="2"/>
  <c r="J12" i="2"/>
  <c r="J13" i="2"/>
  <c r="J11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7" i="2"/>
  <c r="I28" i="2"/>
  <c r="G1" i="5"/>
  <c r="G1" i="7"/>
  <c r="M18" i="7"/>
  <c r="M19" i="7"/>
  <c r="M20" i="7"/>
  <c r="M21" i="7"/>
  <c r="E1" i="2"/>
  <c r="E1" i="4"/>
  <c r="G1" i="6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G43" i="2"/>
  <c r="C25" i="6" l="1"/>
  <c r="D17" i="6"/>
  <c r="D21" i="6" s="1"/>
  <c r="D23" i="6" s="1"/>
  <c r="D28" i="6" s="1"/>
  <c r="C17" i="6"/>
  <c r="C21" i="6" s="1"/>
  <c r="C23" i="6" s="1"/>
  <c r="C28" i="6" s="1"/>
  <c r="G17" i="6"/>
  <c r="G21" i="6" s="1"/>
  <c r="G23" i="6" s="1"/>
  <c r="D20" i="4"/>
  <c r="G17" i="5"/>
  <c r="F17" i="5"/>
  <c r="I16" i="5"/>
  <c r="F16" i="4"/>
  <c r="F34" i="4"/>
  <c r="G22" i="5" s="1"/>
  <c r="G23" i="5" s="1"/>
  <c r="F26" i="6" s="1"/>
  <c r="M39" i="4"/>
  <c r="F32" i="4" s="1"/>
  <c r="F15" i="6" s="1"/>
  <c r="F17" i="6" s="1"/>
  <c r="F21" i="6" s="1"/>
  <c r="F23" i="6" s="1"/>
  <c r="F28" i="6" s="1"/>
  <c r="H17" i="5"/>
  <c r="I17" i="5" s="1"/>
  <c r="D23" i="5"/>
  <c r="C26" i="6" s="1"/>
  <c r="I14" i="5"/>
  <c r="D34" i="4"/>
  <c r="E22" i="5" s="1"/>
  <c r="E23" i="5" s="1"/>
  <c r="D26" i="6" s="1"/>
  <c r="E34" i="4"/>
  <c r="F22" i="5" s="1"/>
  <c r="F23" i="5" s="1"/>
  <c r="E26" i="6" s="1"/>
  <c r="E16" i="6"/>
  <c r="E17" i="6" s="1"/>
  <c r="E21" i="6" s="1"/>
  <c r="E23" i="6" s="1"/>
  <c r="E28" i="6" s="1"/>
  <c r="I15" i="5"/>
  <c r="D19" i="4"/>
  <c r="D16" i="4" s="1"/>
  <c r="H11" i="5"/>
  <c r="G19" i="4"/>
  <c r="G16" i="4" s="1"/>
  <c r="H12" i="5"/>
  <c r="E11" i="5"/>
  <c r="C24" i="4"/>
  <c r="F11" i="5"/>
  <c r="E19" i="4"/>
  <c r="E16" i="4" s="1"/>
  <c r="G11" i="5"/>
  <c r="C16" i="4"/>
  <c r="C22" i="4" s="1"/>
  <c r="C25" i="4" s="1"/>
  <c r="C36" i="4" s="1"/>
  <c r="C27" i="6" l="1"/>
  <c r="G12" i="5"/>
  <c r="G18" i="5" s="1"/>
  <c r="G25" i="5" s="1"/>
  <c r="F12" i="5"/>
  <c r="F18" i="5" s="1"/>
  <c r="F25" i="5" s="1"/>
  <c r="I22" i="5"/>
  <c r="I23" i="5" s="1"/>
  <c r="E24" i="4"/>
  <c r="E22" i="4"/>
  <c r="D22" i="4"/>
  <c r="D25" i="4" s="1"/>
  <c r="D36" i="4" s="1"/>
  <c r="D24" i="4"/>
  <c r="G24" i="4"/>
  <c r="G22" i="4"/>
  <c r="D12" i="5"/>
  <c r="F24" i="4"/>
  <c r="F22" i="4"/>
  <c r="I11" i="5"/>
  <c r="H18" i="5"/>
  <c r="H25" i="5" s="1"/>
  <c r="E12" i="5"/>
  <c r="E18" i="5" s="1"/>
  <c r="E25" i="5" s="1"/>
  <c r="D25" i="6" l="1"/>
  <c r="D27" i="6"/>
  <c r="G25" i="4"/>
  <c r="G36" i="4" s="1"/>
  <c r="E25" i="4"/>
  <c r="E36" i="4" s="1"/>
  <c r="F25" i="4"/>
  <c r="F36" i="4" s="1"/>
  <c r="I12" i="5"/>
  <c r="I18" i="5" s="1"/>
  <c r="I25" i="5" s="1"/>
  <c r="D18" i="5"/>
  <c r="D25" i="5" s="1"/>
  <c r="E27" i="6" l="1"/>
  <c r="E25" i="6"/>
  <c r="B36" i="4"/>
  <c r="F27" i="6" l="1"/>
  <c r="G25" i="6" s="1"/>
  <c r="F25" i="6"/>
</calcChain>
</file>

<file path=xl/sharedStrings.xml><?xml version="1.0" encoding="utf-8"?>
<sst xmlns="http://schemas.openxmlformats.org/spreadsheetml/2006/main" count="909" uniqueCount="537">
  <si>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</si>
  <si>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</si>
  <si>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</si>
  <si>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</si>
  <si>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</si>
  <si>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</si>
  <si>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</si>
  <si>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</si>
  <si>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</si>
  <si>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</si>
  <si>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</si>
  <si>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</si>
  <si>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</si>
  <si>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</si>
  <si>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</si>
  <si>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</si>
  <si>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</si>
  <si>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</si>
  <si>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</si>
  <si>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</si>
  <si>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</si>
  <si>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</si>
  <si>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</si>
  <si>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</si>
  <si>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</si>
  <si>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</si>
  <si>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</si>
  <si>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</si>
  <si>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</si>
  <si>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</si>
  <si>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</si>
  <si>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</si>
  <si>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</si>
  <si>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</si>
  <si>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</si>
  <si>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</si>
  <si>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</si>
  <si>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</si>
  <si>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</si>
  <si>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</si>
  <si>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</si>
  <si>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</si>
  <si>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</si>
  <si>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</si>
  <si>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</si>
  <si>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</si>
  <si>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</si>
  <si>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</si>
  <si>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Oktubre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</si>
  <si>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</si>
  <si>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</si>
  <si>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</si>
  <si>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</si>
  <si>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</si>
  <si>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</si>
  <si>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</si>
  <si>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</si>
  <si>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</si>
  <si>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</si>
  <si>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</si>
  <si>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</si>
  <si>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</si>
  <si>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</si>
  <si>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</si>
  <si>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</si>
  <si>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</si>
  <si>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</si>
  <si>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</si>
  <si>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</si>
  <si>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</si>
  <si>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</si>
  <si>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</si>
  <si>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</si>
  <si>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</si>
  <si>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</si>
  <si>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</si>
  <si>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</si>
  <si>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</si>
  <si>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</si>
  <si>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</si>
  <si>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</si>
  <si>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</si>
  <si>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</si>
  <si>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</si>
  <si>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</si>
  <si>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</si>
  <si>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</si>
  <si>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</si>
  <si>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</si>
  <si>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</si>
  <si>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</si>
  <si>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</si>
  <si>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</si>
  <si>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</si>
  <si>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</si>
  <si>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</si>
  <si>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</si>
  <si>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</si>
  <si>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</si>
  <si>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</si>
  <si>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</si>
  <si>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</si>
  <si>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</si>
  <si>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</si>
  <si>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</si>
  <si>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</si>
  <si>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</si>
  <si>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</si>
  <si>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</si>
  <si>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</si>
  <si>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</si>
  <si>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</si>
  <si>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</si>
  <si>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</si>
  <si>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</si>
  <si>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</si>
  <si>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</si>
  <si>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</si>
  <si>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</si>
  <si>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</si>
  <si>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</si>
  <si>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</si>
  <si>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</si>
  <si>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</si>
  <si>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</si>
  <si>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</si>
  <si>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</si>
  <si>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</si>
  <si>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</si>
  <si>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</si>
  <si>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</si>
  <si>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</si>
  <si>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</si>
  <si>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</si>
  <si>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</si>
  <si>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</si>
  <si>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</si>
  <si>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</si>
  <si>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</si>
  <si>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</si>
  <si>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</si>
  <si>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</si>
  <si>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</si>
  <si>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</si>
  <si>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</si>
  <si>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</si>
  <si>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</si>
  <si>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</si>
  <si>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</si>
  <si>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</si>
  <si>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</si>
  <si>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</si>
  <si>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</si>
  <si>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</si>
  <si>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</si>
  <si>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</si>
  <si>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</si>
  <si>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</si>
  <si>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</si>
  <si>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</si>
  <si>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</si>
  <si>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</si>
  <si>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</si>
  <si>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</si>
  <si>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</si>
  <si>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</si>
  <si>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</si>
  <si>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</si>
  <si>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</si>
  <si>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</si>
  <si>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</si>
  <si>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</si>
  <si>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</si>
  <si>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</si>
  <si>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</si>
  <si>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</si>
  <si>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</si>
  <si>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</si>
  <si>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</si>
  <si>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</si>
  <si>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</si>
  <si>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</si>
  <si>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</si>
  <si>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</si>
  <si>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</si>
  <si>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</si>
  <si>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</si>
  <si>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</si>
  <si>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</si>
  <si>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</si>
  <si>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</si>
  <si>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</si>
  <si>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</si>
  <si>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</si>
  <si>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</si>
  <si>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</si>
  <si>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</si>
  <si>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</si>
  <si>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</si>
  <si>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</si>
  <si>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</si>
  <si>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</si>
  <si>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</si>
  <si>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</si>
  <si>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</si>
  <si>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</si>
  <si>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</si>
  <si>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</si>
  <si>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</si>
  <si>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</si>
  <si>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</si>
  <si>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</si>
  <si>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</si>
  <si>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</si>
  <si>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</si>
  <si>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</si>
  <si>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</si>
  <si>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</si>
  <si>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</si>
  <si>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</si>
  <si>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</si>
  <si>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</si>
  <si>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</si>
  <si>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</si>
  <si>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</si>
  <si>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</si>
  <si>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</si>
  <si>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</si>
  <si>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</si>
  <si>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</si>
  <si>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</si>
  <si>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</si>
  <si>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</si>
  <si>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</si>
  <si>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</si>
  <si>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</si>
  <si>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</si>
  <si>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</si>
  <si>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</si>
  <si>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</si>
  <si>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</si>
  <si>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</si>
  <si>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</si>
  <si>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</si>
  <si>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</si>
  <si>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</si>
  <si>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</si>
  <si>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</si>
  <si>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</si>
  <si>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</si>
  <si>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</si>
  <si>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</si>
  <si>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</si>
  <si>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</si>
  <si>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</si>
  <si>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</si>
  <si>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</si>
  <si>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</si>
  <si>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</si>
  <si>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</si>
  <si>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</si>
  <si>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</si>
  <si>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</si>
  <si>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</si>
  <si>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</si>
  <si>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</si>
  <si>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</si>
  <si>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</si>
  <si>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</si>
  <si>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</si>
  <si>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</si>
  <si>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</si>
  <si>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</si>
  <si>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</si>
  <si>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</si>
  <si>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</si>
  <si>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</si>
  <si>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</si>
  <si>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</si>
  <si>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</si>
  <si>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</si>
  <si>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</si>
  <si>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</si>
  <si>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</si>
  <si>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</si>
  <si>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</si>
  <si>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</si>
  <si>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</si>
  <si>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</si>
  <si>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</si>
  <si>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</si>
  <si>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</si>
  <si>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</si>
  <si>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</si>
  <si>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</si>
  <si>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</si>
  <si>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</si>
  <si>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</si>
  <si>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</si>
  <si>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</si>
  <si>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</si>
  <si>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</si>
  <si>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</si>
  <si>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</si>
  <si>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</si>
  <si>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</si>
  <si>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</si>
  <si>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</si>
  <si>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</si>
  <si>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</si>
  <si>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</si>
  <si>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</si>
  <si>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</si>
  <si>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</si>
  <si>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</si>
  <si>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</si>
  <si>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</si>
  <si>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</si>
  <si>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</si>
  <si>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</si>
  <si>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</si>
  <si>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</si>
  <si>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</si>
  <si>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</si>
  <si>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</si>
  <si>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</si>
  <si>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</si>
  <si>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</si>
  <si>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</si>
  <si>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</si>
  <si>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</si>
  <si>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</si>
  <si>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</si>
  <si>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</si>
  <si>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</si>
  <si>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</si>
  <si>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</si>
  <si>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</si>
  <si>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</si>
  <si>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</si>
  <si>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</si>
  <si>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</si>
  <si>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</si>
  <si>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</si>
  <si>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</si>
  <si>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</si>
  <si>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</si>
  <si>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</si>
  <si>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</si>
  <si>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</si>
  <si>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</si>
  <si>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</si>
  <si>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</si>
  <si>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</si>
  <si>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</si>
  <si>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</si>
  <si>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</si>
  <si>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</si>
  <si>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</si>
  <si>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</si>
  <si>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</si>
  <si>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</si>
  <si>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</si>
  <si>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</si>
  <si>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</si>
  <si>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</si>
  <si>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</si>
  <si>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</si>
  <si>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</si>
  <si>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</si>
  <si>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</si>
  <si>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</si>
  <si>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</si>
  <si>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</si>
  <si>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</si>
  <si>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</si>
  <si>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</si>
  <si>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</si>
  <si>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</si>
  <si>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</si>
  <si>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</si>
  <si>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</si>
  <si>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</si>
  <si>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</si>
  <si>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</si>
  <si>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</si>
  <si>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</si>
  <si>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</si>
  <si>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</si>
  <si>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</si>
  <si>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</si>
  <si>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</si>
  <si>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</si>
  <si>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</si>
  <si>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</si>
  <si>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</si>
  <si>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</si>
  <si>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</si>
  <si>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</si>
  <si>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</si>
  <si>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</si>
  <si>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Barbero</t>
  </si>
  <si>
    <t>Terreno</t>
  </si>
  <si>
    <t>Muebles y Utiles</t>
  </si>
  <si>
    <t>Pc</t>
  </si>
  <si>
    <t>Sillas</t>
  </si>
  <si>
    <t>Ventiladores</t>
  </si>
  <si>
    <t>Estufa</t>
  </si>
  <si>
    <t>Aire acondicionado</t>
  </si>
  <si>
    <t>Cafetera</t>
  </si>
  <si>
    <t>Telefono fijo</t>
  </si>
  <si>
    <t>Escritorios</t>
  </si>
  <si>
    <t>cant</t>
  </si>
  <si>
    <t>impresora</t>
  </si>
  <si>
    <t>Estanterias pt</t>
  </si>
  <si>
    <t>Estanterias mp</t>
  </si>
  <si>
    <t>Mesas industriales</t>
  </si>
  <si>
    <t>Mesa Gerencial</t>
  </si>
  <si>
    <t>Mesas Operacionales</t>
  </si>
  <si>
    <t>Precio unitario</t>
  </si>
  <si>
    <t>Máquinas</t>
  </si>
  <si>
    <t>Corte</t>
  </si>
  <si>
    <t>Confección</t>
  </si>
  <si>
    <t>Cantiodad</t>
  </si>
  <si>
    <t>Precio Unitario</t>
  </si>
  <si>
    <t>Shablon+Maniqueta</t>
  </si>
  <si>
    <t>Exceso Tela</t>
  </si>
  <si>
    <t>Exceso Servicios</t>
  </si>
  <si>
    <t>Años 6/10</t>
  </si>
  <si>
    <t>Cuchilla cortadora</t>
  </si>
  <si>
    <t>Cantidad</t>
  </si>
  <si>
    <t xml:space="preserve">Set de Agujas </t>
  </si>
  <si>
    <t>Años de amortización</t>
  </si>
  <si>
    <t>Componentes 1 barbero</t>
  </si>
  <si>
    <t>Tela sylver</t>
  </si>
  <si>
    <t xml:space="preserve">Velcro </t>
  </si>
  <si>
    <t>Sopapas Ventosas</t>
  </si>
  <si>
    <t>Argollas de metal</t>
  </si>
  <si>
    <t>Tela Bies</t>
  </si>
  <si>
    <t>Hilo de Poliester</t>
  </si>
  <si>
    <t>Tinta</t>
  </si>
  <si>
    <t>Empaque</t>
  </si>
  <si>
    <t>Costo</t>
  </si>
  <si>
    <t>Energía</t>
  </si>
  <si>
    <t>Consumo Anual en Régimen</t>
  </si>
  <si>
    <t>Consumo Área Producción</t>
  </si>
  <si>
    <t>Consumo Mantenimiento</t>
  </si>
  <si>
    <t>Gasto Fijo Anual</t>
  </si>
  <si>
    <t>Consumo</t>
  </si>
  <si>
    <t>*</t>
  </si>
  <si>
    <t>*33,23 precio gas oil por litro</t>
  </si>
  <si>
    <t>*32643 es preoducción en el período de puesta en marcha</t>
  </si>
  <si>
    <t>**1,436 es (14,36+0,1*14,369)-14,36</t>
  </si>
  <si>
    <t>14,36 es el porcentaje de desperdicio no recuperables</t>
  </si>
  <si>
    <t>año1</t>
  </si>
  <si>
    <t>año 2-n</t>
  </si>
  <si>
    <t>precio de venta</t>
  </si>
  <si>
    <t>llamar colum</t>
  </si>
  <si>
    <t>venta en $</t>
  </si>
  <si>
    <t>ventas en u</t>
  </si>
  <si>
    <t>Las disponibilidades mínimas en Caja y Bancos se estiman en el 2% de las ventas anuales.</t>
  </si>
  <si>
    <t>El plazo promedio de financiación a clientes es de 30 días.</t>
  </si>
  <si>
    <t>mp</t>
  </si>
  <si>
    <t>año 0</t>
  </si>
  <si>
    <t>Stock elab</t>
  </si>
  <si>
    <t>Produción anual</t>
  </si>
  <si>
    <t>año2-n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</si>
  <si>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</si>
  <si>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</si>
  <si>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</si>
  <si>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Mercaderiá en curso y SE 1341,8 (dimensionamiento técnico)</t>
  </si>
  <si>
    <t>https://www.zonaprop.com.ar/propiedades/lote-portela-al-500-42873238.html</t>
  </si>
  <si>
    <t>https://servicio.mercadolibre.com.ar/MLA-741092832-galpones-completos-tinglados-pisos-industriales-x-m2-comp-_JM</t>
  </si>
  <si>
    <t>Consideramo que la instalaciones industriales son un 80% del costo de edificio y obras complementarias</t>
  </si>
  <si>
    <t>https://articulo.mercadolibre.com.ar/MLA-736904866-cortadora-de-tela-cuchilla-circular-dapet-5-pulgadas-_JM</t>
  </si>
  <si>
    <t>https://articulo.mercadolibre.com.ar/MLA-678847238-nueva-recta-industrial-jack-f4-motor-bajo-consumo-_JM</t>
  </si>
  <si>
    <t>https://articulo.mercadolibre.com.ar/MLA-606269565-schablones-shablones-40x50-47h-serigrafia-manigueta-_JM</t>
  </si>
  <si>
    <t>https://articulo.mercadolibre.com.ar/MLA-699259684-manigueta-25cm-color-ambar-serigrafia-_JM</t>
  </si>
  <si>
    <t>https://auto.mercadolibre.com.ar/MLA-745872965-fiat-fiorino-13-fire-2010-_JM</t>
  </si>
  <si>
    <t>Imprevistos consideramos que es el 1% de los gastos de bienes de uso</t>
  </si>
  <si>
    <t>Aproximación del costo de abrir una SRL (pyme)</t>
  </si>
  <si>
    <t>Sale del dimensionamiento técnico</t>
  </si>
  <si>
    <t>precio tela sylver: 46$/m2</t>
  </si>
  <si>
    <t>Años de amorización</t>
  </si>
  <si>
    <t>Repuesto</t>
  </si>
  <si>
    <t>Cuchilla Cortadora</t>
  </si>
  <si>
    <t>Instalaciones Industriales</t>
  </si>
  <si>
    <t>Set de agujas</t>
  </si>
  <si>
    <t>Máquinas Operativas</t>
  </si>
  <si>
    <t>Potencia Total Instalada</t>
  </si>
  <si>
    <t>Gas Oil</t>
  </si>
  <si>
    <t>Gasto Específico</t>
  </si>
  <si>
    <t>Gasto de Mercadería en Proceso</t>
  </si>
  <si>
    <t>Exceso gasto PM</t>
  </si>
  <si>
    <t>Limpieza y Operario 10700</t>
  </si>
  <si>
    <t>Gerente General 100000</t>
  </si>
  <si>
    <t>Gerente Producción 80000</t>
  </si>
  <si>
    <t>Jefes 60000</t>
  </si>
  <si>
    <t>Total PI</t>
  </si>
  <si>
    <t>MOD</t>
  </si>
  <si>
    <t>Sueldo</t>
  </si>
  <si>
    <t>Carga Social (%)</t>
  </si>
  <si>
    <t>Gasto anual</t>
  </si>
  <si>
    <t>Gerente General</t>
  </si>
  <si>
    <t>Gerente Producción</t>
  </si>
  <si>
    <t>Jefe</t>
  </si>
  <si>
    <t>Limpieza</t>
  </si>
  <si>
    <t>Gasto anueal adicional</t>
  </si>
  <si>
    <t>Días de trabajo</t>
  </si>
  <si>
    <t>Cantidad de operarios</t>
  </si>
  <si>
    <t>Turno</t>
  </si>
  <si>
    <t>Horas</t>
  </si>
  <si>
    <t>Jornal ($/h)</t>
  </si>
  <si>
    <t>Consumo de MP en proceso</t>
  </si>
  <si>
    <t>Gasto específico</t>
  </si>
  <si>
    <t>Ventas Año 1</t>
  </si>
  <si>
    <t>Gasto de la mercadería en proceso</t>
  </si>
  <si>
    <t>Gasto en la mercadería en proceso</t>
  </si>
  <si>
    <t>Materiales Mercadería CySE Puesta en MArcha</t>
  </si>
  <si>
    <t>Gasto Anual</t>
  </si>
  <si>
    <t>Gasto de Producto Terminado</t>
  </si>
  <si>
    <t>Exceso de gasto de materiales en PM</t>
  </si>
  <si>
    <t>Impuestos</t>
  </si>
  <si>
    <t>Año 2 a n</t>
  </si>
  <si>
    <t>Gastos en el Área de Administración</t>
  </si>
  <si>
    <t>Mantenimiento</t>
  </si>
  <si>
    <t>(10% de limpieza)</t>
  </si>
  <si>
    <t xml:space="preserve">Papelería y útiles </t>
  </si>
  <si>
    <t>Librería</t>
  </si>
  <si>
    <t>5% del total</t>
  </si>
  <si>
    <t>Costo Total y Resultados a Nivel Económico</t>
  </si>
  <si>
    <t>Costo de Producción Anual</t>
  </si>
  <si>
    <t>Producción Anual en Unidades Año 1</t>
  </si>
  <si>
    <t>Sale del dimensionamiento Técnico</t>
  </si>
  <si>
    <t>Produccion en MCySE</t>
  </si>
  <si>
    <t>e) Recupero de Credito Fiscal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</si>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</sst>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\$* #,##0.000_);_(\$* \(#,##0.000\);_(\$* \-??_);_(@_)"/>
    <numFmt numFmtId="171" formatCode="#,##0.0"/>
    <numFmt numFmtId="172" formatCode="0.0%"/>
  </numFmts>
  <fonts count="27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19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21" fillId="13" borderId="0" xfId="0" applyNumberFormat="1" applyFont="1" applyFill="1"/>
    <xf numFmtId="4" fontId="0" fillId="11" borderId="2" xfId="0" applyNumberFormat="1" applyFill="1" applyBorder="1" applyProtection="1">
      <protection locked="0"/>
    </xf>
    <xf numFmtId="0" fontId="0" fillId="0" borderId="0" xfId="0" applyFill="1" applyBorder="1"/>
    <xf numFmtId="0" fontId="0" fillId="14" borderId="0" xfId="0" applyFill="1"/>
    <xf numFmtId="0" fontId="0" fillId="15" borderId="0" xfId="0" applyFill="1"/>
    <xf numFmtId="0" fontId="0" fillId="15" borderId="0" xfId="0" applyFill="1" applyBorder="1"/>
    <xf numFmtId="0" fontId="0" fillId="0" borderId="0" xfId="0" applyFont="1" applyFill="1" applyBorder="1" applyAlignment="1">
      <alignment horizontal="left"/>
    </xf>
    <xf numFmtId="170" fontId="0" fillId="0" borderId="17" xfId="13" applyNumberFormat="1" applyFont="1" applyFill="1" applyBorder="1" applyAlignment="1" applyProtection="1">
      <protection locked="0"/>
    </xf>
    <xf numFmtId="43" fontId="20" fillId="0" borderId="17" xfId="13" applyNumberFormat="1" applyFill="1" applyBorder="1" applyAlignment="1" applyProtection="1">
      <protection locked="0"/>
    </xf>
    <xf numFmtId="43" fontId="20" fillId="0" borderId="17" xfId="13" applyNumberFormat="1" applyFill="1" applyBorder="1" applyAlignment="1">
      <alignment horizontal="center"/>
    </xf>
    <xf numFmtId="0" fontId="0" fillId="13" borderId="0" xfId="0" applyFill="1"/>
    <xf numFmtId="4" fontId="21" fillId="0" borderId="0" xfId="0" applyNumberFormat="1" applyFont="1"/>
    <xf numFmtId="165" fontId="20" fillId="0" borderId="17" xfId="13" applyFill="1" applyBorder="1" applyAlignment="1" applyProtection="1">
      <alignment horizontal="center"/>
      <protection locked="0"/>
    </xf>
    <xf numFmtId="9" fontId="20" fillId="0" borderId="12" xfId="16" applyFill="1" applyBorder="1" applyAlignment="1" applyProtection="1">
      <alignment horizontal="center"/>
      <protection locked="0"/>
    </xf>
    <xf numFmtId="9" fontId="20" fillId="0" borderId="24" xfId="16" applyFill="1" applyBorder="1" applyAlignment="1" applyProtection="1">
      <alignment horizontal="center"/>
      <protection locked="0"/>
    </xf>
    <xf numFmtId="3" fontId="21" fillId="0" borderId="0" xfId="0" applyNumberFormat="1" applyFont="1"/>
    <xf numFmtId="3" fontId="0" fillId="0" borderId="0" xfId="0" applyNumberFormat="1" applyFill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16" borderId="0" xfId="0" applyFont="1" applyFill="1"/>
    <xf numFmtId="171" fontId="0" fillId="0" borderId="0" xfId="0" applyNumberFormat="1" applyFill="1" applyAlignment="1">
      <alignment horizontal="left"/>
    </xf>
    <xf numFmtId="0" fontId="22" fillId="0" borderId="0" xfId="0" applyFont="1" applyFill="1"/>
    <xf numFmtId="4" fontId="0" fillId="0" borderId="0" xfId="0" applyNumberFormat="1" applyFill="1"/>
    <xf numFmtId="0" fontId="22" fillId="16" borderId="0" xfId="0" applyFont="1" applyFill="1"/>
    <xf numFmtId="0" fontId="0" fillId="16" borderId="0" xfId="0" applyFill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4" fillId="0" borderId="51" xfId="0" applyFon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165" fontId="20" fillId="0" borderId="0" xfId="13" applyFill="1" applyBorder="1"/>
    <xf numFmtId="165" fontId="20" fillId="0" borderId="55" xfId="13" applyFill="1" applyBorder="1"/>
    <xf numFmtId="167" fontId="0" fillId="0" borderId="0" xfId="0" applyNumberFormat="1" applyFill="1" applyBorder="1"/>
    <xf numFmtId="167" fontId="0" fillId="0" borderId="55" xfId="0" applyNumberFormat="1" applyFill="1" applyBorder="1"/>
    <xf numFmtId="0" fontId="0" fillId="0" borderId="56" xfId="0" applyFill="1" applyBorder="1"/>
    <xf numFmtId="165" fontId="20" fillId="0" borderId="57" xfId="13" applyFill="1" applyBorder="1"/>
    <xf numFmtId="165" fontId="20" fillId="0" borderId="58" xfId="13" applyFill="1" applyBorder="1"/>
    <xf numFmtId="0" fontId="0" fillId="0" borderId="51" xfId="0" applyFill="1" applyBorder="1"/>
    <xf numFmtId="165" fontId="14" fillId="0" borderId="36" xfId="13" applyFont="1" applyFill="1" applyBorder="1" applyAlignment="1" applyProtection="1">
      <alignment horizontal="center"/>
      <protection locked="0"/>
    </xf>
    <xf numFmtId="165" fontId="0" fillId="0" borderId="17" xfId="16" applyNumberFormat="1" applyFont="1" applyFill="1" applyBorder="1" applyAlignment="1" applyProtection="1">
      <protection locked="0"/>
    </xf>
    <xf numFmtId="165" fontId="25" fillId="0" borderId="17" xfId="13" applyFont="1" applyFill="1" applyBorder="1" applyAlignment="1" applyProtection="1">
      <protection locked="0"/>
    </xf>
    <xf numFmtId="172" fontId="20" fillId="0" borderId="12" xfId="16" applyNumberFormat="1" applyFill="1" applyBorder="1" applyAlignment="1" applyProtection="1">
      <protection locked="0"/>
    </xf>
    <xf numFmtId="0" fontId="0" fillId="0" borderId="0" xfId="0" applyAlignment="1">
      <alignment horizontal="right"/>
    </xf>
    <xf numFmtId="0" fontId="26" fillId="0" borderId="0" xfId="22"/>
    <xf numFmtId="9" fontId="0" fillId="0" borderId="0" xfId="0" applyNumberFormat="1"/>
    <xf numFmtId="2" fontId="0" fillId="0" borderId="0" xfId="0" applyNumberFormat="1" applyAlignment="1">
      <alignment horizontal="center"/>
    </xf>
    <xf numFmtId="0" fontId="20" fillId="13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165" fontId="14" fillId="0" borderId="24" xfId="13" applyFont="1" applyFill="1" applyBorder="1" applyAlignment="1" applyProtection="1">
      <alignment horizontal="center"/>
      <protection locked="0"/>
    </xf>
    <xf numFmtId="165" fontId="14" fillId="0" borderId="36" xfId="13" applyFont="1" applyFill="1" applyBorder="1" applyAlignment="1" applyProtection="1">
      <alignment horizontal="center"/>
    </xf>
    <xf numFmtId="165" fontId="14" fillId="0" borderId="38" xfId="13" applyFont="1" applyFill="1" applyBorder="1" applyAlignment="1" applyProtection="1">
      <alignment horizontal="center"/>
      <protection locked="0"/>
    </xf>
  </cellXfs>
  <cellStyles count="23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ipervínculo" xfId="22" builtinId="8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Dim%20Economico%20Financiero_5_grupo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Hoja1"/>
      <sheetName val="E-Costos"/>
      <sheetName val="E-InvAT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>
        <row r="1">
          <cell r="E1">
            <v>9</v>
          </cell>
        </row>
        <row r="4">
          <cell r="B4">
            <v>0.35</v>
          </cell>
        </row>
        <row r="5">
          <cell r="B5">
            <v>0.06</v>
          </cell>
        </row>
        <row r="19">
          <cell r="B19">
            <v>115862</v>
          </cell>
        </row>
      </sheetData>
      <sheetData sheetId="1">
        <row r="7">
          <cell r="B7">
            <v>9050500</v>
          </cell>
        </row>
        <row r="8">
          <cell r="B8">
            <v>1037500</v>
          </cell>
        </row>
        <row r="12">
          <cell r="B12">
            <v>29675</v>
          </cell>
        </row>
        <row r="14">
          <cell r="B14">
            <v>6000</v>
          </cell>
        </row>
        <row r="15">
          <cell r="B15">
            <v>140000</v>
          </cell>
        </row>
        <row r="20">
          <cell r="B20">
            <v>11248414.25</v>
          </cell>
        </row>
        <row r="56">
          <cell r="D56">
            <v>273750.34999999998</v>
          </cell>
          <cell r="E56">
            <v>273428.68333333335</v>
          </cell>
        </row>
      </sheetData>
      <sheetData sheetId="2">
        <row r="73">
          <cell r="F73">
            <v>41635.597139999998</v>
          </cell>
        </row>
        <row r="76">
          <cell r="F76">
            <v>30571.599999999999</v>
          </cell>
        </row>
        <row r="77">
          <cell r="B77">
            <v>86.408000000000001</v>
          </cell>
        </row>
        <row r="79">
          <cell r="E79">
            <v>154.79637735739328</v>
          </cell>
        </row>
        <row r="80">
          <cell r="E80">
            <v>5959.3916915521704</v>
          </cell>
        </row>
        <row r="85">
          <cell r="B85">
            <v>430700</v>
          </cell>
        </row>
        <row r="86">
          <cell r="B86">
            <v>53500</v>
          </cell>
        </row>
        <row r="90">
          <cell r="E90">
            <v>600000</v>
          </cell>
        </row>
        <row r="91">
          <cell r="E91">
            <v>1440000</v>
          </cell>
        </row>
        <row r="102">
          <cell r="F102">
            <v>1173.3123469744667</v>
          </cell>
        </row>
        <row r="104">
          <cell r="F104">
            <v>86897</v>
          </cell>
        </row>
        <row r="105">
          <cell r="B105">
            <v>98867.0238065718</v>
          </cell>
        </row>
        <row r="106">
          <cell r="B106">
            <v>118639.74591814814</v>
          </cell>
        </row>
        <row r="114">
          <cell r="B114">
            <v>39325.930134739094</v>
          </cell>
        </row>
        <row r="117">
          <cell r="B117">
            <v>848.7562192479121</v>
          </cell>
        </row>
        <row r="118">
          <cell r="B118">
            <v>1124.0795981307426</v>
          </cell>
        </row>
        <row r="126">
          <cell r="B126">
            <v>5070</v>
          </cell>
          <cell r="F126">
            <v>5070</v>
          </cell>
        </row>
        <row r="128">
          <cell r="B128">
            <v>2081.779857</v>
          </cell>
          <cell r="F128">
            <v>2081.779857</v>
          </cell>
        </row>
        <row r="134">
          <cell r="B134">
            <v>91241.33</v>
          </cell>
        </row>
        <row r="135">
          <cell r="B135">
            <v>4344.3300000000017</v>
          </cell>
        </row>
      </sheetData>
      <sheetData sheetId="3">
        <row r="12">
          <cell r="B12">
            <v>244206.03276810001</v>
          </cell>
          <cell r="C12">
            <v>271340.03640899999</v>
          </cell>
        </row>
        <row r="15">
          <cell r="B15">
            <v>167625.60000000001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rticulo.mercadolibre.com.ar/MLA-678847238-nueva-recta-industrial-jack-f4-motor-bajo-consumo-_J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zoomScale="90" zoomScaleNormal="90" workbookViewId="0">
      <selection activeCell="B19" sqref="B19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9</v>
      </c>
    </row>
    <row r="2" spans="1:13" ht="15" x14ac:dyDescent="0.25">
      <c r="G2" s="305" t="s">
        <v>1</v>
      </c>
      <c r="H2" s="305"/>
      <c r="I2" s="305"/>
      <c r="J2" s="305"/>
      <c r="K2" s="305"/>
      <c r="L2" s="305"/>
      <c r="M2" s="305"/>
    </row>
    <row r="3" spans="1:13" ht="14.65" customHeight="1" x14ac:dyDescent="0.2">
      <c r="A3" s="3" t="s">
        <v>2</v>
      </c>
      <c r="B3" s="4">
        <v>0.21</v>
      </c>
      <c r="G3" s="306" t="s">
        <v>3</v>
      </c>
      <c r="H3" s="306"/>
      <c r="I3" s="306"/>
      <c r="J3" s="306"/>
      <c r="K3" s="306"/>
      <c r="L3" s="306"/>
      <c r="M3" s="306"/>
    </row>
    <row r="4" spans="1:13" x14ac:dyDescent="0.2">
      <c r="A4" s="3" t="s">
        <v>4</v>
      </c>
      <c r="B4" s="4">
        <v>0.35</v>
      </c>
      <c r="G4" s="306"/>
      <c r="H4" s="306"/>
      <c r="I4" s="306"/>
      <c r="J4" s="306"/>
      <c r="K4" s="306"/>
      <c r="L4" s="306"/>
      <c r="M4" s="306"/>
    </row>
    <row r="5" spans="1:13" x14ac:dyDescent="0.2">
      <c r="A5" s="3" t="s">
        <v>5</v>
      </c>
      <c r="B5" s="4">
        <v>0.06</v>
      </c>
      <c r="C5" t="s">
        <v>6</v>
      </c>
      <c r="G5" s="306"/>
      <c r="H5" s="306"/>
      <c r="I5" s="306"/>
      <c r="J5" s="306"/>
      <c r="K5" s="306"/>
      <c r="L5" s="306"/>
      <c r="M5" s="306"/>
    </row>
    <row r="6" spans="1:13" x14ac:dyDescent="0.2">
      <c r="G6" s="306"/>
      <c r="H6" s="306"/>
      <c r="I6" s="306"/>
      <c r="J6" s="306"/>
      <c r="K6" s="306"/>
      <c r="L6" s="306"/>
      <c r="M6" s="306"/>
    </row>
    <row r="7" spans="1:13" ht="14.65" customHeight="1" x14ac:dyDescent="0.2">
      <c r="A7" s="3" t="s">
        <v>7</v>
      </c>
      <c r="B7" t="s">
        <v>8</v>
      </c>
      <c r="G7" s="307" t="s">
        <v>9</v>
      </c>
      <c r="H7" s="307"/>
      <c r="I7" s="307"/>
      <c r="J7" s="307"/>
      <c r="K7" s="307"/>
      <c r="L7" s="307"/>
      <c r="M7" s="307"/>
    </row>
    <row r="8" spans="1:13" x14ac:dyDescent="0.2">
      <c r="A8" s="5" t="s">
        <v>10</v>
      </c>
      <c r="B8" s="6">
        <v>30</v>
      </c>
      <c r="C8" t="s">
        <v>11</v>
      </c>
      <c r="G8" s="307"/>
      <c r="H8" s="307"/>
      <c r="I8" s="307"/>
      <c r="J8" s="307"/>
      <c r="K8" s="307"/>
      <c r="L8" s="307"/>
      <c r="M8" s="307"/>
    </row>
    <row r="9" spans="1:13" x14ac:dyDescent="0.2">
      <c r="A9" s="5" t="s">
        <v>12</v>
      </c>
      <c r="B9" s="6">
        <v>10</v>
      </c>
      <c r="C9" t="s">
        <v>11</v>
      </c>
      <c r="G9" s="308" t="s">
        <v>13</v>
      </c>
      <c r="H9" s="308"/>
      <c r="I9" s="308"/>
      <c r="J9" s="308"/>
      <c r="K9" s="308"/>
      <c r="L9" s="308"/>
      <c r="M9" s="308"/>
    </row>
    <row r="10" spans="1:13" ht="14.65" customHeight="1" x14ac:dyDescent="0.2">
      <c r="A10" s="5" t="s">
        <v>14</v>
      </c>
      <c r="B10" s="6">
        <v>10</v>
      </c>
      <c r="C10" t="s">
        <v>11</v>
      </c>
      <c r="G10" s="309" t="s">
        <v>15</v>
      </c>
      <c r="H10" s="309"/>
      <c r="I10" s="309"/>
      <c r="J10" s="309"/>
      <c r="K10" s="309"/>
      <c r="L10" s="309"/>
      <c r="M10" s="309"/>
    </row>
    <row r="11" spans="1:13" x14ac:dyDescent="0.2">
      <c r="A11" s="5" t="s">
        <v>16</v>
      </c>
      <c r="B11" s="6">
        <v>5</v>
      </c>
      <c r="C11" t="s">
        <v>11</v>
      </c>
      <c r="G11" s="309"/>
      <c r="H11" s="309"/>
      <c r="I11" s="309"/>
      <c r="J11" s="309"/>
      <c r="K11" s="309"/>
      <c r="L11" s="309"/>
      <c r="M11" s="309"/>
    </row>
    <row r="12" spans="1:13" ht="14.65" customHeight="1" x14ac:dyDescent="0.2">
      <c r="A12" s="5" t="s">
        <v>17</v>
      </c>
      <c r="B12" s="6">
        <v>5</v>
      </c>
      <c r="C12" t="s">
        <v>11</v>
      </c>
      <c r="G12" s="309" t="s">
        <v>18</v>
      </c>
      <c r="H12" s="309"/>
      <c r="I12" s="309"/>
      <c r="J12" s="309"/>
      <c r="K12" s="309"/>
      <c r="L12" s="309"/>
      <c r="M12" s="309"/>
    </row>
    <row r="13" spans="1:13" x14ac:dyDescent="0.2">
      <c r="A13" s="5" t="s">
        <v>19</v>
      </c>
      <c r="B13" s="6">
        <v>3</v>
      </c>
      <c r="C13" t="s">
        <v>11</v>
      </c>
      <c r="G13" s="309"/>
      <c r="H13" s="309"/>
      <c r="I13" s="309"/>
      <c r="J13" s="309"/>
      <c r="K13" s="309"/>
      <c r="L13" s="309"/>
      <c r="M13" s="309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0.08</v>
      </c>
    </row>
    <row r="17" spans="1:7" x14ac:dyDescent="0.2">
      <c r="A17" s="3" t="s">
        <v>22</v>
      </c>
      <c r="B17" s="8" t="s">
        <v>401</v>
      </c>
      <c r="C17" s="9"/>
      <c r="D17" s="9"/>
      <c r="E17" s="9"/>
      <c r="F17" s="9"/>
      <c r="G17" s="10"/>
    </row>
    <row r="19" spans="1:7" ht="14.25" x14ac:dyDescent="0.2">
      <c r="A19" s="3" t="s">
        <v>23</v>
      </c>
      <c r="B19" s="248">
        <v>115862</v>
      </c>
      <c r="C19" t="s">
        <v>24</v>
      </c>
    </row>
    <row r="20" spans="1:7" x14ac:dyDescent="0.2">
      <c r="A20" s="3" t="s">
        <v>25</v>
      </c>
      <c r="B20" s="249">
        <v>14482.75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5</v>
      </c>
      <c r="C23" t="s">
        <v>29</v>
      </c>
    </row>
    <row r="24" spans="1:7" x14ac:dyDescent="0.2">
      <c r="A24" s="3" t="s">
        <v>30</v>
      </c>
      <c r="B24" s="11">
        <v>1</v>
      </c>
      <c r="C24" t="s">
        <v>29</v>
      </c>
    </row>
    <row r="25" spans="1:7" x14ac:dyDescent="0.2">
      <c r="A25" s="3" t="s">
        <v>31</v>
      </c>
      <c r="B25" s="11">
        <v>3</v>
      </c>
      <c r="C25" t="s">
        <v>29</v>
      </c>
    </row>
    <row r="27" spans="1:7" x14ac:dyDescent="0.2">
      <c r="A27" s="3" t="s">
        <v>32</v>
      </c>
      <c r="B27" s="11">
        <v>251</v>
      </c>
      <c r="C27" t="s">
        <v>33</v>
      </c>
    </row>
    <row r="28" spans="1:7" x14ac:dyDescent="0.2">
      <c r="A28" s="3" t="s">
        <v>34</v>
      </c>
      <c r="B28" s="11">
        <v>11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39.35</v>
      </c>
      <c r="C32" t="s">
        <v>38</v>
      </c>
      <c r="D32" s="11">
        <v>1</v>
      </c>
      <c r="E32" t="s">
        <v>39</v>
      </c>
    </row>
    <row r="33" spans="1:37" x14ac:dyDescent="0.2">
      <c r="A33" s="12"/>
    </row>
    <row r="34" spans="1:37" x14ac:dyDescent="0.2">
      <c r="A34" s="12"/>
    </row>
    <row r="35" spans="1:37" x14ac:dyDescent="0.2">
      <c r="A35" s="3" t="s">
        <v>40</v>
      </c>
      <c r="B35" s="13">
        <v>64</v>
      </c>
      <c r="C35" t="s">
        <v>41</v>
      </c>
      <c r="G35" s="14" t="s">
        <v>42</v>
      </c>
    </row>
    <row r="36" spans="1:37" x14ac:dyDescent="0.2">
      <c r="A36" s="3" t="s">
        <v>43</v>
      </c>
      <c r="B36" s="304" t="s">
        <v>402</v>
      </c>
      <c r="C36" s="304"/>
      <c r="D36" s="304"/>
    </row>
    <row r="37" spans="1:37" x14ac:dyDescent="0.2">
      <c r="A37" s="3" t="s">
        <v>44</v>
      </c>
      <c r="B37" s="15">
        <v>60</v>
      </c>
    </row>
    <row r="38" spans="1:37" x14ac:dyDescent="0.2">
      <c r="A38" s="3"/>
    </row>
    <row r="39" spans="1:37" x14ac:dyDescent="0.2">
      <c r="A39" s="3" t="s">
        <v>45</v>
      </c>
      <c r="B39" s="11">
        <v>60</v>
      </c>
    </row>
    <row r="40" spans="1:37" x14ac:dyDescent="0.2">
      <c r="A40" s="3" t="s">
        <v>46</v>
      </c>
      <c r="B40" s="11">
        <v>50</v>
      </c>
    </row>
    <row r="41" spans="1:37" x14ac:dyDescent="0.2">
      <c r="A41" s="3" t="s">
        <v>47</v>
      </c>
      <c r="B41" s="11">
        <v>15</v>
      </c>
      <c r="C41" t="s">
        <v>41</v>
      </c>
    </row>
    <row r="47" spans="1:37" x14ac:dyDescent="0.2">
      <c r="AK47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ColWidth="11.28515625" defaultRowHeight="12.75" x14ac:dyDescent="0.2"/>
  <cols>
    <col min="1" max="1" width="32" style="176" customWidth="1"/>
    <col min="2" max="7" width="13.855468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144"/>
      <c r="F1" s="2">
        <f>InfoInicial!E1</f>
        <v>9</v>
      </c>
    </row>
    <row r="2" spans="1:7" ht="15.75" x14ac:dyDescent="0.25">
      <c r="A2" s="177" t="s">
        <v>280</v>
      </c>
      <c r="B2" s="178"/>
      <c r="C2" s="178"/>
      <c r="D2" s="178"/>
      <c r="E2" s="178"/>
      <c r="F2" s="178"/>
      <c r="G2" s="179"/>
    </row>
    <row r="3" spans="1:7" x14ac:dyDescent="0.2">
      <c r="A3" s="180" t="s">
        <v>94</v>
      </c>
      <c r="B3" s="181" t="s">
        <v>54</v>
      </c>
      <c r="C3" s="181" t="s">
        <v>95</v>
      </c>
      <c r="D3" s="181" t="s">
        <v>96</v>
      </c>
      <c r="E3" s="181" t="s">
        <v>97</v>
      </c>
      <c r="F3" s="182" t="s">
        <v>98</v>
      </c>
      <c r="G3" s="183" t="s">
        <v>198</v>
      </c>
    </row>
    <row r="4" spans="1:7" x14ac:dyDescent="0.2">
      <c r="A4" s="176" t="s">
        <v>281</v>
      </c>
      <c r="B4" s="61"/>
      <c r="C4" s="61"/>
      <c r="D4" s="61"/>
      <c r="E4" s="61"/>
      <c r="F4" s="113"/>
      <c r="G4" s="62"/>
    </row>
    <row r="5" spans="1:7" x14ac:dyDescent="0.2">
      <c r="A5" s="176" t="s">
        <v>282</v>
      </c>
      <c r="B5" s="61"/>
      <c r="C5" s="61"/>
      <c r="D5" s="61"/>
      <c r="E5" s="61"/>
      <c r="F5" s="113"/>
      <c r="G5" s="62"/>
    </row>
    <row r="6" spans="1:7" x14ac:dyDescent="0.2">
      <c r="A6" s="176" t="s">
        <v>283</v>
      </c>
      <c r="B6" s="61"/>
      <c r="C6" s="61"/>
      <c r="D6" s="61"/>
      <c r="E6" s="61"/>
      <c r="F6" s="113"/>
      <c r="G6" s="62"/>
    </row>
    <row r="7" spans="1:7" x14ac:dyDescent="0.2">
      <c r="A7" s="176" t="s">
        <v>120</v>
      </c>
      <c r="B7" s="84"/>
      <c r="C7" s="84"/>
      <c r="D7" s="84"/>
      <c r="E7" s="84"/>
      <c r="F7" s="114"/>
      <c r="G7" s="85"/>
    </row>
    <row r="8" spans="1:7" x14ac:dyDescent="0.2">
      <c r="A8" s="176" t="s">
        <v>284</v>
      </c>
      <c r="B8" s="61"/>
      <c r="C8" s="61"/>
      <c r="D8" s="61"/>
      <c r="E8" s="61"/>
      <c r="F8" s="113"/>
      <c r="G8" s="62"/>
    </row>
    <row r="9" spans="1:7" x14ac:dyDescent="0.2">
      <c r="A9" s="176" t="s">
        <v>285</v>
      </c>
      <c r="B9" s="61"/>
      <c r="C9" s="61"/>
      <c r="D9" s="61"/>
      <c r="E9" s="61"/>
      <c r="F9" s="113"/>
      <c r="G9" s="62"/>
    </row>
    <row r="10" spans="1:7" x14ac:dyDescent="0.2">
      <c r="A10" s="176" t="s">
        <v>286</v>
      </c>
      <c r="B10" s="61"/>
      <c r="C10" s="61"/>
      <c r="D10" s="61"/>
      <c r="E10" s="61"/>
      <c r="F10" s="113"/>
      <c r="G10" s="62"/>
    </row>
    <row r="11" spans="1:7" x14ac:dyDescent="0.2">
      <c r="A11" s="184" t="s">
        <v>287</v>
      </c>
      <c r="B11" s="61"/>
      <c r="C11" s="61"/>
      <c r="D11" s="61"/>
      <c r="E11" s="61"/>
      <c r="F11" s="113"/>
      <c r="G11" s="62"/>
    </row>
    <row r="12" spans="1:7" x14ac:dyDescent="0.2">
      <c r="A12" s="176" t="s">
        <v>288</v>
      </c>
      <c r="B12" s="61"/>
      <c r="C12" s="61"/>
      <c r="D12" s="61"/>
      <c r="E12" s="61"/>
      <c r="F12" s="113"/>
      <c r="G12" s="62"/>
    </row>
    <row r="13" spans="1:7" x14ac:dyDescent="0.2">
      <c r="A13" s="185" t="s">
        <v>289</v>
      </c>
      <c r="B13" s="61"/>
      <c r="C13" s="61"/>
      <c r="D13" s="61"/>
      <c r="E13" s="61"/>
      <c r="F13" s="113"/>
      <c r="G13" s="62"/>
    </row>
    <row r="14" spans="1:7" x14ac:dyDescent="0.2">
      <c r="A14" s="186" t="s">
        <v>290</v>
      </c>
      <c r="B14" s="67"/>
      <c r="C14" s="67"/>
      <c r="D14" s="67"/>
      <c r="E14" s="67"/>
      <c r="F14" s="115"/>
      <c r="G14" s="6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ColWidth="11.28515625" defaultRowHeight="12.75" x14ac:dyDescent="0.2"/>
  <cols>
    <col min="1" max="1" width="42.85546875" style="176" customWidth="1"/>
    <col min="2" max="7" width="13.855468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2" spans="1:7" ht="15.75" x14ac:dyDescent="0.25">
      <c r="A2" s="177" t="s">
        <v>217</v>
      </c>
      <c r="B2" s="178"/>
      <c r="C2" s="178"/>
      <c r="D2" s="178"/>
      <c r="E2" s="178"/>
      <c r="F2" s="178"/>
      <c r="G2" s="179"/>
    </row>
    <row r="3" spans="1:7" ht="15.75" x14ac:dyDescent="0.25">
      <c r="A3" s="194"/>
      <c r="B3" s="195" t="s">
        <v>218</v>
      </c>
      <c r="C3" s="195"/>
      <c r="D3" s="195"/>
      <c r="E3" s="195"/>
      <c r="F3" s="195"/>
      <c r="G3" s="196"/>
    </row>
    <row r="4" spans="1:7" x14ac:dyDescent="0.2">
      <c r="A4" s="197" t="s">
        <v>94</v>
      </c>
      <c r="B4" s="198" t="s">
        <v>53</v>
      </c>
      <c r="C4" s="181" t="s">
        <v>54</v>
      </c>
      <c r="D4" s="181" t="s">
        <v>95</v>
      </c>
      <c r="E4" s="181" t="s">
        <v>96</v>
      </c>
      <c r="F4" s="181" t="s">
        <v>97</v>
      </c>
      <c r="G4" s="183" t="s">
        <v>98</v>
      </c>
    </row>
    <row r="5" spans="1:7" x14ac:dyDescent="0.2">
      <c r="A5" s="199" t="s">
        <v>321</v>
      </c>
      <c r="B5" s="122"/>
      <c r="C5" s="105"/>
      <c r="D5" s="105"/>
      <c r="E5" s="105"/>
      <c r="F5" s="105"/>
      <c r="G5" s="106"/>
    </row>
    <row r="6" spans="1:7" x14ac:dyDescent="0.2">
      <c r="A6" s="200" t="s">
        <v>322</v>
      </c>
      <c r="B6" s="124"/>
      <c r="C6" s="61"/>
      <c r="D6" s="61"/>
      <c r="E6" s="61"/>
      <c r="F6" s="61"/>
      <c r="G6" s="62"/>
    </row>
    <row r="7" spans="1:7" x14ac:dyDescent="0.2">
      <c r="A7" s="200" t="s">
        <v>323</v>
      </c>
      <c r="B7" s="124"/>
      <c r="C7" s="61"/>
      <c r="D7" s="61"/>
      <c r="E7" s="61"/>
      <c r="F7" s="61"/>
      <c r="G7" s="62"/>
    </row>
    <row r="8" spans="1:7" x14ac:dyDescent="0.2">
      <c r="A8" s="201" t="s">
        <v>324</v>
      </c>
      <c r="B8" s="124"/>
      <c r="C8" s="61"/>
      <c r="D8" s="61"/>
      <c r="E8" s="61"/>
      <c r="F8" s="61"/>
      <c r="G8" s="62"/>
    </row>
    <row r="9" spans="1:7" x14ac:dyDescent="0.2">
      <c r="A9" s="201" t="s">
        <v>325</v>
      </c>
      <c r="B9" s="124"/>
      <c r="C9" s="61"/>
      <c r="D9" s="61"/>
      <c r="E9" s="61"/>
      <c r="F9" s="61"/>
      <c r="G9" s="62"/>
    </row>
    <row r="10" spans="1:7" x14ac:dyDescent="0.2">
      <c r="A10" s="202" t="s">
        <v>326</v>
      </c>
      <c r="B10" s="124"/>
      <c r="C10" s="61"/>
      <c r="D10" s="61"/>
      <c r="E10" s="61"/>
      <c r="F10" s="61"/>
      <c r="G10" s="62"/>
    </row>
    <row r="11" spans="1:7" x14ac:dyDescent="0.2">
      <c r="A11" s="202"/>
      <c r="B11" s="126"/>
      <c r="C11" s="84"/>
      <c r="D11" s="84"/>
      <c r="E11" s="84"/>
      <c r="F11" s="84"/>
      <c r="G11" s="85"/>
    </row>
    <row r="12" spans="1:7" x14ac:dyDescent="0.2">
      <c r="A12" s="200" t="s">
        <v>229</v>
      </c>
      <c r="B12" s="124"/>
      <c r="C12" s="61"/>
      <c r="D12" s="61"/>
      <c r="E12" s="61"/>
      <c r="F12" s="61"/>
      <c r="G12" s="62"/>
    </row>
    <row r="13" spans="1:7" x14ac:dyDescent="0.2">
      <c r="A13" s="200" t="s">
        <v>230</v>
      </c>
      <c r="B13" s="124"/>
      <c r="C13" s="61"/>
      <c r="D13" s="61"/>
      <c r="E13" s="61"/>
      <c r="F13" s="61"/>
      <c r="G13" s="62"/>
    </row>
    <row r="14" spans="1:7" x14ac:dyDescent="0.2">
      <c r="A14" s="202" t="s">
        <v>327</v>
      </c>
      <c r="B14" s="124"/>
      <c r="C14" s="61"/>
      <c r="D14" s="61"/>
      <c r="E14" s="61"/>
      <c r="F14" s="61"/>
      <c r="G14" s="62"/>
    </row>
    <row r="15" spans="1:7" x14ac:dyDescent="0.2">
      <c r="A15" s="200"/>
      <c r="B15" s="126"/>
      <c r="C15" s="84"/>
      <c r="D15" s="84"/>
      <c r="E15" s="84"/>
      <c r="F15" s="84"/>
      <c r="G15" s="85"/>
    </row>
    <row r="16" spans="1:7" x14ac:dyDescent="0.2">
      <c r="A16" s="203" t="s">
        <v>328</v>
      </c>
      <c r="B16" s="124"/>
      <c r="C16" s="61"/>
      <c r="D16" s="61"/>
      <c r="E16" s="61"/>
      <c r="F16" s="61"/>
      <c r="G16" s="62"/>
    </row>
    <row r="17" spans="1:7" x14ac:dyDescent="0.2">
      <c r="A17" s="203" t="s">
        <v>329</v>
      </c>
      <c r="B17" s="124"/>
      <c r="C17" s="61"/>
      <c r="D17" s="61"/>
      <c r="E17" s="61"/>
      <c r="F17" s="61"/>
      <c r="G17" s="62"/>
    </row>
    <row r="18" spans="1:7" x14ac:dyDescent="0.2">
      <c r="A18" s="202" t="s">
        <v>330</v>
      </c>
      <c r="B18" s="124"/>
      <c r="C18" s="61"/>
      <c r="D18" s="61"/>
      <c r="E18" s="61"/>
      <c r="F18" s="61"/>
      <c r="G18" s="62"/>
    </row>
    <row r="19" spans="1:7" x14ac:dyDescent="0.2">
      <c r="A19" s="202" t="s">
        <v>331</v>
      </c>
      <c r="B19" s="124"/>
      <c r="C19" s="61"/>
      <c r="D19" s="61"/>
      <c r="E19" s="61"/>
      <c r="F19" s="61"/>
      <c r="G19" s="62"/>
    </row>
    <row r="20" spans="1:7" x14ac:dyDescent="0.2">
      <c r="A20" s="200"/>
      <c r="B20" s="126"/>
      <c r="C20" s="84"/>
      <c r="D20" s="84"/>
      <c r="E20" s="84"/>
      <c r="F20" s="84"/>
      <c r="G20" s="85"/>
    </row>
    <row r="21" spans="1:7" x14ac:dyDescent="0.2">
      <c r="A21" s="204" t="s">
        <v>235</v>
      </c>
      <c r="B21" s="129"/>
      <c r="C21" s="67"/>
      <c r="D21" s="67"/>
      <c r="E21" s="67"/>
      <c r="F21" s="67"/>
      <c r="G21" s="6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ColWidth="11.28515625" defaultRowHeight="12.75" x14ac:dyDescent="0.2"/>
  <cols>
    <col min="1" max="1" width="54.28515625" style="176" customWidth="1"/>
    <col min="2" max="4" width="13.85546875" style="176" customWidth="1"/>
    <col min="5" max="250" width="11.28515625" style="176" customWidth="1"/>
  </cols>
  <sheetData>
    <row r="1" spans="1:5" x14ac:dyDescent="0.2">
      <c r="A1" s="1" t="s">
        <v>0</v>
      </c>
      <c r="B1"/>
      <c r="C1"/>
      <c r="D1">
        <f>InfoInicial!E1</f>
        <v>9</v>
      </c>
      <c r="E1" s="2"/>
    </row>
    <row r="2" spans="1:5" ht="15.75" x14ac:dyDescent="0.25">
      <c r="A2" s="177" t="s">
        <v>291</v>
      </c>
      <c r="B2" s="178"/>
      <c r="C2" s="178"/>
      <c r="D2" s="179"/>
    </row>
    <row r="3" spans="1:5" x14ac:dyDescent="0.2">
      <c r="A3" s="180" t="s">
        <v>94</v>
      </c>
      <c r="B3" s="187" t="s">
        <v>53</v>
      </c>
      <c r="C3" s="187" t="s">
        <v>54</v>
      </c>
      <c r="D3" s="183" t="s">
        <v>198</v>
      </c>
    </row>
    <row r="4" spans="1:5" x14ac:dyDescent="0.2">
      <c r="A4" s="184" t="s">
        <v>292</v>
      </c>
      <c r="B4" s="84"/>
      <c r="C4" s="84"/>
      <c r="D4" s="85"/>
    </row>
    <row r="5" spans="1:5" x14ac:dyDescent="0.2">
      <c r="B5" s="61"/>
      <c r="C5" s="61"/>
      <c r="D5" s="62"/>
    </row>
    <row r="6" spans="1:5" x14ac:dyDescent="0.2">
      <c r="A6" s="176" t="s">
        <v>293</v>
      </c>
      <c r="B6" s="61"/>
      <c r="C6" s="61"/>
      <c r="D6" s="62"/>
    </row>
    <row r="7" spans="1:5" x14ac:dyDescent="0.2">
      <c r="A7" s="176" t="s">
        <v>294</v>
      </c>
      <c r="B7" s="61"/>
      <c r="C7" s="61"/>
      <c r="D7" s="62"/>
    </row>
    <row r="8" spans="1:5" x14ac:dyDescent="0.2">
      <c r="A8" s="184" t="s">
        <v>295</v>
      </c>
      <c r="B8" s="61"/>
      <c r="C8" s="61"/>
      <c r="D8" s="62"/>
    </row>
    <row r="9" spans="1:5" x14ac:dyDescent="0.2">
      <c r="A9" s="185" t="s">
        <v>296</v>
      </c>
      <c r="B9" s="61"/>
      <c r="C9" s="61"/>
      <c r="D9" s="62"/>
    </row>
    <row r="10" spans="1:5" x14ac:dyDescent="0.2">
      <c r="A10" s="184" t="s">
        <v>297</v>
      </c>
      <c r="B10" s="61"/>
      <c r="C10" s="61"/>
      <c r="D10" s="62"/>
    </row>
    <row r="11" spans="1:5" x14ac:dyDescent="0.2">
      <c r="A11" s="184" t="s">
        <v>298</v>
      </c>
      <c r="B11" s="84"/>
      <c r="C11" s="84"/>
      <c r="D11" s="85"/>
    </row>
    <row r="12" spans="1:5" x14ac:dyDescent="0.2">
      <c r="A12" s="185" t="s">
        <v>299</v>
      </c>
      <c r="B12" s="61"/>
      <c r="C12" s="61"/>
      <c r="D12" s="62"/>
    </row>
    <row r="13" spans="1:5" x14ac:dyDescent="0.2">
      <c r="A13" s="176" t="s">
        <v>300</v>
      </c>
      <c r="B13" s="61"/>
      <c r="C13" s="61"/>
      <c r="D13" s="62"/>
    </row>
    <row r="14" spans="1:5" x14ac:dyDescent="0.2">
      <c r="A14" s="176" t="s">
        <v>301</v>
      </c>
      <c r="B14" s="61"/>
      <c r="C14" s="61"/>
      <c r="D14" s="62"/>
    </row>
    <row r="15" spans="1:5" x14ac:dyDescent="0.2">
      <c r="A15" s="184" t="s">
        <v>302</v>
      </c>
      <c r="B15" s="61"/>
      <c r="C15" s="61"/>
      <c r="D15" s="62"/>
    </row>
    <row r="16" spans="1:5" x14ac:dyDescent="0.2">
      <c r="A16" s="176" t="s">
        <v>120</v>
      </c>
      <c r="B16" s="84"/>
      <c r="C16" s="84"/>
      <c r="D16" s="85"/>
    </row>
    <row r="17" spans="1:5" x14ac:dyDescent="0.2">
      <c r="A17" s="176" t="s">
        <v>303</v>
      </c>
      <c r="B17" s="61"/>
      <c r="C17" s="61"/>
      <c r="D17" s="62"/>
    </row>
    <row r="18" spans="1:5" x14ac:dyDescent="0.2">
      <c r="A18" s="176" t="s">
        <v>304</v>
      </c>
      <c r="B18" s="61"/>
      <c r="C18" s="61"/>
      <c r="D18" s="62"/>
    </row>
    <row r="19" spans="1:5" x14ac:dyDescent="0.2">
      <c r="A19" s="176" t="s">
        <v>305</v>
      </c>
      <c r="B19" s="61"/>
      <c r="C19" s="61"/>
      <c r="D19" s="62"/>
    </row>
    <row r="20" spans="1:5" x14ac:dyDescent="0.2">
      <c r="A20" s="184" t="s">
        <v>306</v>
      </c>
      <c r="B20" s="61"/>
      <c r="C20" s="61"/>
      <c r="D20" s="62"/>
    </row>
    <row r="21" spans="1:5" x14ac:dyDescent="0.2">
      <c r="A21" s="176" t="s">
        <v>255</v>
      </c>
      <c r="B21" s="61"/>
      <c r="C21" s="61"/>
      <c r="D21" s="62"/>
    </row>
    <row r="22" spans="1:5" x14ac:dyDescent="0.2">
      <c r="A22" s="184" t="s">
        <v>307</v>
      </c>
      <c r="B22" s="61"/>
      <c r="C22" s="61"/>
      <c r="D22" s="62"/>
    </row>
    <row r="23" spans="1:5" x14ac:dyDescent="0.2">
      <c r="A23" s="184" t="s">
        <v>308</v>
      </c>
      <c r="B23" s="61"/>
      <c r="C23" s="61"/>
      <c r="D23" s="62"/>
    </row>
    <row r="24" spans="1:5" x14ac:dyDescent="0.2">
      <c r="A24" s="184" t="s">
        <v>309</v>
      </c>
      <c r="B24" s="84"/>
      <c r="C24" s="84"/>
      <c r="D24" s="85"/>
    </row>
    <row r="25" spans="1:5" x14ac:dyDescent="0.2">
      <c r="A25" s="176" t="s">
        <v>310</v>
      </c>
      <c r="B25" s="61"/>
      <c r="C25" s="61"/>
      <c r="D25" s="62"/>
    </row>
    <row r="26" spans="1:5" x14ac:dyDescent="0.2">
      <c r="A26" s="176" t="s">
        <v>311</v>
      </c>
      <c r="B26" s="61"/>
      <c r="C26" s="61"/>
      <c r="D26" s="62"/>
    </row>
    <row r="27" spans="1:5" x14ac:dyDescent="0.2">
      <c r="A27" s="184" t="s">
        <v>312</v>
      </c>
      <c r="B27" s="61"/>
      <c r="C27" s="61"/>
      <c r="D27" s="62"/>
      <c r="E27" s="188"/>
    </row>
    <row r="28" spans="1:5" x14ac:dyDescent="0.2">
      <c r="A28" s="184" t="s">
        <v>313</v>
      </c>
      <c r="B28" s="84"/>
      <c r="C28" s="84"/>
      <c r="D28" s="114"/>
      <c r="E28" s="189" t="s">
        <v>314</v>
      </c>
    </row>
    <row r="29" spans="1:5" x14ac:dyDescent="0.2">
      <c r="A29" s="184" t="s">
        <v>315</v>
      </c>
      <c r="B29" s="61"/>
      <c r="C29" s="61"/>
      <c r="D29" s="113"/>
      <c r="E29" s="87"/>
    </row>
    <row r="30" spans="1:5" x14ac:dyDescent="0.2">
      <c r="A30" s="184" t="s">
        <v>316</v>
      </c>
      <c r="B30" s="61"/>
      <c r="C30" s="61"/>
      <c r="D30" s="113"/>
      <c r="E30" s="87"/>
    </row>
    <row r="31" spans="1:5" x14ac:dyDescent="0.2">
      <c r="A31" s="184" t="s">
        <v>317</v>
      </c>
      <c r="B31" s="61"/>
      <c r="C31" s="61"/>
      <c r="D31" s="113"/>
      <c r="E31" s="87"/>
    </row>
    <row r="32" spans="1:5" x14ac:dyDescent="0.2">
      <c r="A32" s="186" t="s">
        <v>198</v>
      </c>
      <c r="B32" s="67"/>
      <c r="C32" s="67"/>
      <c r="D32" s="115"/>
      <c r="E32" s="80"/>
    </row>
    <row r="34" spans="1:6" ht="15.75" x14ac:dyDescent="0.25">
      <c r="A34" s="177" t="s">
        <v>318</v>
      </c>
      <c r="B34" s="178"/>
      <c r="C34" s="178"/>
      <c r="D34" s="178"/>
      <c r="E34" s="178"/>
      <c r="F34" s="178"/>
    </row>
    <row r="35" spans="1:6" x14ac:dyDescent="0.2">
      <c r="A35" s="180" t="s">
        <v>94</v>
      </c>
      <c r="B35" s="181" t="s">
        <v>54</v>
      </c>
      <c r="C35" s="181" t="s">
        <v>95</v>
      </c>
      <c r="D35" s="181" t="s">
        <v>96</v>
      </c>
      <c r="E35" s="181" t="s">
        <v>97</v>
      </c>
      <c r="F35" s="181" t="s">
        <v>98</v>
      </c>
    </row>
    <row r="36" spans="1:6" x14ac:dyDescent="0.2">
      <c r="A36" s="190" t="s">
        <v>160</v>
      </c>
      <c r="B36" s="27"/>
      <c r="C36" s="27"/>
      <c r="D36" s="27"/>
      <c r="E36" s="27"/>
      <c r="F36" s="27"/>
    </row>
    <row r="37" spans="1:6" x14ac:dyDescent="0.2">
      <c r="A37" s="191" t="s">
        <v>159</v>
      </c>
      <c r="B37" s="27"/>
      <c r="C37" s="27"/>
      <c r="D37" s="27"/>
      <c r="E37" s="27"/>
      <c r="F37" s="27"/>
    </row>
    <row r="38" spans="1:6" x14ac:dyDescent="0.2">
      <c r="A38" s="190" t="s">
        <v>162</v>
      </c>
      <c r="B38" s="27"/>
      <c r="C38" s="27"/>
      <c r="D38" s="27"/>
      <c r="E38" s="27"/>
      <c r="F38" s="27"/>
    </row>
    <row r="39" spans="1:6" x14ac:dyDescent="0.2">
      <c r="A39" s="191" t="s">
        <v>161</v>
      </c>
      <c r="B39" s="27"/>
      <c r="C39" s="27"/>
      <c r="D39" s="27"/>
      <c r="E39" s="27"/>
      <c r="F39" s="27"/>
    </row>
    <row r="40" spans="1:6" x14ac:dyDescent="0.2">
      <c r="A40" s="190" t="s">
        <v>164</v>
      </c>
      <c r="B40" s="27"/>
      <c r="C40" s="27"/>
      <c r="D40" s="27"/>
      <c r="E40" s="27"/>
      <c r="F40" s="27"/>
    </row>
    <row r="41" spans="1:6" x14ac:dyDescent="0.2">
      <c r="A41" s="191" t="s">
        <v>163</v>
      </c>
      <c r="B41" s="27"/>
      <c r="C41" s="27"/>
      <c r="D41" s="27"/>
      <c r="E41" s="27"/>
      <c r="F41" s="27"/>
    </row>
    <row r="42" spans="1:6" x14ac:dyDescent="0.2">
      <c r="A42" s="191" t="s">
        <v>319</v>
      </c>
      <c r="B42" s="27"/>
      <c r="C42" s="27"/>
      <c r="D42" s="27"/>
      <c r="E42" s="27"/>
      <c r="F42" s="27"/>
    </row>
    <row r="43" spans="1:6" x14ac:dyDescent="0.2">
      <c r="A43" s="190" t="s">
        <v>165</v>
      </c>
      <c r="B43" s="27"/>
      <c r="C43" s="27"/>
      <c r="D43" s="27"/>
      <c r="E43" s="27"/>
      <c r="F43" s="27"/>
    </row>
    <row r="44" spans="1:6" x14ac:dyDescent="0.2">
      <c r="A44" s="192" t="s">
        <v>166</v>
      </c>
      <c r="B44" s="31"/>
      <c r="C44" s="31"/>
      <c r="D44" s="31"/>
      <c r="E44" s="31"/>
      <c r="F44" s="31"/>
    </row>
    <row r="45" spans="1:6" ht="15.75" x14ac:dyDescent="0.25">
      <c r="A45" s="193" t="s">
        <v>320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ColWidth="11.28515625" defaultRowHeight="12.75" x14ac:dyDescent="0.2"/>
  <cols>
    <col min="1" max="1" width="40.85546875" style="205" customWidth="1"/>
    <col min="2" max="7" width="14.7109375" style="205" customWidth="1"/>
    <col min="8" max="8" width="21.7109375" style="205" customWidth="1"/>
    <col min="9" max="9" width="17.28515625" style="205" customWidth="1"/>
    <col min="10" max="16384" width="11.28515625" style="205"/>
  </cols>
  <sheetData>
    <row r="1" spans="1:8" x14ac:dyDescent="0.2">
      <c r="A1" s="1" t="s">
        <v>0</v>
      </c>
      <c r="B1"/>
      <c r="C1"/>
      <c r="D1"/>
      <c r="E1" s="2">
        <f>InfoInicial!E1</f>
        <v>9</v>
      </c>
    </row>
    <row r="3" spans="1:8" ht="15.75" x14ac:dyDescent="0.25">
      <c r="A3" s="206" t="s">
        <v>332</v>
      </c>
      <c r="B3" s="207"/>
      <c r="C3" s="207"/>
      <c r="D3" s="207"/>
      <c r="E3" s="207"/>
      <c r="F3" s="207"/>
      <c r="G3" s="208"/>
      <c r="H3" s="209"/>
    </row>
    <row r="4" spans="1:8" x14ac:dyDescent="0.2">
      <c r="A4" s="210"/>
      <c r="B4" s="211" t="s">
        <v>53</v>
      </c>
      <c r="C4" s="211" t="s">
        <v>54</v>
      </c>
      <c r="D4" s="211" t="s">
        <v>95</v>
      </c>
      <c r="E4" s="211" t="s">
        <v>96</v>
      </c>
      <c r="F4" s="211" t="s">
        <v>97</v>
      </c>
      <c r="G4" s="212" t="s">
        <v>98</v>
      </c>
      <c r="H4" s="213" t="s">
        <v>198</v>
      </c>
    </row>
    <row r="5" spans="1:8" x14ac:dyDescent="0.2">
      <c r="A5" s="184" t="s">
        <v>333</v>
      </c>
      <c r="B5" s="91"/>
      <c r="C5" s="91"/>
      <c r="D5" s="91"/>
      <c r="E5" s="91"/>
      <c r="F5" s="91"/>
      <c r="G5" s="214"/>
      <c r="H5" s="92"/>
    </row>
    <row r="6" spans="1:8" x14ac:dyDescent="0.2">
      <c r="A6" s="176" t="s">
        <v>334</v>
      </c>
      <c r="B6" s="61"/>
      <c r="C6" s="61"/>
      <c r="D6" s="61"/>
      <c r="E6" s="61"/>
      <c r="F6" s="61"/>
      <c r="G6" s="113"/>
      <c r="H6" s="62"/>
    </row>
    <row r="7" spans="1:8" x14ac:dyDescent="0.2">
      <c r="A7" s="176" t="s">
        <v>335</v>
      </c>
      <c r="B7" s="215"/>
      <c r="C7" s="215"/>
      <c r="D7" s="215"/>
      <c r="E7" s="215"/>
      <c r="F7" s="215"/>
      <c r="G7" s="216"/>
      <c r="H7" s="217"/>
    </row>
    <row r="8" spans="1:8" x14ac:dyDescent="0.2">
      <c r="A8" s="176" t="s">
        <v>336</v>
      </c>
      <c r="B8" s="61"/>
      <c r="C8" s="61"/>
      <c r="D8" s="61"/>
      <c r="E8" s="61"/>
      <c r="F8" s="61"/>
      <c r="G8" s="113"/>
      <c r="H8" s="62"/>
    </row>
    <row r="9" spans="1:8" x14ac:dyDescent="0.2">
      <c r="A9" s="176" t="s">
        <v>337</v>
      </c>
      <c r="B9" s="215"/>
      <c r="C9" s="215"/>
      <c r="D9" s="215"/>
      <c r="E9" s="215"/>
      <c r="F9" s="215"/>
      <c r="G9" s="216"/>
      <c r="H9" s="217"/>
    </row>
    <row r="10" spans="1:8" x14ac:dyDescent="0.2">
      <c r="A10" s="176" t="s">
        <v>338</v>
      </c>
      <c r="B10" s="61"/>
      <c r="C10" s="61"/>
      <c r="D10" s="61"/>
      <c r="E10" s="61"/>
      <c r="F10" s="61"/>
      <c r="G10" s="113"/>
      <c r="H10" s="62"/>
    </row>
    <row r="11" spans="1:8" x14ac:dyDescent="0.2">
      <c r="A11" s="176" t="s">
        <v>339</v>
      </c>
      <c r="B11" s="91"/>
      <c r="C11" s="91"/>
      <c r="D11" s="91"/>
      <c r="E11" s="91"/>
      <c r="F11" s="91"/>
      <c r="G11" s="214"/>
      <c r="H11" s="92"/>
    </row>
    <row r="12" spans="1:8" x14ac:dyDescent="0.2">
      <c r="A12" s="176"/>
      <c r="B12" s="61"/>
      <c r="C12" s="61"/>
      <c r="D12" s="61"/>
      <c r="E12" s="61"/>
      <c r="F12" s="61"/>
      <c r="G12" s="113"/>
      <c r="H12" s="62"/>
    </row>
    <row r="13" spans="1:8" x14ac:dyDescent="0.2">
      <c r="A13" s="184" t="s">
        <v>340</v>
      </c>
      <c r="B13" s="61"/>
      <c r="C13" s="61"/>
      <c r="D13" s="61"/>
      <c r="E13" s="61"/>
      <c r="F13" s="61"/>
      <c r="G13" s="113"/>
      <c r="H13" s="62"/>
    </row>
    <row r="14" spans="1:8" x14ac:dyDescent="0.2">
      <c r="A14" s="176" t="s">
        <v>341</v>
      </c>
      <c r="B14" s="215"/>
      <c r="C14" s="215"/>
      <c r="D14" s="215"/>
      <c r="E14" s="215"/>
      <c r="F14" s="215"/>
      <c r="G14" s="216"/>
      <c r="H14" s="217"/>
    </row>
    <row r="15" spans="1:8" x14ac:dyDescent="0.2">
      <c r="A15" s="176" t="s">
        <v>265</v>
      </c>
      <c r="B15" s="61"/>
      <c r="C15" s="61"/>
      <c r="D15" s="61"/>
      <c r="E15" s="61"/>
      <c r="F15" s="61"/>
      <c r="G15" s="113"/>
      <c r="H15" s="62"/>
    </row>
    <row r="16" spans="1:8" x14ac:dyDescent="0.2">
      <c r="A16" s="176" t="s">
        <v>342</v>
      </c>
      <c r="B16" s="61"/>
      <c r="C16" s="61"/>
      <c r="D16" s="61"/>
      <c r="E16" s="61"/>
      <c r="F16" s="61"/>
      <c r="G16" s="113"/>
      <c r="H16" s="62"/>
    </row>
    <row r="17" spans="1:14" x14ac:dyDescent="0.2">
      <c r="A17" s="176" t="s">
        <v>343</v>
      </c>
      <c r="B17" s="61"/>
      <c r="C17" s="61"/>
      <c r="D17" s="61"/>
      <c r="E17" s="61"/>
      <c r="F17" s="61"/>
      <c r="G17" s="113"/>
      <c r="H17" s="62"/>
    </row>
    <row r="18" spans="1:14" x14ac:dyDescent="0.2">
      <c r="A18" s="176" t="s">
        <v>344</v>
      </c>
      <c r="B18" s="215"/>
      <c r="C18" s="215"/>
      <c r="D18" s="215"/>
      <c r="E18" s="215"/>
      <c r="F18" s="215"/>
      <c r="G18" s="216"/>
      <c r="H18" s="217"/>
    </row>
    <row r="19" spans="1:14" x14ac:dyDescent="0.2">
      <c r="A19" s="176" t="s">
        <v>345</v>
      </c>
      <c r="B19" s="61"/>
      <c r="C19" s="61"/>
      <c r="D19" s="61"/>
      <c r="E19" s="61"/>
      <c r="F19" s="61"/>
      <c r="G19" s="113"/>
      <c r="H19" s="62"/>
    </row>
    <row r="20" spans="1:14" x14ac:dyDescent="0.2">
      <c r="A20" s="176" t="s">
        <v>346</v>
      </c>
      <c r="B20" s="215"/>
      <c r="C20" s="215"/>
      <c r="D20" s="215"/>
      <c r="E20" s="215"/>
      <c r="F20" s="215"/>
      <c r="G20" s="216"/>
      <c r="H20" s="217"/>
    </row>
    <row r="21" spans="1:14" x14ac:dyDescent="0.2">
      <c r="A21" s="176" t="s">
        <v>347</v>
      </c>
      <c r="B21" s="61"/>
      <c r="C21" s="61"/>
      <c r="D21" s="61"/>
      <c r="E21" s="61"/>
      <c r="F21" s="61"/>
      <c r="G21" s="113"/>
      <c r="H21" s="62"/>
    </row>
    <row r="22" spans="1:14" x14ac:dyDescent="0.2">
      <c r="A22" s="176" t="s">
        <v>348</v>
      </c>
      <c r="B22" s="91"/>
      <c r="C22" s="91"/>
      <c r="D22" s="91"/>
      <c r="E22" s="91"/>
      <c r="F22" s="91"/>
      <c r="G22" s="214"/>
      <c r="H22" s="92"/>
    </row>
    <row r="23" spans="1:14" x14ac:dyDescent="0.2">
      <c r="A23" s="176"/>
      <c r="B23" s="84"/>
      <c r="C23" s="84"/>
      <c r="D23" s="84"/>
      <c r="E23" s="84"/>
      <c r="F23" s="84"/>
      <c r="G23" s="114"/>
      <c r="H23" s="85"/>
    </row>
    <row r="24" spans="1:14" x14ac:dyDescent="0.2">
      <c r="A24" s="184" t="s">
        <v>349</v>
      </c>
      <c r="B24" s="61"/>
      <c r="C24" s="61"/>
      <c r="D24" s="61"/>
      <c r="E24" s="61"/>
      <c r="F24" s="61"/>
      <c r="G24" s="113"/>
      <c r="H24" s="62"/>
    </row>
    <row r="25" spans="1:14" x14ac:dyDescent="0.2">
      <c r="A25" s="184" t="s">
        <v>350</v>
      </c>
      <c r="B25" s="61"/>
      <c r="C25" s="61"/>
      <c r="D25" s="61"/>
      <c r="E25" s="61"/>
      <c r="F25" s="61"/>
      <c r="G25" s="113"/>
      <c r="H25" s="62"/>
    </row>
    <row r="26" spans="1:14" x14ac:dyDescent="0.2">
      <c r="A26" s="184"/>
      <c r="B26" s="84"/>
      <c r="C26" s="84"/>
      <c r="D26" s="84"/>
      <c r="E26" s="84"/>
      <c r="F26" s="84"/>
      <c r="G26" s="114"/>
      <c r="H26" s="85"/>
    </row>
    <row r="27" spans="1:14" x14ac:dyDescent="0.2">
      <c r="A27" s="184" t="s">
        <v>351</v>
      </c>
      <c r="B27" s="93"/>
      <c r="C27" s="93"/>
      <c r="D27" s="93"/>
      <c r="E27" s="93"/>
      <c r="F27" s="93"/>
      <c r="G27" s="218"/>
      <c r="H27" s="94"/>
    </row>
    <row r="28" spans="1:14" x14ac:dyDescent="0.2">
      <c r="A28" s="192" t="s">
        <v>352</v>
      </c>
      <c r="B28" s="31"/>
      <c r="C28" s="31"/>
      <c r="D28" s="31"/>
      <c r="E28" s="31"/>
      <c r="F28" s="31"/>
      <c r="G28" s="219"/>
      <c r="H28" s="53"/>
      <c r="I28" s="176"/>
      <c r="J28" s="176"/>
      <c r="K28" s="176"/>
      <c r="L28" s="176"/>
      <c r="M28" s="176"/>
      <c r="N28" s="176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ColWidth="11.28515625" defaultRowHeight="12.75" x14ac:dyDescent="0.2"/>
  <cols>
    <col min="1" max="1" width="37.5703125" style="176" customWidth="1"/>
    <col min="2" max="7" width="14.71093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3" spans="1:7" ht="15.75" x14ac:dyDescent="0.25">
      <c r="A3" s="206" t="s">
        <v>353</v>
      </c>
      <c r="B3" s="207"/>
      <c r="C3" s="207"/>
      <c r="D3" s="207"/>
      <c r="E3" s="207"/>
      <c r="F3" s="207"/>
      <c r="G3" s="209"/>
    </row>
    <row r="4" spans="1:7" x14ac:dyDescent="0.2">
      <c r="A4" s="220"/>
      <c r="B4" s="221" t="s">
        <v>53</v>
      </c>
      <c r="C4" s="221" t="s">
        <v>54</v>
      </c>
      <c r="D4" s="221" t="s">
        <v>95</v>
      </c>
      <c r="E4" s="221" t="s">
        <v>96</v>
      </c>
      <c r="F4" s="221" t="s">
        <v>97</v>
      </c>
      <c r="G4" s="222" t="s">
        <v>98</v>
      </c>
    </row>
    <row r="5" spans="1:7" x14ac:dyDescent="0.2">
      <c r="A5" s="223" t="s">
        <v>354</v>
      </c>
      <c r="B5" s="224"/>
      <c r="C5" s="224"/>
      <c r="D5" s="224"/>
      <c r="E5" s="224"/>
      <c r="F5" s="224"/>
      <c r="G5" s="225"/>
    </row>
    <row r="6" spans="1:7" x14ac:dyDescent="0.2">
      <c r="A6" s="190" t="s">
        <v>355</v>
      </c>
      <c r="B6" s="84"/>
      <c r="C6" s="84"/>
      <c r="D6" s="84"/>
      <c r="E6" s="84"/>
      <c r="F6" s="84"/>
      <c r="G6" s="85"/>
    </row>
    <row r="7" spans="1:7" x14ac:dyDescent="0.2">
      <c r="A7" s="210" t="s">
        <v>356</v>
      </c>
      <c r="B7" s="215"/>
      <c r="C7" s="215"/>
      <c r="D7" s="215"/>
      <c r="E7" s="215"/>
      <c r="F7" s="215"/>
      <c r="G7" s="217"/>
    </row>
    <row r="8" spans="1:7" x14ac:dyDescent="0.2">
      <c r="A8" s="210" t="s">
        <v>357</v>
      </c>
      <c r="B8" s="61"/>
      <c r="C8" s="61"/>
      <c r="D8" s="61"/>
      <c r="E8" s="61"/>
      <c r="F8" s="61"/>
      <c r="G8" s="62"/>
    </row>
    <row r="9" spans="1:7" x14ac:dyDescent="0.2">
      <c r="A9" s="190" t="s">
        <v>358</v>
      </c>
      <c r="B9" s="215"/>
      <c r="C9" s="215"/>
      <c r="D9" s="215"/>
      <c r="E9" s="215"/>
      <c r="F9" s="215"/>
      <c r="G9" s="217"/>
    </row>
    <row r="10" spans="1:7" x14ac:dyDescent="0.2">
      <c r="A10" s="190" t="s">
        <v>359</v>
      </c>
      <c r="B10" s="61"/>
      <c r="C10" s="61"/>
      <c r="D10" s="61"/>
      <c r="E10" s="61"/>
      <c r="F10" s="61"/>
      <c r="G10" s="62"/>
    </row>
    <row r="11" spans="1:7" x14ac:dyDescent="0.2">
      <c r="A11" s="190" t="s">
        <v>360</v>
      </c>
      <c r="B11" s="91"/>
      <c r="C11" s="91"/>
      <c r="D11" s="91"/>
      <c r="E11" s="91"/>
      <c r="F11" s="91"/>
      <c r="G11" s="92"/>
    </row>
    <row r="12" spans="1:7" x14ac:dyDescent="0.2">
      <c r="A12" s="190" t="s">
        <v>361</v>
      </c>
      <c r="B12" s="91"/>
      <c r="C12" s="91"/>
      <c r="D12" s="91"/>
      <c r="E12" s="91"/>
      <c r="F12" s="91"/>
      <c r="G12" s="92"/>
    </row>
    <row r="13" spans="1:7" x14ac:dyDescent="0.2">
      <c r="A13" s="190" t="s">
        <v>362</v>
      </c>
      <c r="B13" s="226"/>
      <c r="C13" s="226"/>
      <c r="D13" s="226"/>
      <c r="E13" s="226"/>
      <c r="F13" s="226"/>
      <c r="G13" s="227"/>
    </row>
    <row r="14" spans="1:7" x14ac:dyDescent="0.2">
      <c r="A14" s="210" t="s">
        <v>363</v>
      </c>
      <c r="B14" s="61"/>
      <c r="C14" s="61"/>
      <c r="D14" s="61"/>
      <c r="E14" s="61"/>
      <c r="F14" s="61"/>
      <c r="G14" s="62"/>
    </row>
    <row r="15" spans="1:7" x14ac:dyDescent="0.2">
      <c r="A15" s="210" t="s">
        <v>364</v>
      </c>
      <c r="B15" s="215"/>
      <c r="C15" s="215"/>
      <c r="D15" s="215"/>
      <c r="E15" s="215"/>
      <c r="F15" s="215"/>
      <c r="G15" s="217"/>
    </row>
    <row r="16" spans="1:7" x14ac:dyDescent="0.2">
      <c r="A16" s="210" t="s">
        <v>365</v>
      </c>
      <c r="B16" s="61"/>
      <c r="C16" s="61"/>
      <c r="D16" s="61"/>
      <c r="E16" s="61"/>
      <c r="F16" s="61"/>
      <c r="G16" s="62"/>
    </row>
    <row r="17" spans="1:7" x14ac:dyDescent="0.2">
      <c r="A17" s="210" t="s">
        <v>366</v>
      </c>
      <c r="B17" s="61"/>
      <c r="C17" s="61"/>
      <c r="D17" s="61"/>
      <c r="E17" s="61"/>
      <c r="F17" s="61"/>
      <c r="G17" s="62"/>
    </row>
    <row r="18" spans="1:7" x14ac:dyDescent="0.2">
      <c r="A18" s="190" t="s">
        <v>87</v>
      </c>
      <c r="B18" s="215"/>
      <c r="C18" s="215"/>
      <c r="D18" s="215"/>
      <c r="E18" s="215"/>
      <c r="F18" s="215"/>
      <c r="G18" s="217"/>
    </row>
    <row r="19" spans="1:7" x14ac:dyDescent="0.2">
      <c r="A19" s="210" t="s">
        <v>363</v>
      </c>
      <c r="B19" s="61"/>
      <c r="C19" s="61"/>
      <c r="D19" s="61"/>
      <c r="E19" s="61"/>
      <c r="F19" s="61"/>
      <c r="G19" s="62"/>
    </row>
    <row r="20" spans="1:7" x14ac:dyDescent="0.2">
      <c r="A20" s="210" t="s">
        <v>367</v>
      </c>
      <c r="B20" s="61"/>
      <c r="C20" s="61"/>
      <c r="D20" s="61"/>
      <c r="E20" s="61"/>
      <c r="F20" s="61"/>
      <c r="G20" s="62"/>
    </row>
    <row r="21" spans="1:7" x14ac:dyDescent="0.2">
      <c r="A21" s="210" t="s">
        <v>368</v>
      </c>
      <c r="B21" s="61"/>
      <c r="C21" s="61"/>
      <c r="D21" s="61"/>
      <c r="E21" s="61"/>
      <c r="F21" s="61"/>
      <c r="G21" s="62"/>
    </row>
    <row r="22" spans="1:7" x14ac:dyDescent="0.2">
      <c r="A22" s="210" t="s">
        <v>366</v>
      </c>
      <c r="B22" s="215"/>
      <c r="C22" s="215"/>
      <c r="D22" s="215"/>
      <c r="E22" s="215"/>
      <c r="F22" s="215"/>
      <c r="G22" s="217"/>
    </row>
    <row r="23" spans="1:7" x14ac:dyDescent="0.2">
      <c r="A23" s="190" t="s">
        <v>369</v>
      </c>
      <c r="B23" s="215"/>
      <c r="C23" s="215"/>
      <c r="D23" s="215"/>
      <c r="E23" s="215"/>
      <c r="F23" s="215"/>
      <c r="G23" s="217"/>
    </row>
    <row r="24" spans="1:7" x14ac:dyDescent="0.2">
      <c r="A24" s="190" t="s">
        <v>370</v>
      </c>
      <c r="B24" s="215"/>
      <c r="C24" s="215"/>
      <c r="D24" s="215"/>
      <c r="E24" s="215"/>
      <c r="F24" s="215"/>
      <c r="G24" s="217"/>
    </row>
    <row r="25" spans="1:7" x14ac:dyDescent="0.2">
      <c r="A25" s="190" t="s">
        <v>371</v>
      </c>
      <c r="B25" s="215"/>
      <c r="C25" s="215"/>
      <c r="D25" s="215"/>
      <c r="E25" s="215"/>
      <c r="F25" s="215"/>
      <c r="G25" s="217"/>
    </row>
    <row r="26" spans="1:7" x14ac:dyDescent="0.2">
      <c r="A26" s="190" t="s">
        <v>372</v>
      </c>
      <c r="B26" s="215"/>
      <c r="C26" s="215"/>
      <c r="D26" s="215"/>
      <c r="E26" s="215"/>
      <c r="F26" s="215"/>
      <c r="G26" s="217"/>
    </row>
    <row r="27" spans="1:7" x14ac:dyDescent="0.2">
      <c r="A27" s="190" t="s">
        <v>373</v>
      </c>
      <c r="B27" s="61"/>
      <c r="C27" s="61"/>
      <c r="D27" s="61"/>
      <c r="E27" s="61"/>
      <c r="F27" s="61"/>
      <c r="G27" s="62"/>
    </row>
    <row r="28" spans="1:7" x14ac:dyDescent="0.2">
      <c r="A28" s="190" t="s">
        <v>374</v>
      </c>
      <c r="B28" s="61"/>
      <c r="C28" s="61"/>
      <c r="D28" s="61"/>
      <c r="E28" s="61"/>
      <c r="F28" s="61"/>
      <c r="G28" s="62"/>
    </row>
    <row r="29" spans="1:7" x14ac:dyDescent="0.2">
      <c r="A29" s="190" t="s">
        <v>373</v>
      </c>
      <c r="B29" s="215"/>
      <c r="C29" s="215"/>
      <c r="D29" s="215"/>
      <c r="E29" s="215"/>
      <c r="F29" s="215"/>
      <c r="G29" s="217"/>
    </row>
    <row r="30" spans="1:7" x14ac:dyDescent="0.2">
      <c r="A30" s="190" t="s">
        <v>375</v>
      </c>
      <c r="B30" s="61"/>
      <c r="C30" s="61"/>
      <c r="D30" s="61"/>
      <c r="E30" s="61"/>
      <c r="F30" s="61"/>
      <c r="G30" s="62"/>
    </row>
    <row r="31" spans="1:7" x14ac:dyDescent="0.2">
      <c r="A31" s="190" t="s">
        <v>376</v>
      </c>
      <c r="B31" s="61"/>
      <c r="C31" s="61"/>
      <c r="D31" s="61"/>
      <c r="E31" s="61"/>
      <c r="F31" s="61"/>
      <c r="G31" s="62"/>
    </row>
    <row r="32" spans="1:7" x14ac:dyDescent="0.2">
      <c r="A32" s="190" t="s">
        <v>377</v>
      </c>
      <c r="B32" s="61"/>
      <c r="C32" s="61"/>
      <c r="D32" s="61"/>
      <c r="E32" s="61"/>
      <c r="F32" s="61"/>
      <c r="G32" s="62"/>
    </row>
    <row r="33" spans="1:7" x14ac:dyDescent="0.2">
      <c r="A33" s="190" t="s">
        <v>378</v>
      </c>
      <c r="B33" s="215"/>
      <c r="C33" s="215"/>
      <c r="D33" s="215"/>
      <c r="E33" s="215"/>
      <c r="F33" s="215"/>
      <c r="G33" s="217"/>
    </row>
    <row r="34" spans="1:7" x14ac:dyDescent="0.2">
      <c r="A34" s="190" t="s">
        <v>379</v>
      </c>
      <c r="B34" s="61"/>
      <c r="C34" s="61"/>
      <c r="D34" s="61"/>
      <c r="E34" s="61"/>
      <c r="F34" s="61"/>
      <c r="G34" s="62"/>
    </row>
    <row r="35" spans="1:7" x14ac:dyDescent="0.2">
      <c r="A35" s="192" t="s">
        <v>380</v>
      </c>
      <c r="B35" s="31"/>
      <c r="C35" s="31"/>
      <c r="D35" s="31"/>
      <c r="E35" s="31"/>
      <c r="F35" s="31"/>
      <c r="G35" s="53"/>
    </row>
    <row r="38" spans="1:7" x14ac:dyDescent="0.2">
      <c r="A38" s="228" t="s">
        <v>381</v>
      </c>
      <c r="B38" s="143" t="str">
        <f t="shared" ref="B38:G38" si="0">IF(B24=B35,"OK","MAL")</f>
        <v>OK</v>
      </c>
      <c r="C38" s="143" t="str">
        <f t="shared" si="0"/>
        <v>OK</v>
      </c>
      <c r="D38" s="143" t="str">
        <f t="shared" si="0"/>
        <v>OK</v>
      </c>
      <c r="E38" s="143" t="str">
        <f t="shared" si="0"/>
        <v>OK</v>
      </c>
      <c r="F38" s="143" t="str">
        <f t="shared" si="0"/>
        <v>OK</v>
      </c>
      <c r="G38" s="143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ColWidth="11.28515625" defaultRowHeight="12.75" x14ac:dyDescent="0.2"/>
  <cols>
    <col min="1" max="1" width="7.85546875" style="176" customWidth="1"/>
    <col min="2" max="6" width="14.7109375" style="176" customWidth="1"/>
    <col min="7" max="7" width="16" style="176" customWidth="1"/>
    <col min="8" max="9" width="14.7109375" style="176" customWidth="1"/>
    <col min="10" max="10" width="17.42578125" style="176" customWidth="1"/>
    <col min="11" max="11" width="14.7109375" style="176" customWidth="1"/>
    <col min="12" max="12" width="16.5703125" style="176" customWidth="1"/>
    <col min="13" max="13" width="18.42578125" style="176" customWidth="1"/>
    <col min="14" max="14" width="17.42578125" style="176" customWidth="1"/>
    <col min="15" max="15" width="17.28515625" style="176" customWidth="1"/>
    <col min="16" max="16384" width="11.28515625" style="176"/>
  </cols>
  <sheetData>
    <row r="1" spans="1:14" x14ac:dyDescent="0.2">
      <c r="A1" s="1" t="s">
        <v>0</v>
      </c>
      <c r="B1"/>
      <c r="C1"/>
      <c r="D1"/>
      <c r="G1" s="2">
        <f>InfoInicial!E1</f>
        <v>9</v>
      </c>
    </row>
    <row r="3" spans="1:14" ht="15.75" x14ac:dyDescent="0.25">
      <c r="A3" s="177" t="s">
        <v>382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</row>
    <row r="4" spans="1:14" ht="25.5" x14ac:dyDescent="0.2">
      <c r="A4" s="197" t="s">
        <v>237</v>
      </c>
      <c r="B4" s="198" t="s">
        <v>341</v>
      </c>
      <c r="C4" s="198" t="s">
        <v>383</v>
      </c>
      <c r="D4" s="198" t="s">
        <v>240</v>
      </c>
      <c r="E4" s="198" t="s">
        <v>5</v>
      </c>
      <c r="F4" s="198" t="s">
        <v>241</v>
      </c>
      <c r="G4" s="198" t="s">
        <v>242</v>
      </c>
      <c r="H4" s="198" t="s">
        <v>384</v>
      </c>
      <c r="I4" s="198" t="s">
        <v>385</v>
      </c>
      <c r="J4" s="198" t="s">
        <v>102</v>
      </c>
      <c r="K4" s="198" t="s">
        <v>244</v>
      </c>
      <c r="L4" s="198" t="s">
        <v>245</v>
      </c>
      <c r="M4" s="229" t="s">
        <v>246</v>
      </c>
      <c r="N4" s="230" t="s">
        <v>247</v>
      </c>
    </row>
    <row r="5" spans="1:14" x14ac:dyDescent="0.2">
      <c r="A5" s="231">
        <v>0</v>
      </c>
      <c r="B5" s="133"/>
      <c r="C5" s="59"/>
      <c r="D5" s="59"/>
      <c r="E5" s="59"/>
      <c r="F5" s="59"/>
      <c r="G5" s="59"/>
      <c r="H5" s="59"/>
      <c r="I5" s="59"/>
      <c r="J5" s="59"/>
      <c r="K5" s="59"/>
      <c r="L5" s="59"/>
      <c r="M5" s="134"/>
      <c r="N5" s="60"/>
    </row>
    <row r="6" spans="1:14" x14ac:dyDescent="0.2">
      <c r="A6" s="232">
        <v>1</v>
      </c>
      <c r="B6" s="124"/>
      <c r="C6" s="61"/>
      <c r="D6" s="61"/>
      <c r="E6" s="61"/>
      <c r="F6" s="61"/>
      <c r="G6" s="61"/>
      <c r="H6" s="61"/>
      <c r="I6" s="61"/>
      <c r="J6" s="61"/>
      <c r="K6" s="61"/>
      <c r="L6" s="61"/>
      <c r="M6" s="113"/>
      <c r="N6" s="62"/>
    </row>
    <row r="7" spans="1:14" x14ac:dyDescent="0.2">
      <c r="A7" s="232">
        <v>2</v>
      </c>
      <c r="B7" s="124"/>
      <c r="C7" s="61"/>
      <c r="D7" s="61"/>
      <c r="E7" s="61"/>
      <c r="F7" s="61"/>
      <c r="G7" s="61"/>
      <c r="H7" s="61"/>
      <c r="I7" s="61"/>
      <c r="J7" s="61"/>
      <c r="K7" s="61"/>
      <c r="L7" s="61"/>
      <c r="M7" s="113"/>
      <c r="N7" s="62"/>
    </row>
    <row r="8" spans="1:14" x14ac:dyDescent="0.2">
      <c r="A8" s="232">
        <v>3</v>
      </c>
      <c r="B8" s="124"/>
      <c r="C8" s="61"/>
      <c r="D8" s="61"/>
      <c r="E8" s="61"/>
      <c r="F8" s="61"/>
      <c r="G8" s="61"/>
      <c r="H8" s="61"/>
      <c r="I8" s="61"/>
      <c r="J8" s="61"/>
      <c r="K8" s="61"/>
      <c r="L8" s="61"/>
      <c r="M8" s="113"/>
      <c r="N8" s="62"/>
    </row>
    <row r="9" spans="1:14" x14ac:dyDescent="0.2">
      <c r="A9" s="232">
        <v>4</v>
      </c>
      <c r="B9" s="124"/>
      <c r="C9" s="61"/>
      <c r="D9" s="61"/>
      <c r="E9" s="61"/>
      <c r="F9" s="61"/>
      <c r="G9" s="61"/>
      <c r="H9" s="61"/>
      <c r="I9" s="61"/>
      <c r="J9" s="61"/>
      <c r="K9" s="61"/>
      <c r="L9" s="61"/>
      <c r="M9" s="113"/>
      <c r="N9" s="62"/>
    </row>
    <row r="10" spans="1:14" x14ac:dyDescent="0.2">
      <c r="A10" s="232">
        <v>5</v>
      </c>
      <c r="B10" s="12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13"/>
      <c r="N10" s="62"/>
    </row>
    <row r="11" spans="1:14" x14ac:dyDescent="0.2">
      <c r="A11" s="232"/>
      <c r="B11" s="12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14"/>
      <c r="N11" s="85"/>
    </row>
    <row r="12" spans="1:14" x14ac:dyDescent="0.2">
      <c r="A12" s="233" t="s">
        <v>248</v>
      </c>
      <c r="B12" s="129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115"/>
      <c r="N12" s="68"/>
    </row>
    <row r="14" spans="1:14" x14ac:dyDescent="0.2">
      <c r="C14" s="234" t="s">
        <v>249</v>
      </c>
      <c r="D14" s="138"/>
    </row>
    <row r="15" spans="1:14" x14ac:dyDescent="0.2">
      <c r="A15" s="184"/>
      <c r="C15" s="234" t="s">
        <v>250</v>
      </c>
      <c r="D15" s="139"/>
      <c r="E15" s="176" t="s">
        <v>251</v>
      </c>
      <c r="J15"/>
      <c r="K15"/>
    </row>
    <row r="16" spans="1:14" x14ac:dyDescent="0.2">
      <c r="C16" s="234" t="s">
        <v>386</v>
      </c>
      <c r="D16" s="140"/>
      <c r="J16" s="235"/>
      <c r="K16" s="235"/>
    </row>
    <row r="17" spans="1:15" x14ac:dyDescent="0.2">
      <c r="C17" s="234"/>
      <c r="D17" s="140"/>
      <c r="J17" s="236"/>
      <c r="K17" s="237"/>
    </row>
    <row r="18" spans="1:15" x14ac:dyDescent="0.2">
      <c r="A18" s="238"/>
      <c r="B18" s="239"/>
      <c r="C18" s="239"/>
      <c r="D18" s="239"/>
      <c r="E18" s="240"/>
      <c r="F18" s="241"/>
      <c r="G18" s="241"/>
      <c r="H18" s="241"/>
      <c r="I18" s="241"/>
      <c r="J18" s="236"/>
      <c r="K18" s="242"/>
      <c r="L18" s="241"/>
      <c r="M18" s="241"/>
      <c r="N18" s="241"/>
      <c r="O18" s="239"/>
    </row>
    <row r="19" spans="1:15" ht="15.75" x14ac:dyDescent="0.25">
      <c r="A19" s="243"/>
      <c r="B19" s="241"/>
      <c r="C19" s="244"/>
      <c r="D19" s="241"/>
      <c r="E19" s="245"/>
      <c r="F19" s="241"/>
      <c r="G19" s="241"/>
      <c r="H19" s="241"/>
      <c r="I19" s="241"/>
      <c r="J19" s="236"/>
      <c r="K19" s="237"/>
      <c r="L19" s="241"/>
      <c r="M19" s="241"/>
      <c r="N19" s="241"/>
    </row>
    <row r="20" spans="1:15" x14ac:dyDescent="0.2">
      <c r="J20" s="236"/>
      <c r="K20" s="237"/>
    </row>
    <row r="21" spans="1:15" x14ac:dyDescent="0.2">
      <c r="A21" s="246"/>
      <c r="J21" s="247"/>
      <c r="K21" s="237"/>
    </row>
    <row r="22" spans="1:15" ht="15.75" x14ac:dyDescent="0.25">
      <c r="A22" s="177" t="s">
        <v>387</v>
      </c>
      <c r="B22" s="178"/>
      <c r="C22" s="178"/>
      <c r="D22" s="178"/>
      <c r="E22" s="178"/>
      <c r="F22" s="178"/>
      <c r="G22" s="178"/>
      <c r="H22" s="179"/>
      <c r="J22"/>
      <c r="K22"/>
    </row>
    <row r="23" spans="1:15" ht="38.25" x14ac:dyDescent="0.2">
      <c r="A23" s="197" t="s">
        <v>237</v>
      </c>
      <c r="B23" s="198" t="s">
        <v>388</v>
      </c>
      <c r="C23" s="198" t="s">
        <v>242</v>
      </c>
      <c r="D23" s="198" t="s">
        <v>346</v>
      </c>
      <c r="E23" s="198" t="s">
        <v>389</v>
      </c>
      <c r="F23" s="198" t="s">
        <v>245</v>
      </c>
      <c r="G23" s="229" t="s">
        <v>246</v>
      </c>
      <c r="H23" s="230" t="s">
        <v>247</v>
      </c>
      <c r="K23" s="312" t="s">
        <v>253</v>
      </c>
      <c r="L23" s="312"/>
    </row>
    <row r="24" spans="1:15" x14ac:dyDescent="0.2">
      <c r="A24" s="231">
        <v>0</v>
      </c>
      <c r="B24" s="133"/>
      <c r="C24" s="59"/>
      <c r="D24" s="59"/>
      <c r="E24" s="59"/>
      <c r="F24" s="59"/>
      <c r="G24" s="134"/>
      <c r="H24" s="60"/>
      <c r="K24" s="315" t="s">
        <v>254</v>
      </c>
      <c r="L24" s="315"/>
    </row>
    <row r="25" spans="1:15" x14ac:dyDescent="0.2">
      <c r="A25" s="232">
        <v>1</v>
      </c>
      <c r="B25" s="124"/>
      <c r="C25" s="61"/>
      <c r="D25" s="61"/>
      <c r="E25" s="61"/>
      <c r="F25" s="61"/>
      <c r="G25" s="113"/>
      <c r="H25" s="62"/>
      <c r="K25" s="142" t="s">
        <v>102</v>
      </c>
      <c r="L25" s="143" t="str">
        <f>IF(B12=J12,"OK","MAL")</f>
        <v>OK</v>
      </c>
    </row>
    <row r="26" spans="1:15" x14ac:dyDescent="0.2">
      <c r="A26" s="232">
        <v>2</v>
      </c>
      <c r="B26" s="124"/>
      <c r="C26" s="61"/>
      <c r="D26" s="61"/>
      <c r="E26" s="61"/>
      <c r="F26" s="61"/>
      <c r="G26" s="113"/>
      <c r="H26" s="62"/>
      <c r="J26"/>
      <c r="K26" s="142" t="s">
        <v>255</v>
      </c>
      <c r="L26" s="143" t="str">
        <f>IF(D12=K12,"OK","MAL")</f>
        <v>OK</v>
      </c>
    </row>
    <row r="27" spans="1:15" x14ac:dyDescent="0.2">
      <c r="A27" s="232">
        <v>3</v>
      </c>
      <c r="B27" s="124"/>
      <c r="C27" s="61"/>
      <c r="D27" s="61"/>
      <c r="E27" s="61"/>
      <c r="F27" s="61"/>
      <c r="G27" s="113"/>
      <c r="H27" s="62"/>
      <c r="J27"/>
      <c r="K27" s="142" t="s">
        <v>256</v>
      </c>
      <c r="L27" s="143" t="str">
        <f>IF(C12=0,"OK","MAL")</f>
        <v>OK</v>
      </c>
    </row>
    <row r="28" spans="1:15" x14ac:dyDescent="0.2">
      <c r="A28" s="232">
        <v>4</v>
      </c>
      <c r="B28" s="124"/>
      <c r="C28" s="61"/>
      <c r="D28" s="61"/>
      <c r="E28" s="61"/>
      <c r="F28" s="61"/>
      <c r="G28" s="113"/>
      <c r="H28" s="62"/>
      <c r="J28"/>
      <c r="K28" s="142" t="s">
        <v>257</v>
      </c>
      <c r="L28" s="143" t="str">
        <f>IF((H12-F12-E12+I12)=M12,IF(M12=N10,"OK","MAL"),"MAL")</f>
        <v>OK</v>
      </c>
    </row>
    <row r="29" spans="1:15" x14ac:dyDescent="0.2">
      <c r="A29" s="232">
        <v>5</v>
      </c>
      <c r="B29" s="124"/>
      <c r="C29" s="61"/>
      <c r="D29" s="61"/>
      <c r="E29" s="61"/>
      <c r="F29" s="61"/>
      <c r="G29" s="113"/>
      <c r="H29" s="62"/>
      <c r="J29"/>
      <c r="K29" s="315" t="s">
        <v>390</v>
      </c>
      <c r="L29" s="315"/>
    </row>
    <row r="30" spans="1:15" x14ac:dyDescent="0.2">
      <c r="A30" s="232"/>
      <c r="B30" s="126"/>
      <c r="C30" s="84"/>
      <c r="D30" s="84"/>
      <c r="E30" s="84"/>
      <c r="F30" s="84"/>
      <c r="G30" s="114"/>
      <c r="H30" s="85"/>
      <c r="J30"/>
      <c r="K30" s="142" t="s">
        <v>391</v>
      </c>
      <c r="L30" s="143" t="str">
        <f>IF((H12-E12-F12)=G31,"OK","MAL")</f>
        <v>OK</v>
      </c>
    </row>
    <row r="31" spans="1:15" x14ac:dyDescent="0.2">
      <c r="A31" s="233" t="s">
        <v>248</v>
      </c>
      <c r="B31" s="129"/>
      <c r="C31" s="67"/>
      <c r="D31" s="67"/>
      <c r="E31" s="67"/>
      <c r="F31" s="67"/>
      <c r="G31" s="115"/>
      <c r="H31" s="68"/>
      <c r="K31" s="142" t="s">
        <v>392</v>
      </c>
      <c r="L31" s="143" t="str">
        <f>IF(('F- CFyU'!H28-'F- CFyU'!H7-'F- CFyU'!H8+'F- CFyU'!H14-'F- CFyU'!H25+'F- CFyU'!H15)='F- Form'!G31,"OK","MAL")</f>
        <v>OK</v>
      </c>
    </row>
    <row r="32" spans="1:15" x14ac:dyDescent="0.2">
      <c r="K32" s="142" t="s">
        <v>393</v>
      </c>
      <c r="L32" s="143" t="str">
        <f>IF('F-CRes'!G14=G31,"OK","MAL")</f>
        <v>OK</v>
      </c>
    </row>
    <row r="33" spans="3:12" x14ac:dyDescent="0.2">
      <c r="K33" s="142" t="s">
        <v>394</v>
      </c>
      <c r="L33" s="143" t="str">
        <f>IF(('F-Balance'!G33+'F-Balance'!G34)='F- Form'!G31,"OK","MAL")</f>
        <v>OK</v>
      </c>
    </row>
    <row r="34" spans="3:12" x14ac:dyDescent="0.2">
      <c r="C34" s="234" t="s">
        <v>249</v>
      </c>
      <c r="D34" s="138"/>
      <c r="E34" s="176" t="s">
        <v>395</v>
      </c>
      <c r="K34" s="142" t="s">
        <v>396</v>
      </c>
      <c r="L34" s="143" t="str">
        <f>IF(('F- CFyU'!H10-'F- CFyU'!H16-'F- CFyU'!H19-'F- CFyU'!H17)=G31,"OK","MAL")</f>
        <v>OK</v>
      </c>
    </row>
    <row r="35" spans="3:12" x14ac:dyDescent="0.2">
      <c r="C35" s="234" t="s">
        <v>250</v>
      </c>
      <c r="D35" s="139"/>
      <c r="E35" s="176" t="s">
        <v>397</v>
      </c>
      <c r="K35" s="315" t="s">
        <v>398</v>
      </c>
      <c r="L35" s="315"/>
    </row>
    <row r="36" spans="3:12" x14ac:dyDescent="0.2">
      <c r="C36" s="234" t="s">
        <v>399</v>
      </c>
      <c r="D36" s="140"/>
      <c r="K36" s="142" t="s">
        <v>400</v>
      </c>
      <c r="L36" s="143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85" zoomScaleNormal="85" workbookViewId="0">
      <selection activeCell="J46" sqref="J46"/>
    </sheetView>
  </sheetViews>
  <sheetFormatPr baseColWidth="10" defaultColWidth="11.28515625" defaultRowHeight="12.75" x14ac:dyDescent="0.2"/>
  <cols>
    <col min="1" max="1" width="45.28515625" style="16" customWidth="1"/>
    <col min="2" max="6" width="14.7109375" style="16" customWidth="1"/>
    <col min="7" max="7" width="16.85546875" style="16" bestFit="1" customWidth="1"/>
    <col min="8" max="8" width="11.28515625" style="16"/>
    <col min="9" max="9" width="28.85546875" style="16" bestFit="1" customWidth="1"/>
    <col min="10" max="11" width="11.28515625" style="16"/>
    <col min="12" max="12" width="16.28515625" style="16" bestFit="1" customWidth="1"/>
    <col min="13" max="13" width="11.28515625" style="16"/>
    <col min="14" max="14" width="15.28515625" style="16" bestFit="1" customWidth="1"/>
    <col min="15" max="16384" width="11.28515625" style="16"/>
  </cols>
  <sheetData>
    <row r="1" spans="1:10" x14ac:dyDescent="0.2">
      <c r="A1" s="1" t="s">
        <v>49</v>
      </c>
      <c r="B1"/>
      <c r="C1"/>
      <c r="D1"/>
      <c r="E1" s="2">
        <f>InfoInicial!E1</f>
        <v>9</v>
      </c>
    </row>
    <row r="3" spans="1:10" ht="15.75" x14ac:dyDescent="0.25">
      <c r="A3" s="17" t="s">
        <v>50</v>
      </c>
      <c r="B3" s="310" t="s">
        <v>51</v>
      </c>
      <c r="C3" s="310"/>
      <c r="D3" s="311" t="s">
        <v>52</v>
      </c>
      <c r="E3" s="311"/>
    </row>
    <row r="4" spans="1:10" ht="15.75" x14ac:dyDescent="0.25">
      <c r="A4" s="19"/>
      <c r="B4" s="20" t="s">
        <v>53</v>
      </c>
      <c r="C4" s="20" t="s">
        <v>54</v>
      </c>
      <c r="D4" s="20" t="s">
        <v>53</v>
      </c>
      <c r="E4" s="21" t="s">
        <v>54</v>
      </c>
    </row>
    <row r="5" spans="1:10" x14ac:dyDescent="0.2">
      <c r="A5" s="22"/>
      <c r="B5" s="23"/>
      <c r="C5" s="23"/>
      <c r="D5" s="23"/>
      <c r="E5" s="23"/>
    </row>
    <row r="6" spans="1:10" x14ac:dyDescent="0.2">
      <c r="A6" s="24" t="s">
        <v>55</v>
      </c>
      <c r="B6" s="25"/>
      <c r="C6" s="25"/>
      <c r="D6" s="25"/>
      <c r="E6" s="25"/>
    </row>
    <row r="7" spans="1:10" x14ac:dyDescent="0.2">
      <c r="A7" s="26" t="s">
        <v>56</v>
      </c>
      <c r="B7" s="27">
        <v>8000000</v>
      </c>
      <c r="C7" s="27"/>
      <c r="D7" s="27"/>
      <c r="E7" s="27"/>
    </row>
    <row r="8" spans="1:10" x14ac:dyDescent="0.2">
      <c r="A8" s="26" t="s">
        <v>57</v>
      </c>
      <c r="B8" s="27">
        <v>3000000</v>
      </c>
      <c r="C8" s="27"/>
      <c r="D8" s="27"/>
      <c r="E8" s="27"/>
    </row>
    <row r="9" spans="1:10" x14ac:dyDescent="0.2">
      <c r="A9" s="26" t="s">
        <v>58</v>
      </c>
      <c r="B9" s="27">
        <f>B8*0.8</f>
        <v>2400000</v>
      </c>
      <c r="C9" s="27"/>
      <c r="D9" s="27"/>
      <c r="E9" s="27"/>
    </row>
    <row r="10" spans="1:10" x14ac:dyDescent="0.2">
      <c r="A10" s="26" t="s">
        <v>59</v>
      </c>
      <c r="B10" s="27"/>
      <c r="C10" s="27"/>
      <c r="D10" s="27"/>
      <c r="E10" s="27"/>
      <c r="G10" s="252" t="s">
        <v>420</v>
      </c>
      <c r="H10" s="252" t="s">
        <v>423</v>
      </c>
      <c r="I10" s="252" t="s">
        <v>424</v>
      </c>
      <c r="J10" s="253" t="s">
        <v>158</v>
      </c>
    </row>
    <row r="11" spans="1:10" x14ac:dyDescent="0.2">
      <c r="A11" s="26" t="s">
        <v>60</v>
      </c>
      <c r="B11" s="27"/>
      <c r="C11" s="27"/>
      <c r="D11" s="27"/>
      <c r="E11" s="27"/>
      <c r="G11" s="16" t="s">
        <v>421</v>
      </c>
      <c r="H11" s="16">
        <v>1</v>
      </c>
      <c r="I11" s="16">
        <v>7000</v>
      </c>
      <c r="J11" s="16">
        <f>I11*H11</f>
        <v>7000</v>
      </c>
    </row>
    <row r="12" spans="1:10" x14ac:dyDescent="0.2">
      <c r="A12" s="26" t="s">
        <v>61</v>
      </c>
      <c r="B12" s="27">
        <f>J14</f>
        <v>29600</v>
      </c>
      <c r="C12" s="27"/>
      <c r="D12" s="27"/>
      <c r="E12" s="27"/>
      <c r="G12" s="16" t="s">
        <v>422</v>
      </c>
      <c r="H12" s="16">
        <v>1</v>
      </c>
      <c r="I12" s="16">
        <v>22000</v>
      </c>
      <c r="J12" s="16">
        <f>I12*H12</f>
        <v>22000</v>
      </c>
    </row>
    <row r="13" spans="1:10" x14ac:dyDescent="0.2">
      <c r="A13" s="28" t="s">
        <v>62</v>
      </c>
      <c r="B13" s="27">
        <v>0</v>
      </c>
      <c r="C13" s="27"/>
      <c r="D13" s="27"/>
      <c r="E13" s="27"/>
      <c r="G13" s="16" t="s">
        <v>425</v>
      </c>
      <c r="H13" s="16">
        <v>1</v>
      </c>
      <c r="I13" s="16">
        <v>600</v>
      </c>
      <c r="J13" s="16">
        <f>I13*H13</f>
        <v>600</v>
      </c>
    </row>
    <row r="14" spans="1:10" x14ac:dyDescent="0.2">
      <c r="A14" s="26" t="s">
        <v>63</v>
      </c>
      <c r="B14" s="27">
        <v>6000</v>
      </c>
      <c r="C14" s="27"/>
      <c r="D14" s="27"/>
      <c r="E14" s="27"/>
      <c r="J14" s="16">
        <f>SUM(J11:J13)</f>
        <v>29600</v>
      </c>
    </row>
    <row r="15" spans="1:10" x14ac:dyDescent="0.2">
      <c r="A15" s="26" t="s">
        <v>64</v>
      </c>
      <c r="B15" s="27">
        <v>140000</v>
      </c>
      <c r="C15" s="27"/>
      <c r="D15" s="27"/>
      <c r="E15" s="27"/>
    </row>
    <row r="16" spans="1:10" x14ac:dyDescent="0.2">
      <c r="A16" s="26" t="s">
        <v>65</v>
      </c>
      <c r="B16" s="27">
        <f>J31</f>
        <v>143250</v>
      </c>
      <c r="C16" s="27"/>
      <c r="D16" s="27"/>
      <c r="E16" s="27"/>
      <c r="G16" s="252" t="s">
        <v>403</v>
      </c>
      <c r="H16" s="252" t="s">
        <v>412</v>
      </c>
      <c r="I16" s="252" t="s">
        <v>419</v>
      </c>
      <c r="J16" s="253" t="s">
        <v>158</v>
      </c>
    </row>
    <row r="17" spans="1:13" x14ac:dyDescent="0.2">
      <c r="A17" s="26" t="s">
        <v>66</v>
      </c>
      <c r="B17" s="27">
        <v>0</v>
      </c>
      <c r="C17" s="27"/>
      <c r="D17" s="27"/>
      <c r="E17" s="27"/>
      <c r="G17" s="16" t="s">
        <v>404</v>
      </c>
      <c r="H17" s="16">
        <v>5</v>
      </c>
      <c r="I17" s="16">
        <v>7000</v>
      </c>
      <c r="J17" s="16">
        <f>I17*H17</f>
        <v>35000</v>
      </c>
    </row>
    <row r="18" spans="1:13" x14ac:dyDescent="0.2">
      <c r="A18" s="26" t="s">
        <v>21</v>
      </c>
      <c r="B18" s="27">
        <f>(SUM(B9:B16)*0.01)</f>
        <v>27188.5</v>
      </c>
      <c r="C18" s="27"/>
      <c r="D18" s="27"/>
      <c r="E18" s="27"/>
      <c r="G18" s="16" t="s">
        <v>405</v>
      </c>
      <c r="H18" s="16">
        <v>6</v>
      </c>
      <c r="I18" s="16">
        <v>1000</v>
      </c>
      <c r="J18" s="16">
        <f t="shared" ref="J18:J30" si="0">I18*H18</f>
        <v>6000</v>
      </c>
    </row>
    <row r="19" spans="1:13" x14ac:dyDescent="0.2">
      <c r="A19" s="26"/>
      <c r="B19" s="27"/>
      <c r="C19" s="27"/>
      <c r="D19" s="27"/>
      <c r="E19" s="27"/>
      <c r="G19" s="16" t="s">
        <v>406</v>
      </c>
      <c r="H19" s="16">
        <v>2</v>
      </c>
      <c r="I19" s="16">
        <v>1800</v>
      </c>
      <c r="J19" s="16">
        <f t="shared" si="0"/>
        <v>3600</v>
      </c>
    </row>
    <row r="20" spans="1:13" x14ac:dyDescent="0.2">
      <c r="A20" s="24" t="s">
        <v>67</v>
      </c>
      <c r="B20" s="27">
        <f>SUM(B7:B18)</f>
        <v>13746038.5</v>
      </c>
      <c r="C20" s="27"/>
      <c r="D20" s="27"/>
      <c r="E20" s="27"/>
      <c r="G20" s="16" t="s">
        <v>407</v>
      </c>
      <c r="H20" s="16">
        <v>2</v>
      </c>
      <c r="I20" s="16">
        <v>2200</v>
      </c>
      <c r="J20" s="16">
        <f t="shared" si="0"/>
        <v>4400</v>
      </c>
    </row>
    <row r="21" spans="1:13" x14ac:dyDescent="0.2">
      <c r="A21" s="26"/>
      <c r="B21" s="29"/>
      <c r="C21" s="29"/>
      <c r="D21" s="29"/>
      <c r="E21" s="29"/>
      <c r="G21" s="16" t="s">
        <v>408</v>
      </c>
      <c r="H21" s="16">
        <v>1</v>
      </c>
      <c r="I21" s="16">
        <v>12700</v>
      </c>
      <c r="J21" s="16">
        <f t="shared" si="0"/>
        <v>12700</v>
      </c>
    </row>
    <row r="22" spans="1:13" x14ac:dyDescent="0.2">
      <c r="A22" s="24" t="s">
        <v>68</v>
      </c>
      <c r="B22" s="29"/>
      <c r="C22" s="29"/>
      <c r="D22" s="29"/>
      <c r="E22" s="29"/>
      <c r="G22" s="16" t="s">
        <v>409</v>
      </c>
      <c r="H22" s="16">
        <v>1</v>
      </c>
      <c r="I22" s="16">
        <v>500</v>
      </c>
      <c r="J22" s="16">
        <f t="shared" si="0"/>
        <v>500</v>
      </c>
    </row>
    <row r="23" spans="1:13" x14ac:dyDescent="0.2">
      <c r="A23" s="26" t="s">
        <v>69</v>
      </c>
      <c r="B23" s="27">
        <v>100000</v>
      </c>
      <c r="C23" s="27">
        <v>0</v>
      </c>
      <c r="D23" s="27"/>
      <c r="E23" s="27"/>
      <c r="G23" s="16" t="s">
        <v>413</v>
      </c>
      <c r="H23" s="16">
        <v>1</v>
      </c>
      <c r="I23" s="16">
        <v>2200</v>
      </c>
      <c r="J23" s="16">
        <f t="shared" si="0"/>
        <v>2200</v>
      </c>
    </row>
    <row r="24" spans="1:13" x14ac:dyDescent="0.2">
      <c r="A24" s="26" t="s">
        <v>70</v>
      </c>
      <c r="B24" s="27">
        <v>35000</v>
      </c>
      <c r="C24" s="27">
        <v>0</v>
      </c>
      <c r="D24" s="27"/>
      <c r="E24" s="27"/>
      <c r="G24" s="16" t="s">
        <v>414</v>
      </c>
      <c r="H24" s="16">
        <v>1</v>
      </c>
      <c r="I24" s="16">
        <v>2600</v>
      </c>
      <c r="J24" s="16">
        <f t="shared" si="0"/>
        <v>2600</v>
      </c>
    </row>
    <row r="25" spans="1:13" x14ac:dyDescent="0.2">
      <c r="A25" s="26" t="s">
        <v>71</v>
      </c>
      <c r="B25" s="27">
        <v>330000</v>
      </c>
      <c r="C25" s="27">
        <v>0</v>
      </c>
      <c r="D25" s="27"/>
      <c r="E25" s="27"/>
      <c r="G25" s="16" t="s">
        <v>415</v>
      </c>
      <c r="H25" s="16">
        <v>1</v>
      </c>
      <c r="I25" s="16">
        <v>4000</v>
      </c>
      <c r="J25" s="16">
        <f t="shared" si="0"/>
        <v>4000</v>
      </c>
    </row>
    <row r="26" spans="1:13" x14ac:dyDescent="0.2">
      <c r="A26" s="28" t="s">
        <v>72</v>
      </c>
      <c r="B26" s="27">
        <v>0</v>
      </c>
      <c r="C26" s="27">
        <f>M29</f>
        <v>349272.28200000001</v>
      </c>
      <c r="D26" s="27"/>
      <c r="E26" s="27"/>
      <c r="G26" s="16" t="s">
        <v>410</v>
      </c>
      <c r="H26" s="16">
        <v>5</v>
      </c>
      <c r="I26" s="16">
        <v>850</v>
      </c>
      <c r="J26" s="16">
        <f t="shared" si="0"/>
        <v>4250</v>
      </c>
      <c r="L26" s="253" t="s">
        <v>113</v>
      </c>
    </row>
    <row r="27" spans="1:13" x14ac:dyDescent="0.2">
      <c r="A27" s="28" t="s">
        <v>73</v>
      </c>
      <c r="B27" s="27">
        <v>0</v>
      </c>
      <c r="C27" s="27">
        <v>0</v>
      </c>
      <c r="D27" s="27"/>
      <c r="E27" s="27"/>
      <c r="G27" s="16" t="s">
        <v>411</v>
      </c>
      <c r="H27" s="16">
        <v>5</v>
      </c>
      <c r="I27" s="16">
        <v>2200</v>
      </c>
      <c r="J27" s="16">
        <f t="shared" si="0"/>
        <v>11000</v>
      </c>
      <c r="L27" s="250" t="s">
        <v>426</v>
      </c>
      <c r="M27" s="16">
        <f>11458/1.5*90/2</f>
        <v>343740</v>
      </c>
    </row>
    <row r="28" spans="1:13" x14ac:dyDescent="0.2">
      <c r="A28" s="28" t="s">
        <v>74</v>
      </c>
      <c r="B28" s="27">
        <v>0</v>
      </c>
      <c r="C28" s="27">
        <v>0</v>
      </c>
      <c r="D28" s="27"/>
      <c r="E28" s="27"/>
      <c r="G28" s="16" t="s">
        <v>416</v>
      </c>
      <c r="H28" s="16">
        <v>1</v>
      </c>
      <c r="I28" s="16">
        <f>50000</f>
        <v>50000</v>
      </c>
      <c r="J28" s="16">
        <f t="shared" si="0"/>
        <v>50000</v>
      </c>
      <c r="L28" s="250" t="s">
        <v>427</v>
      </c>
      <c r="M28" s="16">
        <f>61469.8*0.25*20*6/1000*3</f>
        <v>5532.2820000000002</v>
      </c>
    </row>
    <row r="29" spans="1:13" x14ac:dyDescent="0.2">
      <c r="A29" s="26" t="s">
        <v>21</v>
      </c>
      <c r="B29" s="27">
        <f>SUM(B23:B28)*0.01</f>
        <v>4650</v>
      </c>
      <c r="C29" s="27">
        <f>SUM(C23:C28)*0.01</f>
        <v>3492.72282</v>
      </c>
      <c r="D29" s="27"/>
      <c r="E29" s="27"/>
      <c r="G29" s="16" t="s">
        <v>417</v>
      </c>
      <c r="H29" s="16">
        <v>1</v>
      </c>
      <c r="I29" s="16">
        <v>2500</v>
      </c>
      <c r="J29" s="16">
        <f t="shared" si="0"/>
        <v>2500</v>
      </c>
      <c r="L29" s="250" t="s">
        <v>158</v>
      </c>
      <c r="M29" s="16">
        <f>SUM(M27:M28)</f>
        <v>349272.28200000001</v>
      </c>
    </row>
    <row r="30" spans="1:13" x14ac:dyDescent="0.2">
      <c r="A30" s="26"/>
      <c r="B30" s="27"/>
      <c r="C30" s="27"/>
      <c r="D30" s="27"/>
      <c r="E30" s="27"/>
      <c r="G30" s="16" t="s">
        <v>418</v>
      </c>
      <c r="H30" s="16">
        <v>3</v>
      </c>
      <c r="I30" s="16">
        <v>1500</v>
      </c>
      <c r="J30" s="16">
        <f t="shared" si="0"/>
        <v>4500</v>
      </c>
    </row>
    <row r="31" spans="1:13" x14ac:dyDescent="0.2">
      <c r="A31" s="24" t="s">
        <v>75</v>
      </c>
      <c r="B31" s="27">
        <f>SUM(B23:B29)</f>
        <v>469650</v>
      </c>
      <c r="C31" s="27">
        <f>SUM(C23:C29)</f>
        <v>352765.00482000003</v>
      </c>
      <c r="D31" s="27"/>
      <c r="E31" s="27"/>
      <c r="J31" s="16">
        <f>SUM(J17:J30)</f>
        <v>143250</v>
      </c>
    </row>
    <row r="32" spans="1:13" x14ac:dyDescent="0.2">
      <c r="A32" s="26"/>
      <c r="B32" s="29"/>
      <c r="C32" s="29"/>
      <c r="D32" s="29"/>
      <c r="E32" s="29"/>
    </row>
    <row r="33" spans="1:10" x14ac:dyDescent="0.2">
      <c r="A33" s="24" t="s">
        <v>76</v>
      </c>
      <c r="B33" s="27">
        <f>B20+B31</f>
        <v>14215688.5</v>
      </c>
      <c r="C33" s="27">
        <f>C31</f>
        <v>352765.00482000003</v>
      </c>
      <c r="D33" s="27"/>
      <c r="E33" s="27"/>
    </row>
    <row r="34" spans="1:10" x14ac:dyDescent="0.2">
      <c r="A34" s="24" t="s">
        <v>77</v>
      </c>
      <c r="B34" s="27">
        <f>0.21*B33</f>
        <v>2985294.585</v>
      </c>
      <c r="C34" s="27">
        <f>0.21*C33</f>
        <v>74080.651012200004</v>
      </c>
      <c r="D34" s="27"/>
      <c r="E34" s="27"/>
    </row>
    <row r="35" spans="1:10" x14ac:dyDescent="0.2">
      <c r="A35" s="26"/>
      <c r="B35" s="29"/>
      <c r="C35" s="29"/>
      <c r="D35" s="29"/>
      <c r="E35" s="29"/>
    </row>
    <row r="36" spans="1:10" x14ac:dyDescent="0.2">
      <c r="A36" s="30" t="s">
        <v>78</v>
      </c>
      <c r="B36" s="31">
        <f>B34+B33</f>
        <v>17200983.085000001</v>
      </c>
      <c r="C36" s="31">
        <f>C33+C34</f>
        <v>426845.65583220002</v>
      </c>
      <c r="D36" s="31"/>
      <c r="E36" s="31"/>
    </row>
    <row r="39" spans="1:10" x14ac:dyDescent="0.2">
      <c r="A39" s="32" t="s">
        <v>79</v>
      </c>
      <c r="B39" s="18" t="s">
        <v>80</v>
      </c>
      <c r="C39" s="18" t="s">
        <v>81</v>
      </c>
      <c r="D39" s="310" t="s">
        <v>82</v>
      </c>
      <c r="E39" s="310"/>
      <c r="F39" s="310"/>
      <c r="G39" s="33" t="s">
        <v>83</v>
      </c>
    </row>
    <row r="40" spans="1:10" ht="13.5" thickBot="1" x14ac:dyDescent="0.25">
      <c r="A40" s="34"/>
      <c r="B40" s="20" t="s">
        <v>84</v>
      </c>
      <c r="C40" s="20"/>
      <c r="D40" s="20" t="s">
        <v>85</v>
      </c>
      <c r="E40" s="20" t="s">
        <v>86</v>
      </c>
      <c r="F40" s="20" t="s">
        <v>428</v>
      </c>
      <c r="G40" s="35"/>
      <c r="J40" s="16" t="s">
        <v>432</v>
      </c>
    </row>
    <row r="41" spans="1:10" ht="13.5" thickTop="1" x14ac:dyDescent="0.2">
      <c r="A41" s="36" t="s">
        <v>87</v>
      </c>
      <c r="B41" s="37"/>
      <c r="C41" s="37"/>
      <c r="D41" s="37"/>
      <c r="E41" s="37"/>
      <c r="F41" s="38"/>
      <c r="G41" s="39"/>
      <c r="I41" s="247" t="s">
        <v>57</v>
      </c>
      <c r="J41" s="16">
        <v>30</v>
      </c>
    </row>
    <row r="42" spans="1:10" x14ac:dyDescent="0.2">
      <c r="A42" s="40"/>
      <c r="B42" s="41"/>
      <c r="C42" s="41"/>
      <c r="D42" s="41"/>
      <c r="E42" s="41"/>
      <c r="F42" s="42"/>
      <c r="G42" s="43"/>
      <c r="I42" s="247" t="s">
        <v>58</v>
      </c>
      <c r="J42" s="16">
        <v>10</v>
      </c>
    </row>
    <row r="43" spans="1:10" x14ac:dyDescent="0.2">
      <c r="A43" s="26" t="s">
        <v>56</v>
      </c>
      <c r="B43" s="27">
        <v>8000000</v>
      </c>
      <c r="C43" s="27"/>
      <c r="D43" s="255">
        <f>B43*C43</f>
        <v>0</v>
      </c>
      <c r="E43" s="27">
        <f>C43*D43</f>
        <v>0</v>
      </c>
      <c r="F43" s="27">
        <f>D43*E43</f>
        <v>0</v>
      </c>
      <c r="G43" s="44">
        <f>B43-D43-E43-F43</f>
        <v>8000000</v>
      </c>
      <c r="I43" s="254" t="s">
        <v>59</v>
      </c>
      <c r="J43" s="16">
        <v>10</v>
      </c>
    </row>
    <row r="44" spans="1:10" x14ac:dyDescent="0.2">
      <c r="A44" s="26" t="s">
        <v>57</v>
      </c>
      <c r="B44" s="27">
        <v>3000000</v>
      </c>
      <c r="C44" s="256">
        <v>3.3333333333333333E-2</v>
      </c>
      <c r="D44" s="255">
        <f>$B$44*$C$44</f>
        <v>100000</v>
      </c>
      <c r="E44" s="27">
        <f>$B$44*$C$44</f>
        <v>100000</v>
      </c>
      <c r="F44" s="27">
        <f>$B$44*$C$44</f>
        <v>100000</v>
      </c>
      <c r="G44" s="44">
        <f>B44-D44*10</f>
        <v>2000000</v>
      </c>
      <c r="I44" s="254" t="s">
        <v>64</v>
      </c>
      <c r="J44" s="16">
        <v>5</v>
      </c>
    </row>
    <row r="45" spans="1:10" x14ac:dyDescent="0.2">
      <c r="A45" s="26" t="s">
        <v>58</v>
      </c>
      <c r="B45" s="27">
        <v>200000</v>
      </c>
      <c r="C45" s="256">
        <v>0.1</v>
      </c>
      <c r="D45" s="255">
        <f>$B$45*$C$45</f>
        <v>20000</v>
      </c>
      <c r="E45" s="27">
        <f>$B$45*$C$45</f>
        <v>20000</v>
      </c>
      <c r="F45" s="27">
        <f>$B$45*$C$45</f>
        <v>20000</v>
      </c>
      <c r="G45" s="44">
        <f>B45-D45*10</f>
        <v>0</v>
      </c>
      <c r="I45" s="254" t="s">
        <v>65</v>
      </c>
      <c r="J45" s="16">
        <v>5</v>
      </c>
    </row>
    <row r="46" spans="1:10" x14ac:dyDescent="0.2">
      <c r="A46" s="28" t="s">
        <v>59</v>
      </c>
      <c r="B46" s="27">
        <f>J14</f>
        <v>29600</v>
      </c>
      <c r="C46" s="256">
        <v>0.1</v>
      </c>
      <c r="D46" s="255">
        <f>$B$46*$C$46</f>
        <v>2960</v>
      </c>
      <c r="E46" s="27">
        <f>$B$46*$C$46</f>
        <v>2960</v>
      </c>
      <c r="F46" s="27">
        <f>$B$46*$C$46</f>
        <v>2960</v>
      </c>
      <c r="G46" s="44">
        <f>B46-D46*10</f>
        <v>0</v>
      </c>
      <c r="I46" s="254" t="s">
        <v>21</v>
      </c>
      <c r="J46" s="16">
        <v>5</v>
      </c>
    </row>
    <row r="47" spans="1:10" x14ac:dyDescent="0.2">
      <c r="A47" s="28" t="s">
        <v>64</v>
      </c>
      <c r="B47" s="27">
        <v>140000</v>
      </c>
      <c r="C47" s="256">
        <v>0.2</v>
      </c>
      <c r="D47" s="255">
        <f>$B$47*$C$47</f>
        <v>28000</v>
      </c>
      <c r="E47" s="27">
        <f>$B$47*$C$47</f>
        <v>28000</v>
      </c>
      <c r="F47" s="27">
        <v>0</v>
      </c>
      <c r="G47" s="44">
        <f>B47-D47*5</f>
        <v>0</v>
      </c>
      <c r="I47" s="254" t="s">
        <v>88</v>
      </c>
      <c r="J47" s="16">
        <v>3</v>
      </c>
    </row>
    <row r="48" spans="1:10" x14ac:dyDescent="0.2">
      <c r="A48" s="28" t="s">
        <v>65</v>
      </c>
      <c r="B48" s="27">
        <f>J31</f>
        <v>143250</v>
      </c>
      <c r="C48" s="256">
        <v>0.2</v>
      </c>
      <c r="D48" s="255">
        <f>$B$48*$C$48</f>
        <v>28650</v>
      </c>
      <c r="E48" s="27">
        <f>$B$48*$C$48</f>
        <v>28650</v>
      </c>
      <c r="F48" s="27">
        <v>0</v>
      </c>
      <c r="G48" s="44">
        <f>B48-D48*5</f>
        <v>0</v>
      </c>
    </row>
    <row r="49" spans="1:11" x14ac:dyDescent="0.2">
      <c r="A49" s="28" t="s">
        <v>21</v>
      </c>
      <c r="B49" s="27">
        <v>5188.5</v>
      </c>
      <c r="C49" s="256">
        <v>0.2</v>
      </c>
      <c r="D49" s="255">
        <f>$B$49*$C$49</f>
        <v>1037.7</v>
      </c>
      <c r="E49" s="27">
        <f>$B$49*$C$49</f>
        <v>1037.7</v>
      </c>
      <c r="F49" s="27">
        <v>0</v>
      </c>
      <c r="G49" s="44">
        <f>B49-D49*5</f>
        <v>0</v>
      </c>
    </row>
    <row r="50" spans="1:11" x14ac:dyDescent="0.2">
      <c r="A50" s="28" t="s">
        <v>88</v>
      </c>
      <c r="B50" s="27">
        <v>965</v>
      </c>
      <c r="C50" s="256">
        <v>0.33333333333333331</v>
      </c>
      <c r="D50" s="255">
        <f>B50*C50</f>
        <v>321.66666666666663</v>
      </c>
      <c r="E50" s="27">
        <v>0</v>
      </c>
      <c r="F50" s="27">
        <v>0</v>
      </c>
      <c r="G50" s="44">
        <f>B50-D50*3</f>
        <v>0</v>
      </c>
      <c r="I50" s="251" t="s">
        <v>88</v>
      </c>
      <c r="J50" s="16" t="s">
        <v>430</v>
      </c>
      <c r="K50" s="16" t="s">
        <v>419</v>
      </c>
    </row>
    <row r="51" spans="1:11" x14ac:dyDescent="0.2">
      <c r="A51" s="45" t="s">
        <v>89</v>
      </c>
      <c r="B51" s="27">
        <f>SUM(B43:B50)</f>
        <v>11519003.5</v>
      </c>
      <c r="C51" s="256"/>
      <c r="D51" s="27">
        <f>SUM(D43:D50)</f>
        <v>180969.36666666667</v>
      </c>
      <c r="E51" s="27">
        <f>SUM(E43:E50)</f>
        <v>180647.7</v>
      </c>
      <c r="F51" s="27">
        <f>SUM(F43:F50)</f>
        <v>122960</v>
      </c>
      <c r="G51" s="27">
        <f>SUM(G43:G50)</f>
        <v>10000000</v>
      </c>
      <c r="I51" s="16" t="s">
        <v>429</v>
      </c>
      <c r="J51" s="16">
        <v>2</v>
      </c>
      <c r="K51" s="16">
        <v>400</v>
      </c>
    </row>
    <row r="52" spans="1:11" x14ac:dyDescent="0.2">
      <c r="A52" s="24"/>
      <c r="B52" s="46"/>
      <c r="C52" s="257"/>
      <c r="D52" s="47"/>
      <c r="E52" s="47"/>
      <c r="F52" s="47"/>
      <c r="G52" s="48"/>
      <c r="I52" s="16" t="s">
        <v>431</v>
      </c>
      <c r="J52" s="16">
        <v>1</v>
      </c>
      <c r="K52" s="16">
        <v>165</v>
      </c>
    </row>
    <row r="53" spans="1:11" x14ac:dyDescent="0.2">
      <c r="A53" s="45" t="s">
        <v>90</v>
      </c>
      <c r="B53" s="27">
        <v>469650</v>
      </c>
      <c r="C53" s="256">
        <v>0.2</v>
      </c>
      <c r="D53" s="27">
        <f>$B$53*$C$53</f>
        <v>93930</v>
      </c>
      <c r="E53" s="27">
        <f>$B$53*$C$53</f>
        <v>93930</v>
      </c>
      <c r="F53" s="27">
        <v>0</v>
      </c>
      <c r="G53" s="44">
        <f>B53-D53*5</f>
        <v>0</v>
      </c>
      <c r="I53" s="16" t="s">
        <v>158</v>
      </c>
      <c r="K53" s="16">
        <f>K52*J52+K51*J51</f>
        <v>965</v>
      </c>
    </row>
    <row r="54" spans="1:11" x14ac:dyDescent="0.2">
      <c r="A54" s="45"/>
      <c r="B54" s="27"/>
      <c r="C54" s="27"/>
      <c r="D54" s="27"/>
      <c r="E54" s="27"/>
      <c r="F54" s="27"/>
      <c r="G54" s="44"/>
    </row>
    <row r="55" spans="1:11" x14ac:dyDescent="0.2">
      <c r="A55" s="24"/>
      <c r="B55" s="25"/>
      <c r="C55" s="25"/>
      <c r="D55" s="49"/>
      <c r="E55" s="50"/>
      <c r="F55" s="50"/>
      <c r="G55" s="51"/>
      <c r="H55" s="52"/>
      <c r="I55" s="52"/>
    </row>
    <row r="56" spans="1:11" ht="13.5" thickBot="1" x14ac:dyDescent="0.25">
      <c r="A56" s="30" t="s">
        <v>91</v>
      </c>
      <c r="B56" s="31">
        <v>11993688.5</v>
      </c>
      <c r="C56" s="31"/>
      <c r="D56" s="31">
        <f>D51+D53</f>
        <v>274899.3666666667</v>
      </c>
      <c r="E56" s="31">
        <f>E51+E53</f>
        <v>274577.7</v>
      </c>
      <c r="F56" s="31">
        <f>F51+F53</f>
        <v>122960</v>
      </c>
      <c r="G56" s="31">
        <f>G51+G53</f>
        <v>10000000</v>
      </c>
      <c r="H56" s="54"/>
      <c r="I56" s="54"/>
    </row>
    <row r="57" spans="1:11" ht="13.5" thickTop="1" x14ac:dyDescent="0.2"/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A100" workbookViewId="0">
      <selection activeCell="B136" sqref="B136"/>
    </sheetView>
  </sheetViews>
  <sheetFormatPr baseColWidth="10" defaultRowHeight="12.75" x14ac:dyDescent="0.2"/>
  <cols>
    <col min="1" max="1" width="46" bestFit="1" customWidth="1"/>
    <col min="2" max="2" width="14.85546875" bestFit="1" customWidth="1"/>
    <col min="3" max="3" width="16.28515625" customWidth="1"/>
    <col min="4" max="4" width="25" customWidth="1"/>
    <col min="5" max="5" width="33.42578125" customWidth="1"/>
    <col min="6" max="6" width="13.140625" customWidth="1"/>
    <col min="8" max="8" width="20.42578125" customWidth="1"/>
  </cols>
  <sheetData>
    <row r="1" spans="1:12" x14ac:dyDescent="0.2">
      <c r="A1" s="24" t="s">
        <v>55</v>
      </c>
    </row>
    <row r="2" spans="1:12" x14ac:dyDescent="0.2">
      <c r="A2" s="26" t="s">
        <v>56</v>
      </c>
      <c r="B2" s="27">
        <v>9050500</v>
      </c>
      <c r="C2" s="27"/>
      <c r="E2" t="s">
        <v>471</v>
      </c>
      <c r="K2" s="298" t="s">
        <v>33</v>
      </c>
      <c r="L2">
        <v>250</v>
      </c>
    </row>
    <row r="3" spans="1:12" x14ac:dyDescent="0.2">
      <c r="A3" s="26" t="s">
        <v>57</v>
      </c>
      <c r="B3" s="27">
        <f>L2*4150</f>
        <v>1037500</v>
      </c>
      <c r="C3" s="27"/>
      <c r="E3" t="s">
        <v>472</v>
      </c>
    </row>
    <row r="4" spans="1:12" x14ac:dyDescent="0.2">
      <c r="A4" s="26" t="s">
        <v>58</v>
      </c>
      <c r="B4" s="27">
        <f>B3*0.8</f>
        <v>830000</v>
      </c>
      <c r="C4" s="27"/>
      <c r="E4" t="s">
        <v>473</v>
      </c>
    </row>
    <row r="5" spans="1:12" x14ac:dyDescent="0.2">
      <c r="A5" s="26" t="s">
        <v>59</v>
      </c>
      <c r="B5" s="27"/>
      <c r="C5" s="27"/>
      <c r="E5" s="252" t="s">
        <v>420</v>
      </c>
      <c r="F5" s="252" t="s">
        <v>423</v>
      </c>
      <c r="G5" s="252" t="s">
        <v>424</v>
      </c>
      <c r="H5" s="253" t="s">
        <v>158</v>
      </c>
    </row>
    <row r="6" spans="1:12" x14ac:dyDescent="0.2">
      <c r="A6" s="26" t="s">
        <v>60</v>
      </c>
      <c r="B6" s="27"/>
      <c r="C6" s="27"/>
      <c r="E6" s="16" t="s">
        <v>421</v>
      </c>
      <c r="F6" s="16">
        <v>1</v>
      </c>
      <c r="G6" s="16">
        <v>7000</v>
      </c>
      <c r="H6" s="16">
        <f>G6*F6</f>
        <v>7000</v>
      </c>
      <c r="J6" t="s">
        <v>474</v>
      </c>
    </row>
    <row r="7" spans="1:12" x14ac:dyDescent="0.2">
      <c r="A7" s="26" t="s">
        <v>61</v>
      </c>
      <c r="B7" s="27">
        <f>H9</f>
        <v>29675</v>
      </c>
      <c r="C7" s="27"/>
      <c r="E7" s="16" t="s">
        <v>422</v>
      </c>
      <c r="F7" s="16">
        <v>1</v>
      </c>
      <c r="G7" s="16">
        <v>22000</v>
      </c>
      <c r="H7" s="16">
        <f>G7*F7</f>
        <v>22000</v>
      </c>
      <c r="J7" s="299" t="s">
        <v>475</v>
      </c>
    </row>
    <row r="8" spans="1:12" x14ac:dyDescent="0.2">
      <c r="A8" s="28" t="s">
        <v>62</v>
      </c>
      <c r="B8" s="27">
        <v>0</v>
      </c>
      <c r="C8" s="27"/>
      <c r="E8" s="16" t="s">
        <v>425</v>
      </c>
      <c r="F8" s="16">
        <v>1</v>
      </c>
      <c r="G8" s="16">
        <v>675</v>
      </c>
      <c r="H8" s="16">
        <v>675</v>
      </c>
      <c r="J8" t="s">
        <v>476</v>
      </c>
    </row>
    <row r="9" spans="1:12" x14ac:dyDescent="0.2">
      <c r="A9" s="26" t="s">
        <v>63</v>
      </c>
      <c r="B9" s="27">
        <v>6000</v>
      </c>
      <c r="C9" s="27"/>
      <c r="E9" s="16"/>
      <c r="F9" s="16"/>
      <c r="G9" s="16"/>
      <c r="H9" s="16">
        <f>SUM(H6:H8)</f>
        <v>29675</v>
      </c>
      <c r="J9" t="s">
        <v>477</v>
      </c>
    </row>
    <row r="10" spans="1:12" x14ac:dyDescent="0.2">
      <c r="A10" s="26" t="s">
        <v>64</v>
      </c>
      <c r="B10" s="27">
        <v>140000</v>
      </c>
      <c r="C10" s="27"/>
      <c r="E10" t="s">
        <v>478</v>
      </c>
    </row>
    <row r="11" spans="1:12" x14ac:dyDescent="0.2">
      <c r="A11" s="26" t="s">
        <v>65</v>
      </c>
      <c r="B11" s="27">
        <f>H26</f>
        <v>143250</v>
      </c>
      <c r="C11" s="27"/>
      <c r="E11" s="252" t="s">
        <v>403</v>
      </c>
      <c r="F11" s="252" t="s">
        <v>412</v>
      </c>
      <c r="G11" s="252" t="s">
        <v>419</v>
      </c>
      <c r="H11" s="253" t="s">
        <v>158</v>
      </c>
    </row>
    <row r="12" spans="1:12" x14ac:dyDescent="0.2">
      <c r="A12" s="26" t="s">
        <v>66</v>
      </c>
      <c r="B12" s="27">
        <v>0</v>
      </c>
      <c r="C12" s="27"/>
      <c r="E12" s="16" t="s">
        <v>404</v>
      </c>
      <c r="F12" s="16">
        <v>5</v>
      </c>
      <c r="G12" s="16">
        <v>7000</v>
      </c>
      <c r="H12" s="16">
        <f>G12*F12</f>
        <v>35000</v>
      </c>
    </row>
    <row r="13" spans="1:12" x14ac:dyDescent="0.2">
      <c r="A13" s="26" t="s">
        <v>21</v>
      </c>
      <c r="B13" s="27">
        <f>SUM(B4:B12)*0.01</f>
        <v>11489.25</v>
      </c>
      <c r="C13" s="27"/>
      <c r="E13" s="16" t="s">
        <v>405</v>
      </c>
      <c r="F13" s="16">
        <v>6</v>
      </c>
      <c r="G13" s="16">
        <v>1000</v>
      </c>
      <c r="H13" s="16">
        <f t="shared" ref="H13:H25" si="0">G13*F13</f>
        <v>6000</v>
      </c>
      <c r="J13" t="s">
        <v>479</v>
      </c>
    </row>
    <row r="14" spans="1:12" x14ac:dyDescent="0.2">
      <c r="A14" s="26"/>
      <c r="B14" s="27"/>
      <c r="C14" s="27"/>
      <c r="E14" s="16" t="s">
        <v>406</v>
      </c>
      <c r="F14" s="16">
        <v>2</v>
      </c>
      <c r="G14" s="16">
        <v>1800</v>
      </c>
      <c r="H14" s="16">
        <f t="shared" si="0"/>
        <v>3600</v>
      </c>
    </row>
    <row r="15" spans="1:12" x14ac:dyDescent="0.2">
      <c r="A15" s="24" t="s">
        <v>67</v>
      </c>
      <c r="B15" s="27">
        <f>SUM(B2:B13)</f>
        <v>11248414.25</v>
      </c>
      <c r="C15" s="27"/>
      <c r="E15" s="16" t="s">
        <v>407</v>
      </c>
      <c r="F15" s="16">
        <v>2</v>
      </c>
      <c r="G15" s="16">
        <v>2200</v>
      </c>
      <c r="H15" s="16">
        <f t="shared" si="0"/>
        <v>4400</v>
      </c>
    </row>
    <row r="16" spans="1:12" x14ac:dyDescent="0.2">
      <c r="A16" s="26"/>
      <c r="B16" s="29"/>
      <c r="C16" s="29"/>
      <c r="E16" s="16" t="s">
        <v>408</v>
      </c>
      <c r="F16" s="16">
        <v>1</v>
      </c>
      <c r="G16" s="16">
        <v>12700</v>
      </c>
      <c r="H16" s="16">
        <f t="shared" si="0"/>
        <v>12700</v>
      </c>
    </row>
    <row r="17" spans="1:10" x14ac:dyDescent="0.2">
      <c r="E17" s="16" t="s">
        <v>409</v>
      </c>
      <c r="F17" s="16">
        <v>1</v>
      </c>
      <c r="G17" s="16">
        <v>500</v>
      </c>
      <c r="H17" s="16">
        <f t="shared" si="0"/>
        <v>500</v>
      </c>
    </row>
    <row r="18" spans="1:10" x14ac:dyDescent="0.2">
      <c r="E18" s="16" t="s">
        <v>413</v>
      </c>
      <c r="F18" s="16">
        <v>1</v>
      </c>
      <c r="G18" s="16">
        <v>2200</v>
      </c>
      <c r="H18" s="16">
        <f t="shared" si="0"/>
        <v>2200</v>
      </c>
    </row>
    <row r="19" spans="1:10" x14ac:dyDescent="0.2">
      <c r="E19" s="16" t="s">
        <v>414</v>
      </c>
      <c r="F19" s="16">
        <v>1</v>
      </c>
      <c r="G19" s="16">
        <v>2600</v>
      </c>
      <c r="H19" s="16">
        <f t="shared" si="0"/>
        <v>2600</v>
      </c>
    </row>
    <row r="20" spans="1:10" x14ac:dyDescent="0.2">
      <c r="E20" s="16" t="s">
        <v>415</v>
      </c>
      <c r="F20" s="16">
        <v>1</v>
      </c>
      <c r="G20" s="16">
        <v>4000</v>
      </c>
      <c r="H20" s="16">
        <f t="shared" si="0"/>
        <v>4000</v>
      </c>
    </row>
    <row r="21" spans="1:10" x14ac:dyDescent="0.2">
      <c r="E21" s="16" t="s">
        <v>410</v>
      </c>
      <c r="F21" s="16">
        <v>5</v>
      </c>
      <c r="G21" s="16">
        <v>850</v>
      </c>
      <c r="H21" s="16">
        <f t="shared" si="0"/>
        <v>4250</v>
      </c>
    </row>
    <row r="22" spans="1:10" x14ac:dyDescent="0.2">
      <c r="E22" s="16" t="s">
        <v>411</v>
      </c>
      <c r="F22" s="16">
        <v>5</v>
      </c>
      <c r="G22" s="16">
        <v>2200</v>
      </c>
      <c r="H22" s="16">
        <f t="shared" si="0"/>
        <v>11000</v>
      </c>
    </row>
    <row r="23" spans="1:10" x14ac:dyDescent="0.2">
      <c r="E23" s="16" t="s">
        <v>416</v>
      </c>
      <c r="F23" s="16">
        <v>1</v>
      </c>
      <c r="G23" s="16">
        <f>50000</f>
        <v>50000</v>
      </c>
      <c r="H23" s="16">
        <f t="shared" si="0"/>
        <v>50000</v>
      </c>
    </row>
    <row r="24" spans="1:10" x14ac:dyDescent="0.2">
      <c r="E24" s="16" t="s">
        <v>417</v>
      </c>
      <c r="F24" s="16">
        <v>1</v>
      </c>
      <c r="G24" s="16">
        <v>2500</v>
      </c>
      <c r="H24" s="16">
        <f t="shared" si="0"/>
        <v>2500</v>
      </c>
    </row>
    <row r="25" spans="1:10" x14ac:dyDescent="0.2">
      <c r="E25" s="16" t="s">
        <v>418</v>
      </c>
      <c r="F25" s="16">
        <v>3</v>
      </c>
      <c r="G25" s="16">
        <v>1500</v>
      </c>
      <c r="H25" s="16">
        <f t="shared" si="0"/>
        <v>4500</v>
      </c>
    </row>
    <row r="26" spans="1:10" x14ac:dyDescent="0.2">
      <c r="E26" s="16"/>
      <c r="F26" s="16"/>
      <c r="G26" s="16"/>
      <c r="H26" s="16">
        <f>SUM(H12:H25)</f>
        <v>143250</v>
      </c>
    </row>
    <row r="27" spans="1:10" x14ac:dyDescent="0.2">
      <c r="A27" s="24" t="s">
        <v>68</v>
      </c>
      <c r="B27" s="29"/>
      <c r="C27" s="29"/>
    </row>
    <row r="28" spans="1:10" x14ac:dyDescent="0.2">
      <c r="A28" s="26" t="s">
        <v>69</v>
      </c>
      <c r="B28" s="27">
        <v>100000</v>
      </c>
      <c r="C28" s="27"/>
    </row>
    <row r="29" spans="1:10" x14ac:dyDescent="0.2">
      <c r="A29" s="26" t="s">
        <v>70</v>
      </c>
      <c r="B29" s="27">
        <v>35000</v>
      </c>
      <c r="C29" s="27"/>
      <c r="E29" t="s">
        <v>480</v>
      </c>
    </row>
    <row r="30" spans="1:10" x14ac:dyDescent="0.2">
      <c r="A30" s="26" t="s">
        <v>71</v>
      </c>
      <c r="B30" s="27">
        <v>330000</v>
      </c>
      <c r="C30" s="27"/>
    </row>
    <row r="31" spans="1:10" x14ac:dyDescent="0.2">
      <c r="A31" s="28" t="s">
        <v>72</v>
      </c>
      <c r="B31" s="27">
        <v>0</v>
      </c>
      <c r="C31" s="27">
        <f>F34</f>
        <v>349272.28200000001</v>
      </c>
      <c r="E31" s="253" t="s">
        <v>113</v>
      </c>
      <c r="F31" s="16"/>
    </row>
    <row r="32" spans="1:10" x14ac:dyDescent="0.2">
      <c r="A32" s="28" t="s">
        <v>73</v>
      </c>
      <c r="B32" s="27">
        <v>0</v>
      </c>
      <c r="C32" s="27"/>
      <c r="E32" s="250" t="s">
        <v>426</v>
      </c>
      <c r="F32" s="16">
        <f>11458/1.5*90/2</f>
        <v>343740</v>
      </c>
      <c r="G32" t="s">
        <v>481</v>
      </c>
      <c r="J32" t="s">
        <v>482</v>
      </c>
    </row>
    <row r="33" spans="1:14" x14ac:dyDescent="0.2">
      <c r="A33" s="28" t="s">
        <v>74</v>
      </c>
      <c r="B33" s="27">
        <v>0</v>
      </c>
      <c r="C33" s="27"/>
      <c r="E33" s="250" t="s">
        <v>427</v>
      </c>
      <c r="F33" s="16">
        <f>61469.8*0.25*20*6/1000*3</f>
        <v>5532.2820000000002</v>
      </c>
    </row>
    <row r="34" spans="1:14" x14ac:dyDescent="0.2">
      <c r="A34" s="26" t="s">
        <v>21</v>
      </c>
      <c r="B34" s="27">
        <f>SUM(B28:B33)*0.01</f>
        <v>4650</v>
      </c>
      <c r="C34" s="27">
        <f>SUM(C28:C33)*0.01</f>
        <v>3492.72282</v>
      </c>
      <c r="E34" s="250" t="s">
        <v>158</v>
      </c>
      <c r="F34" s="16">
        <f>SUM(F32:F33)</f>
        <v>349272.28200000001</v>
      </c>
    </row>
    <row r="35" spans="1:14" x14ac:dyDescent="0.2">
      <c r="A35" s="26"/>
      <c r="B35" s="27"/>
      <c r="C35" s="27"/>
    </row>
    <row r="36" spans="1:14" x14ac:dyDescent="0.2">
      <c r="A36" s="24" t="s">
        <v>75</v>
      </c>
      <c r="B36" s="27">
        <f>SUM(B28:B34)</f>
        <v>469650</v>
      </c>
      <c r="C36" s="27">
        <f>SUM(C28:C34)</f>
        <v>352765.00482000003</v>
      </c>
    </row>
    <row r="37" spans="1:14" x14ac:dyDescent="0.2">
      <c r="A37" s="26"/>
      <c r="B37" s="29"/>
      <c r="C37" s="29"/>
    </row>
    <row r="38" spans="1:14" x14ac:dyDescent="0.2">
      <c r="A38" s="24" t="s">
        <v>76</v>
      </c>
      <c r="B38" s="27">
        <f>B25+B36</f>
        <v>469650</v>
      </c>
      <c r="C38" s="27">
        <f>C36</f>
        <v>352765.00482000003</v>
      </c>
    </row>
    <row r="39" spans="1:14" x14ac:dyDescent="0.2">
      <c r="A39" s="24" t="s">
        <v>77</v>
      </c>
      <c r="B39" s="27">
        <f>0.21*B38</f>
        <v>98626.5</v>
      </c>
      <c r="C39" s="27">
        <f>0.21*C38</f>
        <v>74080.651012200004</v>
      </c>
      <c r="L39">
        <v>965</v>
      </c>
    </row>
    <row r="40" spans="1:14" x14ac:dyDescent="0.2">
      <c r="A40" s="26"/>
      <c r="B40" s="29"/>
      <c r="C40" s="29"/>
    </row>
    <row r="41" spans="1:14" ht="13.5" thickBot="1" x14ac:dyDescent="0.25">
      <c r="A41" s="30" t="s">
        <v>78</v>
      </c>
      <c r="B41" s="31">
        <f>B39+B38</f>
        <v>568276.5</v>
      </c>
      <c r="C41" s="31">
        <f>C38+C39</f>
        <v>426845.65583220002</v>
      </c>
    </row>
    <row r="42" spans="1:14" ht="13.5" thickTop="1" x14ac:dyDescent="0.2"/>
    <row r="44" spans="1:14" ht="13.5" thickBot="1" x14ac:dyDescent="0.25"/>
    <row r="45" spans="1:14" ht="13.5" thickTop="1" x14ac:dyDescent="0.2">
      <c r="A45" s="32" t="s">
        <v>79</v>
      </c>
      <c r="B45" s="265" t="s">
        <v>80</v>
      </c>
      <c r="C45" s="265" t="s">
        <v>81</v>
      </c>
      <c r="D45" s="310" t="s">
        <v>82</v>
      </c>
      <c r="E45" s="310"/>
      <c r="F45" s="310"/>
    </row>
    <row r="46" spans="1:14" ht="13.5" thickBot="1" x14ac:dyDescent="0.25">
      <c r="A46" s="34"/>
      <c r="B46" s="20" t="s">
        <v>84</v>
      </c>
      <c r="C46" s="20"/>
      <c r="D46" s="20" t="s">
        <v>85</v>
      </c>
      <c r="E46" s="20" t="s">
        <v>86</v>
      </c>
      <c r="F46" s="20" t="s">
        <v>428</v>
      </c>
      <c r="H46" s="16"/>
      <c r="I46" s="16" t="s">
        <v>483</v>
      </c>
      <c r="J46" s="16"/>
      <c r="L46" t="s">
        <v>484</v>
      </c>
      <c r="M46" t="s">
        <v>430</v>
      </c>
      <c r="N46" t="s">
        <v>419</v>
      </c>
    </row>
    <row r="47" spans="1:14" ht="13.5" thickTop="1" x14ac:dyDescent="0.2">
      <c r="A47" s="36" t="s">
        <v>87</v>
      </c>
      <c r="B47" s="37"/>
      <c r="C47" s="37"/>
      <c r="D47" s="37"/>
      <c r="E47" s="37"/>
      <c r="F47" s="38"/>
      <c r="H47" s="16" t="s">
        <v>57</v>
      </c>
      <c r="I47" s="16">
        <v>30</v>
      </c>
      <c r="J47" s="16"/>
      <c r="L47" t="s">
        <v>485</v>
      </c>
      <c r="M47">
        <v>2</v>
      </c>
      <c r="N47">
        <v>400</v>
      </c>
    </row>
    <row r="48" spans="1:14" x14ac:dyDescent="0.2">
      <c r="A48" s="40"/>
      <c r="B48" s="41"/>
      <c r="C48" s="41"/>
      <c r="D48" s="41"/>
      <c r="E48" s="41"/>
      <c r="F48" s="42"/>
      <c r="H48" s="16" t="s">
        <v>486</v>
      </c>
      <c r="I48" s="16">
        <v>10</v>
      </c>
      <c r="J48" s="16"/>
      <c r="L48" t="s">
        <v>487</v>
      </c>
      <c r="M48">
        <v>1</v>
      </c>
      <c r="N48">
        <v>165</v>
      </c>
    </row>
    <row r="49" spans="1:12" x14ac:dyDescent="0.2">
      <c r="A49" s="26" t="s">
        <v>56</v>
      </c>
      <c r="B49" s="27">
        <f>B2</f>
        <v>9050500</v>
      </c>
      <c r="C49" s="27"/>
      <c r="D49" s="255">
        <f>$B$49*$C$49</f>
        <v>0</v>
      </c>
      <c r="E49" s="255">
        <f t="shared" ref="E49:F49" si="1">$B$49*$C$49</f>
        <v>0</v>
      </c>
      <c r="F49" s="255">
        <f t="shared" si="1"/>
        <v>0</v>
      </c>
      <c r="H49" s="16" t="s">
        <v>488</v>
      </c>
      <c r="I49" s="16">
        <v>10</v>
      </c>
      <c r="J49" s="16"/>
      <c r="L49" t="s">
        <v>158</v>
      </c>
    </row>
    <row r="50" spans="1:12" x14ac:dyDescent="0.2">
      <c r="A50" s="26" t="s">
        <v>57</v>
      </c>
      <c r="B50" s="27">
        <f>B3</f>
        <v>1037500</v>
      </c>
      <c r="C50" s="256">
        <v>3.3333333333333333E-2</v>
      </c>
      <c r="D50" s="255">
        <f>$B$50*$C$50</f>
        <v>34583.333333333336</v>
      </c>
      <c r="E50" s="255">
        <f t="shared" ref="E50:F50" si="2">$B$50*$C$50</f>
        <v>34583.333333333336</v>
      </c>
      <c r="F50" s="255">
        <f t="shared" si="2"/>
        <v>34583.333333333336</v>
      </c>
      <c r="H50" s="16" t="s">
        <v>64</v>
      </c>
      <c r="I50" s="16">
        <v>5</v>
      </c>
      <c r="J50" s="16"/>
    </row>
    <row r="51" spans="1:12" x14ac:dyDescent="0.2">
      <c r="A51" s="26" t="s">
        <v>58</v>
      </c>
      <c r="B51" s="27">
        <f>B4</f>
        <v>830000</v>
      </c>
      <c r="C51" s="256">
        <v>0.1</v>
      </c>
      <c r="D51" s="255">
        <f>$B$51*$C$51</f>
        <v>83000</v>
      </c>
      <c r="E51" s="255">
        <f t="shared" ref="E51:F51" si="3">$B$51*$C$51</f>
        <v>83000</v>
      </c>
      <c r="F51" s="255">
        <f t="shared" si="3"/>
        <v>83000</v>
      </c>
      <c r="H51" s="16" t="s">
        <v>65</v>
      </c>
      <c r="I51" s="16">
        <v>5</v>
      </c>
      <c r="J51" s="16"/>
    </row>
    <row r="52" spans="1:12" x14ac:dyDescent="0.2">
      <c r="A52" s="28" t="s">
        <v>59</v>
      </c>
      <c r="B52" s="27">
        <f>B7</f>
        <v>29675</v>
      </c>
      <c r="C52" s="256">
        <v>0.1</v>
      </c>
      <c r="D52" s="255">
        <f>$B$52*$C$52</f>
        <v>2967.5</v>
      </c>
      <c r="E52" s="255">
        <f t="shared" ref="E52:F52" si="4">$B$52*$C$52</f>
        <v>2967.5</v>
      </c>
      <c r="F52" s="255">
        <f t="shared" si="4"/>
        <v>2967.5</v>
      </c>
      <c r="H52" s="16" t="s">
        <v>21</v>
      </c>
      <c r="I52" s="16">
        <v>5</v>
      </c>
      <c r="J52" s="16"/>
    </row>
    <row r="53" spans="1:12" x14ac:dyDescent="0.2">
      <c r="A53" s="28" t="s">
        <v>64</v>
      </c>
      <c r="B53" s="27">
        <f>B10</f>
        <v>140000</v>
      </c>
      <c r="C53" s="256">
        <v>0.2</v>
      </c>
      <c r="D53" s="255">
        <f>$B$53*$C$53</f>
        <v>28000</v>
      </c>
      <c r="E53" s="255">
        <f t="shared" ref="E53" si="5">$B$53*$C$53</f>
        <v>28000</v>
      </c>
      <c r="F53" s="255"/>
      <c r="H53" s="16" t="s">
        <v>88</v>
      </c>
      <c r="I53" s="16">
        <v>3</v>
      </c>
      <c r="J53" s="16"/>
    </row>
    <row r="54" spans="1:12" x14ac:dyDescent="0.2">
      <c r="A54" s="28" t="s">
        <v>65</v>
      </c>
      <c r="B54" s="27">
        <f>B11</f>
        <v>143250</v>
      </c>
      <c r="C54" s="256">
        <v>0.2</v>
      </c>
      <c r="D54" s="255">
        <f>$B$54*$C$54</f>
        <v>28650</v>
      </c>
      <c r="E54" s="255">
        <f t="shared" ref="E54" si="6">$B$54*$C$54</f>
        <v>28650</v>
      </c>
      <c r="F54" s="255"/>
    </row>
    <row r="55" spans="1:12" x14ac:dyDescent="0.2">
      <c r="A55" s="28" t="s">
        <v>21</v>
      </c>
      <c r="B55" s="27">
        <f>B13</f>
        <v>11489.25</v>
      </c>
      <c r="C55" s="256">
        <v>0.2</v>
      </c>
      <c r="D55" s="255">
        <f>$B$55*$C$55</f>
        <v>2297.85</v>
      </c>
      <c r="E55" s="255">
        <f>$B$55*$C$55</f>
        <v>2297.85</v>
      </c>
      <c r="F55" s="27">
        <v>0</v>
      </c>
    </row>
    <row r="56" spans="1:12" x14ac:dyDescent="0.2">
      <c r="A56" s="28" t="s">
        <v>88</v>
      </c>
      <c r="B56" s="27">
        <v>965</v>
      </c>
      <c r="C56" s="256">
        <v>0.33333333333333331</v>
      </c>
      <c r="D56" s="255">
        <f>$B$56*$C$56</f>
        <v>321.66666666666663</v>
      </c>
      <c r="E56" s="27">
        <v>0</v>
      </c>
      <c r="F56" s="27">
        <v>0</v>
      </c>
    </row>
    <row r="57" spans="1:12" x14ac:dyDescent="0.2">
      <c r="A57" s="45" t="s">
        <v>89</v>
      </c>
      <c r="B57" s="27">
        <f>SUM(B49:B56)</f>
        <v>11243379.25</v>
      </c>
      <c r="C57" s="256"/>
      <c r="D57" s="27">
        <f>SUM(D49:D56)</f>
        <v>179820.35</v>
      </c>
      <c r="E57" s="27">
        <f>SUM(E49:E56)</f>
        <v>179498.68333333335</v>
      </c>
      <c r="F57" s="27">
        <f>SUM(F49:F56)</f>
        <v>120550.83333333334</v>
      </c>
    </row>
    <row r="58" spans="1:12" x14ac:dyDescent="0.2">
      <c r="A58" s="24"/>
      <c r="B58" s="46"/>
      <c r="C58" s="257"/>
      <c r="D58" s="47"/>
      <c r="E58" s="47"/>
      <c r="F58" s="47"/>
    </row>
    <row r="59" spans="1:12" x14ac:dyDescent="0.2">
      <c r="A59" s="45" t="s">
        <v>90</v>
      </c>
      <c r="B59" s="27">
        <v>469650</v>
      </c>
      <c r="C59" s="256">
        <v>0.2</v>
      </c>
      <c r="D59" s="27">
        <f>$B$53*$C$53</f>
        <v>28000</v>
      </c>
      <c r="E59" s="27">
        <f>$B$53*$C$53</f>
        <v>28000</v>
      </c>
      <c r="F59" s="27">
        <v>0</v>
      </c>
    </row>
    <row r="60" spans="1:12" x14ac:dyDescent="0.2">
      <c r="A60" s="45"/>
      <c r="B60" s="27"/>
      <c r="C60" s="27"/>
      <c r="D60" s="27"/>
      <c r="E60" s="27"/>
      <c r="F60" s="27"/>
    </row>
    <row r="61" spans="1:12" x14ac:dyDescent="0.2">
      <c r="A61" s="24"/>
      <c r="B61" s="25"/>
      <c r="C61" s="25"/>
      <c r="D61" s="49"/>
      <c r="E61" s="50"/>
      <c r="F61" s="50"/>
    </row>
    <row r="62" spans="1:12" ht="13.5" thickBot="1" x14ac:dyDescent="0.25">
      <c r="A62" s="30" t="s">
        <v>91</v>
      </c>
      <c r="B62" s="31">
        <v>11993688.5</v>
      </c>
      <c r="C62" s="31"/>
      <c r="D62" s="31">
        <f>D57+D59</f>
        <v>207820.35</v>
      </c>
      <c r="E62" s="31">
        <f>E57+E59</f>
        <v>207498.68333333335</v>
      </c>
      <c r="F62" s="31">
        <f>F57+F59</f>
        <v>120550.83333333334</v>
      </c>
    </row>
    <row r="63" spans="1:12" ht="13.5" thickTop="1" x14ac:dyDescent="0.2"/>
    <row r="68" spans="1:9" x14ac:dyDescent="0.2">
      <c r="A68" s="258" t="s">
        <v>433</v>
      </c>
      <c r="B68" s="258" t="s">
        <v>442</v>
      </c>
      <c r="C68" s="16"/>
      <c r="D68" s="16"/>
      <c r="E68" s="258" t="s">
        <v>443</v>
      </c>
      <c r="F68" s="258" t="s">
        <v>442</v>
      </c>
      <c r="G68" s="16"/>
      <c r="H68" s="16"/>
      <c r="I68" s="16"/>
    </row>
    <row r="69" spans="1:9" x14ac:dyDescent="0.2">
      <c r="A69" s="254" t="s">
        <v>434</v>
      </c>
      <c r="B69" s="16">
        <f>46*0.7875</f>
        <v>36.225000000000001</v>
      </c>
      <c r="C69" s="16"/>
      <c r="D69" s="16" t="s">
        <v>444</v>
      </c>
      <c r="E69" s="16">
        <f>61669.8*230/1000</f>
        <v>14184.054</v>
      </c>
      <c r="F69" s="16">
        <f>E69*3</f>
        <v>42552.161999999997</v>
      </c>
      <c r="G69" s="16"/>
      <c r="H69" s="16" t="s">
        <v>489</v>
      </c>
      <c r="I69" s="16">
        <v>1400</v>
      </c>
    </row>
    <row r="70" spans="1:9" x14ac:dyDescent="0.2">
      <c r="A70" s="16" t="s">
        <v>435</v>
      </c>
      <c r="B70" s="16">
        <f>0.2*200/10</f>
        <v>4</v>
      </c>
      <c r="C70" s="16"/>
      <c r="D70" s="16" t="s">
        <v>445</v>
      </c>
      <c r="E70" s="16">
        <f>E69*0.96</f>
        <v>13616.69184</v>
      </c>
      <c r="F70" s="16">
        <f>E70*3</f>
        <v>40850.075519999999</v>
      </c>
      <c r="G70" s="16"/>
      <c r="H70" s="16" t="s">
        <v>447</v>
      </c>
      <c r="I70" s="16">
        <f>I69*F72</f>
        <v>504000</v>
      </c>
    </row>
    <row r="71" spans="1:9" x14ac:dyDescent="0.2">
      <c r="A71" s="16" t="s">
        <v>436</v>
      </c>
      <c r="B71" s="16">
        <f>2*185/50</f>
        <v>7.4</v>
      </c>
      <c r="C71" s="16"/>
      <c r="D71" s="16" t="s">
        <v>446</v>
      </c>
      <c r="E71" s="16">
        <f>E69*0.01</f>
        <v>141.84054</v>
      </c>
      <c r="F71" s="16">
        <f>E71*3</f>
        <v>425.52161999999998</v>
      </c>
      <c r="G71" s="16"/>
      <c r="H71" s="16"/>
      <c r="I71" s="16"/>
    </row>
    <row r="72" spans="1:9" x14ac:dyDescent="0.2">
      <c r="A72" s="16" t="s">
        <v>437</v>
      </c>
      <c r="B72" s="16">
        <f>2*220/22</f>
        <v>20</v>
      </c>
      <c r="C72" s="16"/>
      <c r="D72" s="16" t="s">
        <v>447</v>
      </c>
      <c r="E72" s="16"/>
      <c r="F72" s="269">
        <f>30*12</f>
        <v>360</v>
      </c>
      <c r="G72" s="16"/>
      <c r="H72" s="16"/>
      <c r="I72" s="16"/>
    </row>
    <row r="73" spans="1:9" x14ac:dyDescent="0.2">
      <c r="A73" s="16" t="s">
        <v>438</v>
      </c>
      <c r="B73" s="16">
        <f>3.9*2.52</f>
        <v>9.8279999999999994</v>
      </c>
      <c r="C73" s="16"/>
      <c r="D73" s="16" t="s">
        <v>158</v>
      </c>
      <c r="E73" s="16">
        <f>SUM(E69:E71)</f>
        <v>27942.586380000001</v>
      </c>
      <c r="F73" s="16">
        <f>SUM(F70:F72)</f>
        <v>41635.597139999998</v>
      </c>
      <c r="G73" s="16"/>
      <c r="H73" s="16"/>
      <c r="I73" s="16"/>
    </row>
    <row r="74" spans="1:9" x14ac:dyDescent="0.2">
      <c r="A74" s="16" t="s">
        <v>439</v>
      </c>
      <c r="B74" s="16">
        <f>10*80/4000</f>
        <v>0.2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6" t="s">
        <v>440</v>
      </c>
      <c r="B75" s="16">
        <f>5*600/400</f>
        <v>7.5</v>
      </c>
      <c r="C75" s="16"/>
      <c r="D75" s="258" t="s">
        <v>129</v>
      </c>
      <c r="E75" s="258" t="s">
        <v>448</v>
      </c>
      <c r="F75" s="258" t="s">
        <v>442</v>
      </c>
      <c r="G75" s="16"/>
      <c r="H75" s="16"/>
      <c r="I75" s="16"/>
    </row>
    <row r="76" spans="1:9" x14ac:dyDescent="0.2">
      <c r="A76" s="16" t="s">
        <v>441</v>
      </c>
      <c r="B76" s="16">
        <f>1*1255/1000</f>
        <v>1.2549999999999999</v>
      </c>
      <c r="C76" s="16"/>
      <c r="D76" s="16" t="s">
        <v>490</v>
      </c>
      <c r="E76" s="16">
        <f>80*11.5</f>
        <v>920</v>
      </c>
      <c r="F76" s="16">
        <f>E76*33.23</f>
        <v>30571.599999999999</v>
      </c>
      <c r="G76" s="16" t="s">
        <v>449</v>
      </c>
      <c r="H76" s="16"/>
      <c r="I76" s="16"/>
    </row>
    <row r="77" spans="1:9" x14ac:dyDescent="0.2">
      <c r="A77" s="16" t="s">
        <v>158</v>
      </c>
      <c r="B77" s="258">
        <f>SUM(B69:B76)</f>
        <v>86.408000000000001</v>
      </c>
      <c r="C77" s="16"/>
      <c r="D77" s="16"/>
      <c r="E77" s="16"/>
      <c r="F77" s="16"/>
      <c r="G77" s="16" t="s">
        <v>450</v>
      </c>
      <c r="H77" s="16"/>
      <c r="I77" s="16"/>
    </row>
    <row r="78" spans="1:9" x14ac:dyDescent="0.2">
      <c r="D78" s="16" t="s">
        <v>491</v>
      </c>
      <c r="E78">
        <f>F76/[1]InfoInicial!B19</f>
        <v>0.26386218087034574</v>
      </c>
    </row>
    <row r="79" spans="1:9" x14ac:dyDescent="0.2">
      <c r="D79" s="16" t="s">
        <v>492</v>
      </c>
      <c r="E79">
        <f>(E78*F102)/2</f>
        <v>154.79637735739328</v>
      </c>
    </row>
    <row r="80" spans="1:9" x14ac:dyDescent="0.2">
      <c r="D80" s="16" t="s">
        <v>493</v>
      </c>
      <c r="E80">
        <f>F76*0.95-F104*E78-E79</f>
        <v>5959.3916915521704</v>
      </c>
    </row>
    <row r="81" spans="1:5" x14ac:dyDescent="0.2">
      <c r="A81" t="s">
        <v>494</v>
      </c>
      <c r="B81">
        <v>10700</v>
      </c>
    </row>
    <row r="82" spans="1:5" x14ac:dyDescent="0.2">
      <c r="A82" t="s">
        <v>495</v>
      </c>
      <c r="B82">
        <v>100000</v>
      </c>
    </row>
    <row r="83" spans="1:5" x14ac:dyDescent="0.2">
      <c r="A83" t="s">
        <v>496</v>
      </c>
      <c r="B83">
        <v>80000</v>
      </c>
    </row>
    <row r="84" spans="1:5" x14ac:dyDescent="0.2">
      <c r="A84" t="s">
        <v>497</v>
      </c>
      <c r="B84">
        <v>60000</v>
      </c>
    </row>
    <row r="85" spans="1:5" x14ac:dyDescent="0.2">
      <c r="A85" t="s">
        <v>498</v>
      </c>
      <c r="B85">
        <f>B81+B82+B83+B84*4</f>
        <v>430700</v>
      </c>
    </row>
    <row r="86" spans="1:5" x14ac:dyDescent="0.2">
      <c r="A86" t="s">
        <v>499</v>
      </c>
      <c r="B86">
        <f>B81*5</f>
        <v>53500</v>
      </c>
    </row>
    <row r="89" spans="1:5" x14ac:dyDescent="0.2">
      <c r="B89" t="s">
        <v>500</v>
      </c>
      <c r="C89" t="s">
        <v>501</v>
      </c>
      <c r="D89" t="s">
        <v>158</v>
      </c>
      <c r="E89" t="s">
        <v>502</v>
      </c>
    </row>
    <row r="90" spans="1:5" x14ac:dyDescent="0.2">
      <c r="A90" s="258" t="s">
        <v>503</v>
      </c>
      <c r="B90">
        <v>100000</v>
      </c>
      <c r="C90" s="300">
        <v>0.5</v>
      </c>
      <c r="D90" s="301">
        <v>0.33333333333333331</v>
      </c>
      <c r="E90">
        <f>B90*12*1.5/3</f>
        <v>600000</v>
      </c>
    </row>
    <row r="91" spans="1:5" x14ac:dyDescent="0.2">
      <c r="A91" t="s">
        <v>504</v>
      </c>
      <c r="B91">
        <v>80000</v>
      </c>
      <c r="C91" s="300">
        <v>0.5</v>
      </c>
      <c r="D91">
        <v>1</v>
      </c>
      <c r="E91">
        <f>B91*12*1.5</f>
        <v>1440000</v>
      </c>
    </row>
    <row r="92" spans="1:5" x14ac:dyDescent="0.2">
      <c r="A92" t="s">
        <v>505</v>
      </c>
      <c r="B92">
        <v>240000</v>
      </c>
      <c r="C92" s="300">
        <v>0.5</v>
      </c>
      <c r="D92">
        <v>4</v>
      </c>
      <c r="E92">
        <f>B92*12*1.5*4</f>
        <v>17280000</v>
      </c>
    </row>
    <row r="93" spans="1:5" x14ac:dyDescent="0.2">
      <c r="A93" t="s">
        <v>506</v>
      </c>
      <c r="B93">
        <v>10700</v>
      </c>
      <c r="C93" s="300">
        <v>0.5</v>
      </c>
      <c r="D93">
        <v>1</v>
      </c>
      <c r="E93">
        <f>B93*12*1.5</f>
        <v>192600</v>
      </c>
    </row>
    <row r="94" spans="1:5" x14ac:dyDescent="0.2">
      <c r="A94" t="s">
        <v>158</v>
      </c>
      <c r="E94">
        <f>SUM(E90:E93)</f>
        <v>19512600</v>
      </c>
    </row>
    <row r="96" spans="1:5" x14ac:dyDescent="0.2">
      <c r="A96" s="258" t="s">
        <v>507</v>
      </c>
    </row>
    <row r="97" spans="1:8" ht="14.25" x14ac:dyDescent="0.2">
      <c r="A97" t="s">
        <v>508</v>
      </c>
      <c r="B97">
        <v>11</v>
      </c>
      <c r="E97" s="259"/>
      <c r="F97" s="263"/>
      <c r="G97" s="16"/>
      <c r="H97" s="16"/>
    </row>
    <row r="98" spans="1:8" x14ac:dyDescent="0.2">
      <c r="A98" t="s">
        <v>509</v>
      </c>
      <c r="B98">
        <v>2</v>
      </c>
      <c r="E98" s="16"/>
      <c r="F98" s="16"/>
      <c r="G98" s="16"/>
      <c r="H98" s="16"/>
    </row>
    <row r="99" spans="1:8" x14ac:dyDescent="0.2">
      <c r="A99" t="s">
        <v>510</v>
      </c>
      <c r="B99">
        <v>1</v>
      </c>
      <c r="E99" s="16" t="s">
        <v>453</v>
      </c>
      <c r="F99" s="16"/>
      <c r="G99" s="16"/>
      <c r="H99" s="16"/>
    </row>
    <row r="100" spans="1:8" ht="14.25" x14ac:dyDescent="0.2">
      <c r="A100" t="s">
        <v>511</v>
      </c>
      <c r="B100">
        <v>8</v>
      </c>
      <c r="E100" s="16" t="s">
        <v>470</v>
      </c>
      <c r="F100" s="259"/>
      <c r="G100" s="16"/>
      <c r="H100" s="16"/>
    </row>
    <row r="101" spans="1:8" x14ac:dyDescent="0.2">
      <c r="A101" t="s">
        <v>512</v>
      </c>
      <c r="B101" s="298">
        <v>75</v>
      </c>
      <c r="F101" s="16"/>
      <c r="G101" s="16"/>
      <c r="H101" s="16"/>
    </row>
    <row r="102" spans="1:8" x14ac:dyDescent="0.2">
      <c r="A102" t="s">
        <v>158</v>
      </c>
      <c r="B102">
        <f>B97*B98*B100*B101</f>
        <v>13200</v>
      </c>
      <c r="E102" t="s">
        <v>513</v>
      </c>
      <c r="F102">
        <f>1341.8/1.1436</f>
        <v>1173.3123469744667</v>
      </c>
    </row>
    <row r="104" spans="1:8" x14ac:dyDescent="0.2">
      <c r="A104" s="302" t="s">
        <v>514</v>
      </c>
      <c r="B104" s="303">
        <f>(B102+E94)/[1]InfoInicial!B19</f>
        <v>168.52635031330377</v>
      </c>
      <c r="E104" t="s">
        <v>515</v>
      </c>
      <c r="F104">
        <v>86897</v>
      </c>
    </row>
    <row r="105" spans="1:8" x14ac:dyDescent="0.2">
      <c r="A105" s="302" t="s">
        <v>516</v>
      </c>
      <c r="B105" s="303">
        <f>B104*(F102/2)</f>
        <v>98867.0238065718</v>
      </c>
    </row>
    <row r="106" spans="1:8" x14ac:dyDescent="0.2">
      <c r="A106" s="258" t="s">
        <v>517</v>
      </c>
      <c r="B106">
        <f>(((E94+B102)*0.9)/86897)*(F102/2)</f>
        <v>118639.74591814814</v>
      </c>
    </row>
    <row r="109" spans="1:8" x14ac:dyDescent="0.2">
      <c r="A109" s="258" t="s">
        <v>518</v>
      </c>
    </row>
    <row r="110" spans="1:8" x14ac:dyDescent="0.2">
      <c r="A110" t="s">
        <v>491</v>
      </c>
      <c r="B110">
        <f>'[1]E-Costos'!C12/115862</f>
        <v>2.34192432729454</v>
      </c>
    </row>
    <row r="111" spans="1:8" x14ac:dyDescent="0.2">
      <c r="A111" t="s">
        <v>519</v>
      </c>
      <c r="B111">
        <f>'[1]E-Costos'!B12</f>
        <v>244206.03276810001</v>
      </c>
    </row>
    <row r="112" spans="1:8" x14ac:dyDescent="0.2">
      <c r="A112" t="s">
        <v>520</v>
      </c>
      <c r="B112">
        <f>F104*B110</f>
        <v>203506.19826891363</v>
      </c>
    </row>
    <row r="113" spans="1:7" x14ac:dyDescent="0.2">
      <c r="A113" t="s">
        <v>492</v>
      </c>
      <c r="B113">
        <f>F102*B110/2</f>
        <v>1373.9043644472779</v>
      </c>
    </row>
    <row r="114" spans="1:7" x14ac:dyDescent="0.2">
      <c r="A114" t="s">
        <v>521</v>
      </c>
      <c r="B114">
        <f>B111-B112-B113</f>
        <v>39325.930134739094</v>
      </c>
    </row>
    <row r="116" spans="1:7" x14ac:dyDescent="0.2">
      <c r="A116" s="258" t="s">
        <v>522</v>
      </c>
    </row>
    <row r="117" spans="1:7" x14ac:dyDescent="0.2">
      <c r="A117" t="s">
        <v>523</v>
      </c>
      <c r="B117">
        <f>('[1]E-Costos'!B15/115862)*F102/2</f>
        <v>848.7562192479121</v>
      </c>
    </row>
    <row r="118" spans="1:7" x14ac:dyDescent="0.2">
      <c r="A118" t="s">
        <v>54</v>
      </c>
      <c r="B118">
        <f>'[1]E-Costos'!B15/(F104+F102/2)*F102/2</f>
        <v>1124.0795981307426</v>
      </c>
    </row>
    <row r="122" spans="1:7" x14ac:dyDescent="0.2">
      <c r="A122" s="258" t="s">
        <v>524</v>
      </c>
      <c r="E122" s="258" t="s">
        <v>524</v>
      </c>
    </row>
    <row r="123" spans="1:7" x14ac:dyDescent="0.2">
      <c r="A123" s="258" t="s">
        <v>104</v>
      </c>
      <c r="E123" s="258" t="s">
        <v>104</v>
      </c>
    </row>
    <row r="124" spans="1:7" x14ac:dyDescent="0.2">
      <c r="A124" t="s">
        <v>525</v>
      </c>
      <c r="B124">
        <f>B81*0.1</f>
        <v>1070</v>
      </c>
      <c r="C124" t="s">
        <v>526</v>
      </c>
      <c r="E124" t="s">
        <v>525</v>
      </c>
      <c r="F124">
        <f>B81*0.1</f>
        <v>1070</v>
      </c>
      <c r="G124" t="s">
        <v>526</v>
      </c>
    </row>
    <row r="125" spans="1:7" x14ac:dyDescent="0.2">
      <c r="A125" t="s">
        <v>527</v>
      </c>
      <c r="B125">
        <v>4000</v>
      </c>
      <c r="E125" t="s">
        <v>528</v>
      </c>
      <c r="F125">
        <v>4000</v>
      </c>
    </row>
    <row r="126" spans="1:7" x14ac:dyDescent="0.2">
      <c r="A126" t="s">
        <v>158</v>
      </c>
      <c r="B126">
        <f>SUM(B124:B125)</f>
        <v>5070</v>
      </c>
      <c r="E126" t="s">
        <v>158</v>
      </c>
      <c r="F126">
        <f>SUM(F124:F125)</f>
        <v>5070</v>
      </c>
    </row>
    <row r="127" spans="1:7" x14ac:dyDescent="0.2">
      <c r="A127" s="258" t="s">
        <v>133</v>
      </c>
      <c r="E127" s="258" t="s">
        <v>133</v>
      </c>
    </row>
    <row r="128" spans="1:7" x14ac:dyDescent="0.2">
      <c r="A128" t="s">
        <v>158</v>
      </c>
      <c r="B128">
        <f>F73*0.05</f>
        <v>2081.779857</v>
      </c>
      <c r="E128" t="s">
        <v>158</v>
      </c>
      <c r="F128">
        <f>F73*0.05</f>
        <v>2081.779857</v>
      </c>
    </row>
    <row r="129" spans="1:6" x14ac:dyDescent="0.2">
      <c r="A129" t="s">
        <v>107</v>
      </c>
      <c r="B129" t="s">
        <v>529</v>
      </c>
      <c r="E129" t="s">
        <v>107</v>
      </c>
      <c r="F129" t="s">
        <v>529</v>
      </c>
    </row>
    <row r="132" spans="1:6" x14ac:dyDescent="0.2">
      <c r="A132" t="s">
        <v>530</v>
      </c>
    </row>
    <row r="133" spans="1:6" x14ac:dyDescent="0.2">
      <c r="A133" t="s">
        <v>531</v>
      </c>
    </row>
    <row r="134" spans="1:6" x14ac:dyDescent="0.2">
      <c r="A134" t="s">
        <v>532</v>
      </c>
      <c r="B134">
        <v>91241.33</v>
      </c>
      <c r="C134" t="s">
        <v>533</v>
      </c>
    </row>
    <row r="135" spans="1:6" x14ac:dyDescent="0.2">
      <c r="A135" t="s">
        <v>534</v>
      </c>
      <c r="B135">
        <f>B134-F104</f>
        <v>4344.3300000000017</v>
      </c>
    </row>
  </sheetData>
  <mergeCells count="1">
    <mergeCell ref="D45:F45"/>
  </mergeCells>
  <hyperlinks>
    <hyperlink ref="J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36"/>
  <sheetViews>
    <sheetView topLeftCell="A13" zoomScale="90" zoomScaleNormal="90" workbookViewId="0">
      <selection activeCell="B102" sqref="B102"/>
    </sheetView>
  </sheetViews>
  <sheetFormatPr baseColWidth="10" defaultColWidth="11.28515625" defaultRowHeight="12.75" x14ac:dyDescent="0.2"/>
  <cols>
    <col min="1" max="1" width="40.85546875" style="16" customWidth="1"/>
    <col min="2" max="2" width="37" style="16" bestFit="1" customWidth="1"/>
    <col min="3" max="6" width="16" style="16" bestFit="1" customWidth="1"/>
    <col min="7" max="7" width="17.28515625" style="16" customWidth="1"/>
    <col min="8" max="8" width="11.28515625" style="16"/>
    <col min="9" max="9" width="22.7109375" style="16" bestFit="1" customWidth="1"/>
    <col min="10" max="11" width="11.28515625" style="16"/>
    <col min="12" max="12" width="26.85546875" style="16" bestFit="1" customWidth="1"/>
    <col min="13" max="16384" width="11.28515625" style="16"/>
  </cols>
  <sheetData>
    <row r="3" spans="1:6" ht="13.5" thickBot="1" x14ac:dyDescent="0.25">
      <c r="A3" s="1" t="s">
        <v>0</v>
      </c>
      <c r="B3"/>
      <c r="C3"/>
      <c r="D3"/>
      <c r="E3" s="2">
        <f>[1]InfoInicial!E1</f>
        <v>9</v>
      </c>
    </row>
    <row r="4" spans="1:6" ht="16.5" thickTop="1" x14ac:dyDescent="0.25">
      <c r="A4" s="55" t="s">
        <v>92</v>
      </c>
      <c r="B4" s="56"/>
      <c r="C4" s="56"/>
      <c r="D4" s="56"/>
      <c r="E4" s="56"/>
      <c r="F4" s="57"/>
    </row>
    <row r="5" spans="1:6" x14ac:dyDescent="0.2">
      <c r="A5" s="58"/>
      <c r="B5" s="267" t="s">
        <v>93</v>
      </c>
      <c r="C5" s="267"/>
      <c r="D5" s="267"/>
      <c r="E5" s="267"/>
      <c r="F5" s="268"/>
    </row>
    <row r="6" spans="1:6" ht="13.5" thickBot="1" x14ac:dyDescent="0.25">
      <c r="A6" s="58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</row>
    <row r="7" spans="1:6" ht="13.5" thickTop="1" x14ac:dyDescent="0.2">
      <c r="A7" s="22" t="s">
        <v>99</v>
      </c>
      <c r="B7" s="59">
        <f>[1]Hoja1!B77*77366.2</f>
        <v>6685058.6096000001</v>
      </c>
      <c r="C7" s="59">
        <f>[1]Hoja1!$B$77*127448.2</f>
        <v>11012544.0656</v>
      </c>
      <c r="D7" s="59">
        <f>[1]Hoja1!$B$77*127448.2</f>
        <v>11012544.0656</v>
      </c>
      <c r="E7" s="59">
        <f>[1]Hoja1!$B$77*127448.2</f>
        <v>11012544.0656</v>
      </c>
      <c r="F7" s="59">
        <f>[1]Hoja1!$B$77*127448.2</f>
        <v>11012544.0656</v>
      </c>
    </row>
    <row r="8" spans="1:6" x14ac:dyDescent="0.2">
      <c r="A8" s="26" t="s">
        <v>100</v>
      </c>
      <c r="B8" s="61">
        <f>C8*0.95</f>
        <v>50825</v>
      </c>
      <c r="C8" s="61">
        <f>[1]Hoja1!$B$86</f>
        <v>53500</v>
      </c>
      <c r="D8" s="61">
        <f>[1]Hoja1!$B$86</f>
        <v>53500</v>
      </c>
      <c r="E8" s="61">
        <f>[1]Hoja1!$B$86</f>
        <v>53500</v>
      </c>
      <c r="F8" s="61">
        <f>[1]Hoja1!$B$86</f>
        <v>53500</v>
      </c>
    </row>
    <row r="9" spans="1:6" x14ac:dyDescent="0.2">
      <c r="A9" s="26" t="s">
        <v>101</v>
      </c>
      <c r="B9" s="61"/>
      <c r="C9" s="61"/>
      <c r="D9" s="61"/>
      <c r="E9" s="61"/>
      <c r="F9" s="44"/>
    </row>
    <row r="10" spans="1:6" x14ac:dyDescent="0.2">
      <c r="A10" s="26" t="s">
        <v>102</v>
      </c>
      <c r="B10" s="61">
        <f>'[1]E-Inv AF y Am'!$D$56*0.9</f>
        <v>246375.31499999997</v>
      </c>
      <c r="C10" s="61">
        <f>'[1]E-Inv AF y Am'!$D$56*0.9</f>
        <v>246375.31499999997</v>
      </c>
      <c r="D10" s="61">
        <f>'[1]E-Inv AF y Am'!$D$56*0.9</f>
        <v>246375.31499999997</v>
      </c>
      <c r="E10" s="61">
        <f>0.9*'[1]E-Inv AF y Am'!$E$56</f>
        <v>246085.81500000003</v>
      </c>
      <c r="F10" s="61">
        <f>0.9*'[1]E-Inv AF y Am'!$E$56</f>
        <v>246085.81500000003</v>
      </c>
    </row>
    <row r="11" spans="1:6" x14ac:dyDescent="0.2">
      <c r="A11" s="26" t="s">
        <v>103</v>
      </c>
      <c r="B11" s="61">
        <f>C11*0.9</f>
        <v>387630</v>
      </c>
      <c r="C11" s="61">
        <f>[1]Hoja1!$B$85</f>
        <v>430700</v>
      </c>
      <c r="D11" s="61">
        <f>[1]Hoja1!$B$85</f>
        <v>430700</v>
      </c>
      <c r="E11" s="61">
        <f>[1]Hoja1!$B$85</f>
        <v>430700</v>
      </c>
      <c r="F11" s="61">
        <f>[1]Hoja1!$B$85</f>
        <v>430700</v>
      </c>
    </row>
    <row r="12" spans="1:6" x14ac:dyDescent="0.2">
      <c r="A12" s="26" t="s">
        <v>104</v>
      </c>
      <c r="B12" s="61">
        <f>C12*0.9</f>
        <v>244206.03276810001</v>
      </c>
      <c r="C12" s="61">
        <f>('[1]E-Inv AF y Am'!$B$20*0.9*0.01+('[1]E-Inv AF y Am'!$B$12+'[1]E-Inv AF y Am'!$B$14)*0.016)*0.9+$E$7*0.015+($E$8+$E$11)*0.03</f>
        <v>271340.03640899999</v>
      </c>
      <c r="D12" s="61">
        <f>('[1]E-Inv AF y Am'!$B$20*0.9*0.01+('[1]E-Inv AF y Am'!$B$12+'[1]E-Inv AF y Am'!$B$14)*0.016)*0.9+$E$7*0.015+($E$8+$E$11)*0.03</f>
        <v>271340.03640899999</v>
      </c>
      <c r="E12" s="61">
        <f>'[1]E-Inv AF y Am'!$B$20*0.9*0.01+('[1]E-Inv AF y Am'!$B$12+'[1]E-Inv AF y Am'!$B$14)*0.016+$E$7*0.015+($E$8+$E$11)*0.03</f>
        <v>281520.68923399999</v>
      </c>
      <c r="F12" s="61">
        <f>'[1]E-Inv AF y Am'!$B$20*0.9*0.01+('[1]E-Inv AF y Am'!$B$12+'[1]E-Inv AF y Am'!$B$14)*0.016+$E$7*0.015+($E$8+$E$11)*0.03</f>
        <v>281520.68923399999</v>
      </c>
    </row>
    <row r="13" spans="1:6" x14ac:dyDescent="0.2">
      <c r="A13" s="26" t="s">
        <v>105</v>
      </c>
      <c r="B13" s="61">
        <f>C13*0.95</f>
        <v>39553.817282999997</v>
      </c>
      <c r="C13" s="61">
        <f>[1]Hoja1!$F$73</f>
        <v>41635.597139999998</v>
      </c>
      <c r="D13" s="61">
        <f>[1]Hoja1!$F$73</f>
        <v>41635.597139999998</v>
      </c>
      <c r="E13" s="61">
        <f>[1]Hoja1!$F$73</f>
        <v>41635.597139999998</v>
      </c>
      <c r="F13" s="61">
        <f>[1]Hoja1!$F$73</f>
        <v>41635.597139999998</v>
      </c>
    </row>
    <row r="14" spans="1:6" x14ac:dyDescent="0.2">
      <c r="A14" s="26" t="s">
        <v>106</v>
      </c>
      <c r="B14" s="61">
        <f>C14*0.5</f>
        <v>15285.8</v>
      </c>
      <c r="C14" s="61">
        <f>[1]Hoja1!$F$76</f>
        <v>30571.599999999999</v>
      </c>
      <c r="D14" s="61">
        <f>[1]Hoja1!$F$76</f>
        <v>30571.599999999999</v>
      </c>
      <c r="E14" s="61">
        <f>[1]Hoja1!$F$76</f>
        <v>30571.599999999999</v>
      </c>
      <c r="F14" s="61">
        <f>[1]Hoja1!$F$76</f>
        <v>30571.599999999999</v>
      </c>
    </row>
    <row r="15" spans="1:6" x14ac:dyDescent="0.2">
      <c r="A15" s="26" t="s">
        <v>107</v>
      </c>
      <c r="B15" s="61">
        <f>('[1]E-Inv AF y Am'!$B$7+'[1]E-Inv AF y Am'!$B$8)*0.008*0.9+('[1]E-Inv AF y Am'!$B$7+'[1]E-Inv AF y Am'!$B$8)*0.01*0.9+'[1]E-Inv AF y Am'!$B$15*0.03</f>
        <v>167625.60000000001</v>
      </c>
      <c r="C15" s="61">
        <f>('[1]E-Inv AF y Am'!$B$7+'[1]E-Inv AF y Am'!$B$8)*0.008*0.9+('[1]E-Inv AF y Am'!$B$7+'[1]E-Inv AF y Am'!$B$8)*0.01*0.9+'[1]E-Inv AF y Am'!$B$15*0.03</f>
        <v>167625.60000000001</v>
      </c>
      <c r="D15" s="61">
        <f>('[1]E-Inv AF y Am'!$B$7+'[1]E-Inv AF y Am'!$B$8)*0.008*0.9+('[1]E-Inv AF y Am'!$B$7+'[1]E-Inv AF y Am'!$B$8)*0.01*0.9+'[1]E-Inv AF y Am'!$B$15*0.03</f>
        <v>167625.60000000001</v>
      </c>
      <c r="E15" s="61">
        <f>('[1]E-Inv AF y Am'!$B$7+'[1]E-Inv AF y Am'!$B$8)*0.008*0.9+('[1]E-Inv AF y Am'!$B$7+'[1]E-Inv AF y Am'!$B$8)*0.01*0.9+'[1]E-Inv AF y Am'!$B$15*0.03</f>
        <v>167625.60000000001</v>
      </c>
      <c r="F15" s="61">
        <f>('[1]E-Inv AF y Am'!$B$7+'[1]E-Inv AF y Am'!$B$8)*0.008*0.9+('[1]E-Inv AF y Am'!$B$7+'[1]E-Inv AF y Am'!$B$8)*0.01*0.9+'[1]E-Inv AF y Am'!$B$15*0.03</f>
        <v>167625.60000000001</v>
      </c>
    </row>
    <row r="16" spans="1:6" x14ac:dyDescent="0.2">
      <c r="A16" s="26" t="s">
        <v>21</v>
      </c>
      <c r="B16" s="61">
        <f>SUM(B7:B15)*0.01</f>
        <v>78365.601746510991</v>
      </c>
      <c r="C16" s="61">
        <f t="shared" ref="C16:F16" si="0">SUM(C7:C15)*0.01</f>
        <v>122542.92214148998</v>
      </c>
      <c r="D16" s="61">
        <f t="shared" si="0"/>
        <v>122542.92214148998</v>
      </c>
      <c r="E16" s="61">
        <f t="shared" si="0"/>
        <v>122641.83366973998</v>
      </c>
      <c r="F16" s="61">
        <f t="shared" si="0"/>
        <v>122641.83366973998</v>
      </c>
    </row>
    <row r="17" spans="1:10" x14ac:dyDescent="0.2">
      <c r="A17" s="24" t="s">
        <v>108</v>
      </c>
      <c r="B17" s="260">
        <f>SUM($B$7:$B$16)</f>
        <v>7914925.7763976101</v>
      </c>
      <c r="C17" s="260">
        <f>SUM($C$7:$C$16)</f>
        <v>12376835.136290489</v>
      </c>
      <c r="D17" s="260">
        <f>SUM($D$7:$D$16)</f>
        <v>12376835.136290489</v>
      </c>
      <c r="E17" s="260">
        <f>SUM($E$7:$E$16)</f>
        <v>12386825.200643739</v>
      </c>
      <c r="F17" s="260">
        <f>SUM($F$7:$F$16)</f>
        <v>12386825.200643739</v>
      </c>
    </row>
    <row r="18" spans="1:10" x14ac:dyDescent="0.2">
      <c r="A18" s="63"/>
      <c r="B18" s="64"/>
      <c r="C18" s="64"/>
      <c r="D18" s="64"/>
      <c r="E18" s="64"/>
      <c r="F18" s="65"/>
    </row>
    <row r="19" spans="1:10" x14ac:dyDescent="0.2">
      <c r="A19" s="66" t="s">
        <v>109</v>
      </c>
      <c r="B19" s="262">
        <f>((B11+B15)/B17*100)/100</f>
        <v>7.0152976248466906E-2</v>
      </c>
      <c r="C19" s="262">
        <f t="shared" ref="C19:F19" si="1">((C11+C15)/C17*100)/100</f>
        <v>4.8342374557905486E-2</v>
      </c>
      <c r="D19" s="262">
        <f t="shared" si="1"/>
        <v>4.8342374557905486E-2</v>
      </c>
      <c r="E19" s="262">
        <f t="shared" si="1"/>
        <v>4.8303386082246907E-2</v>
      </c>
      <c r="F19" s="262">
        <f t="shared" si="1"/>
        <v>4.8303386082246907E-2</v>
      </c>
    </row>
    <row r="20" spans="1:10" ht="13.5" thickBot="1" x14ac:dyDescent="0.25">
      <c r="A20" s="34" t="s">
        <v>110</v>
      </c>
      <c r="B20" s="261">
        <f>((B7+B8+B10+B12+B13+B14+B16)/B17*100)/100</f>
        <v>0.92984702375153316</v>
      </c>
      <c r="C20" s="261">
        <f t="shared" ref="C20:F20" si="2">((C7+C8+C10+C12+C13+C14+C16)/C17*100)/100</f>
        <v>0.95165762544209453</v>
      </c>
      <c r="D20" s="261">
        <f t="shared" si="2"/>
        <v>0.95165762544209453</v>
      </c>
      <c r="E20" s="261">
        <f t="shared" si="2"/>
        <v>0.95169661391775318</v>
      </c>
      <c r="F20" s="261">
        <f t="shared" si="2"/>
        <v>0.95169661391775318</v>
      </c>
    </row>
    <row r="21" spans="1:10" ht="14.25" thickTop="1" thickBot="1" x14ac:dyDescent="0.25"/>
    <row r="22" spans="1:10" ht="13.5" thickTop="1" x14ac:dyDescent="0.2">
      <c r="A22" s="69"/>
      <c r="B22" s="265" t="s">
        <v>111</v>
      </c>
      <c r="C22" s="265"/>
      <c r="D22" s="265"/>
      <c r="E22" s="265"/>
      <c r="F22" s="265"/>
      <c r="G22" s="266"/>
    </row>
    <row r="23" spans="1:10" ht="14.25" x14ac:dyDescent="0.2">
      <c r="A23" s="58"/>
      <c r="B23" s="267" t="s">
        <v>112</v>
      </c>
      <c r="C23" s="267"/>
      <c r="D23" s="267"/>
      <c r="E23" s="267"/>
      <c r="F23" s="267"/>
      <c r="G23" s="268" t="s">
        <v>113</v>
      </c>
      <c r="I23" s="259"/>
    </row>
    <row r="24" spans="1:10" ht="13.5" thickBot="1" x14ac:dyDescent="0.25">
      <c r="A24" s="58" t="s">
        <v>94</v>
      </c>
      <c r="B24" s="70" t="s">
        <v>54</v>
      </c>
      <c r="C24" s="70" t="s">
        <v>95</v>
      </c>
      <c r="D24" s="70" t="s">
        <v>96</v>
      </c>
      <c r="E24" s="70" t="s">
        <v>97</v>
      </c>
      <c r="F24" s="70" t="s">
        <v>98</v>
      </c>
      <c r="G24" s="71" t="s">
        <v>54</v>
      </c>
    </row>
    <row r="25" spans="1:10" ht="15" thickTop="1" x14ac:dyDescent="0.2">
      <c r="A25" s="22" t="s">
        <v>99</v>
      </c>
      <c r="B25" s="59">
        <f>1341.8*[1]Hoja1!$B$77</f>
        <v>115942.25439999999</v>
      </c>
      <c r="C25" s="59">
        <f>1341.8*[1]Hoja1!$B$77</f>
        <v>115942.25439999999</v>
      </c>
      <c r="D25" s="59">
        <f>1341.8*[1]Hoja1!$B$77</f>
        <v>115942.25439999999</v>
      </c>
      <c r="E25" s="59">
        <f>1341.8*[1]Hoja1!$B$77</f>
        <v>115942.25439999999</v>
      </c>
      <c r="F25" s="59">
        <f>1341.8*[1]Hoja1!$B$77</f>
        <v>115942.25439999999</v>
      </c>
      <c r="G25" s="60">
        <f>32643*1.436</f>
        <v>46875.347999999998</v>
      </c>
      <c r="H25" s="16" t="s">
        <v>449</v>
      </c>
      <c r="I25" s="259" t="s">
        <v>451</v>
      </c>
      <c r="J25" s="263"/>
    </row>
    <row r="26" spans="1:10" x14ac:dyDescent="0.2">
      <c r="A26" s="26" t="s">
        <v>100</v>
      </c>
      <c r="B26" s="61">
        <f>((1341.8/1.1436)*($C$8/115862))/2</f>
        <v>270.89214135408486</v>
      </c>
      <c r="C26" s="61">
        <f>((1341.8/1.1436)*($C$8/115862))/2</f>
        <v>270.89214135408486</v>
      </c>
      <c r="D26" s="61">
        <f>((1341.8/1.1436)*($C$8/115862))/2</f>
        <v>270.89214135408486</v>
      </c>
      <c r="E26" s="61">
        <f>((1341.8/1.1436)*($C$8/115862))/2</f>
        <v>270.89214135408486</v>
      </c>
      <c r="F26" s="61">
        <f>((1341.8/1.1436)*($C$8/115862))/2</f>
        <v>270.89214135408486</v>
      </c>
      <c r="G26" s="61">
        <f t="shared" ref="G26" si="3">((1341.8/1.1436)*($C$8/115862))/2</f>
        <v>270.89214135408486</v>
      </c>
      <c r="I26" s="16" t="s">
        <v>452</v>
      </c>
    </row>
    <row r="27" spans="1:10" x14ac:dyDescent="0.2">
      <c r="A27" s="26" t="s">
        <v>101</v>
      </c>
      <c r="B27" s="27"/>
      <c r="C27" s="27"/>
      <c r="D27" s="27"/>
      <c r="E27" s="27"/>
      <c r="F27" s="27"/>
      <c r="G27" s="44"/>
      <c r="I27" s="16" t="s">
        <v>453</v>
      </c>
    </row>
    <row r="28" spans="1:10" ht="14.25" x14ac:dyDescent="0.2">
      <c r="A28" s="26" t="s">
        <v>102</v>
      </c>
      <c r="B28" s="61">
        <f>(B10/[1]Hoja1!F104)*((1341.8/1.1436)/2)</f>
        <v>1663.3209378875192</v>
      </c>
      <c r="C28" s="61">
        <f>($C$10/[1]InfoInicial!B19)*((1341.8/1.1436)/2)</f>
        <v>1247.4978814418164</v>
      </c>
      <c r="D28" s="61">
        <f>($C$10/[1]InfoInicial!B19)*((1341.8/1.1436)/2)</f>
        <v>1247.4978814418164</v>
      </c>
      <c r="E28" s="61">
        <f>($E$10/[1]InfoInicial!B19)*((1341.8/1.1436)/2)</f>
        <v>1246.0320258357981</v>
      </c>
      <c r="F28" s="61">
        <f>($E$10/[1]InfoInicial!B19)*((1341.8/1.1436)/2)</f>
        <v>1246.0320258357981</v>
      </c>
      <c r="G28" s="62"/>
      <c r="I28" s="264"/>
      <c r="J28" s="259"/>
    </row>
    <row r="29" spans="1:10" x14ac:dyDescent="0.2">
      <c r="A29" s="26" t="s">
        <v>103</v>
      </c>
      <c r="B29" s="61">
        <f>[1]Hoja1!B106</f>
        <v>118639.74591814814</v>
      </c>
      <c r="C29" s="61">
        <f>[1]Hoja1!$B$105</f>
        <v>98867.0238065718</v>
      </c>
      <c r="D29" s="61">
        <f>[1]Hoja1!$B$105</f>
        <v>98867.0238065718</v>
      </c>
      <c r="E29" s="61">
        <f>[1]Hoja1!$B$105</f>
        <v>98867.0238065718</v>
      </c>
      <c r="F29" s="61">
        <f>[1]Hoja1!$B$105</f>
        <v>98867.0238065718</v>
      </c>
      <c r="G29" s="62"/>
      <c r="I29" s="16" t="s">
        <v>470</v>
      </c>
    </row>
    <row r="30" spans="1:10" x14ac:dyDescent="0.2">
      <c r="A30" s="26" t="s">
        <v>104</v>
      </c>
      <c r="B30" s="61">
        <f>((C12/115862)*(1341.8/1.1436))/2</f>
        <v>1373.9043644472779</v>
      </c>
      <c r="C30" s="61">
        <f>(($C$12/115862)*(1341.8/1.1436))/2</f>
        <v>1373.9043644472779</v>
      </c>
      <c r="D30" s="61">
        <f>(($C$12/115862)*(1341.8/1.1436))/2</f>
        <v>1373.9043644472779</v>
      </c>
      <c r="E30" s="61">
        <f>(($E$12/115862)*(1341.8/1.1436))/2</f>
        <v>1425.4531278892734</v>
      </c>
      <c r="F30" s="61">
        <f>(($E$12/115862)*(1341.8/1.1436))/2</f>
        <v>1425.4531278892734</v>
      </c>
      <c r="G30" s="62">
        <f>[1]Hoja1!B114</f>
        <v>39325.930134739094</v>
      </c>
    </row>
    <row r="31" spans="1:10" x14ac:dyDescent="0.2">
      <c r="A31" s="26" t="s">
        <v>114</v>
      </c>
      <c r="B31" s="61">
        <f>C31*1.1</f>
        <v>231.89965742788178</v>
      </c>
      <c r="C31" s="61">
        <f>(($C$13/[1]InfoInicial!$B$19)*[1]Hoja1!$F$102)/2</f>
        <v>210.81787038898341</v>
      </c>
      <c r="D31" s="61">
        <f>(($C$13/[1]InfoInicial!$B$19)*[1]Hoja1!$F$102)/2</f>
        <v>210.81787038898341</v>
      </c>
      <c r="E31" s="61">
        <f>(($C$13/[1]InfoInicial!$B$19)*[1]Hoja1!$F$102)/2</f>
        <v>210.81787038898341</v>
      </c>
      <c r="F31" s="61">
        <f>(($C$13/[1]InfoInicial!$B$19)*[1]Hoja1!$F$102)/2</f>
        <v>210.81787038898341</v>
      </c>
      <c r="G31" s="62">
        <f>B31*8</f>
        <v>1855.1972594230542</v>
      </c>
    </row>
    <row r="32" spans="1:10" x14ac:dyDescent="0.2">
      <c r="A32" s="26" t="s">
        <v>115</v>
      </c>
      <c r="B32" s="61">
        <f>[1]Hoja1!$E$79</f>
        <v>154.79637735739328</v>
      </c>
      <c r="C32" s="61">
        <f>[1]Hoja1!$E$79</f>
        <v>154.79637735739328</v>
      </c>
      <c r="D32" s="61">
        <f>[1]Hoja1!$E$79</f>
        <v>154.79637735739328</v>
      </c>
      <c r="E32" s="61">
        <f>[1]Hoja1!$E$79</f>
        <v>154.79637735739328</v>
      </c>
      <c r="F32" s="61">
        <f>[1]Hoja1!$E$79</f>
        <v>154.79637735739328</v>
      </c>
      <c r="G32" s="62">
        <f>[1]Hoja1!E80</f>
        <v>5959.3916915521704</v>
      </c>
    </row>
    <row r="33" spans="1:7" x14ac:dyDescent="0.2">
      <c r="A33" s="26" t="s">
        <v>116</v>
      </c>
      <c r="B33" s="61">
        <f>[1]Hoja1!B118</f>
        <v>1124.0795981307426</v>
      </c>
      <c r="C33" s="61">
        <f>[1]Hoja1!$B$117</f>
        <v>848.7562192479121</v>
      </c>
      <c r="D33" s="61">
        <f>[1]Hoja1!$B$117</f>
        <v>848.7562192479121</v>
      </c>
      <c r="E33" s="61">
        <f>[1]Hoja1!$B$117</f>
        <v>848.7562192479121</v>
      </c>
      <c r="F33" s="61">
        <f>[1]Hoja1!$B$117</f>
        <v>848.7562192479121</v>
      </c>
      <c r="G33" s="62"/>
    </row>
    <row r="34" spans="1:7" x14ac:dyDescent="0.2">
      <c r="A34" s="26" t="s">
        <v>117</v>
      </c>
      <c r="B34" s="61">
        <f>SUM(B25:B33)*0.01</f>
        <v>2394.0089339475303</v>
      </c>
      <c r="C34" s="61">
        <f t="shared" ref="C34:F34" si="4">SUM(C25:C33)*0.01</f>
        <v>2189.1594306080924</v>
      </c>
      <c r="D34" s="61">
        <f t="shared" si="4"/>
        <v>2189.1594306080924</v>
      </c>
      <c r="E34" s="61">
        <f t="shared" si="4"/>
        <v>2189.6602596864523</v>
      </c>
      <c r="F34" s="61">
        <f t="shared" si="4"/>
        <v>2189.6602596864523</v>
      </c>
      <c r="G34" s="62"/>
    </row>
    <row r="35" spans="1:7" ht="13.5" thickBot="1" x14ac:dyDescent="0.25">
      <c r="A35" s="34" t="s">
        <v>118</v>
      </c>
      <c r="B35" s="67">
        <f>SUM($B$25:$B$34)</f>
        <v>241794.90232870058</v>
      </c>
      <c r="C35" s="67">
        <f>SUM($C$25:$C$34)</f>
        <v>221105.10249141735</v>
      </c>
      <c r="D35" s="67">
        <f>SUM($D$25:$D$34)</f>
        <v>221105.10249141735</v>
      </c>
      <c r="E35" s="67">
        <f>SUM($E$25:$E$34)</f>
        <v>221155.68622833167</v>
      </c>
      <c r="F35" s="67">
        <f>SUM($F$25:$F$34)</f>
        <v>221155.68622833167</v>
      </c>
      <c r="G35" s="67">
        <f>SUM(G25:G34)</f>
        <v>94286.759227068411</v>
      </c>
    </row>
    <row r="36" spans="1:7" ht="14.25" thickTop="1" thickBot="1" x14ac:dyDescent="0.25">
      <c r="A36" s="72"/>
      <c r="B36" s="73"/>
      <c r="C36" s="73"/>
      <c r="D36" s="73"/>
      <c r="E36" s="73"/>
      <c r="F36" s="73"/>
      <c r="G36" s="73"/>
    </row>
    <row r="37" spans="1:7" ht="13.5" thickTop="1" x14ac:dyDescent="0.2">
      <c r="A37" s="36"/>
      <c r="B37" s="74" t="s">
        <v>119</v>
      </c>
      <c r="C37" s="74"/>
      <c r="D37" s="74"/>
      <c r="E37" s="74"/>
      <c r="F37" s="75"/>
    </row>
    <row r="38" spans="1:7" ht="13.5" thickBot="1" x14ac:dyDescent="0.25">
      <c r="A38" s="34"/>
      <c r="B38" s="70" t="s">
        <v>54</v>
      </c>
      <c r="C38" s="70" t="s">
        <v>95</v>
      </c>
      <c r="D38" s="70" t="s">
        <v>96</v>
      </c>
      <c r="E38" s="70" t="s">
        <v>97</v>
      </c>
      <c r="F38" s="21" t="s">
        <v>98</v>
      </c>
      <c r="G38" s="73"/>
    </row>
    <row r="39" spans="1:7" ht="13.5" thickTop="1" x14ac:dyDescent="0.2">
      <c r="A39" s="40" t="s">
        <v>108</v>
      </c>
      <c r="B39" s="260">
        <f>SUM($B$7:$B$16)</f>
        <v>7914925.7763976101</v>
      </c>
      <c r="C39" s="260">
        <f>SUM($C$7:$C$16)</f>
        <v>12376835.136290489</v>
      </c>
      <c r="D39" s="260">
        <f>SUM($D$7:$D$16)</f>
        <v>12376835.136290489</v>
      </c>
      <c r="E39" s="260">
        <f>SUM($E$7:$E$16)</f>
        <v>12386825.200643739</v>
      </c>
      <c r="F39" s="260">
        <f>SUM($F$7:$F$16)</f>
        <v>12386825.200643739</v>
      </c>
      <c r="G39" s="73"/>
    </row>
    <row r="40" spans="1:7" x14ac:dyDescent="0.2">
      <c r="A40" s="26" t="s">
        <v>120</v>
      </c>
      <c r="B40" s="61"/>
      <c r="C40" s="61"/>
      <c r="D40" s="61"/>
      <c r="E40" s="61"/>
      <c r="F40" s="44"/>
      <c r="G40" s="73"/>
    </row>
    <row r="41" spans="1:7" x14ac:dyDescent="0.2">
      <c r="A41" s="26" t="s">
        <v>121</v>
      </c>
      <c r="B41" s="61">
        <f>G35</f>
        <v>94286.759227068411</v>
      </c>
      <c r="C41" s="61"/>
      <c r="D41" s="61"/>
      <c r="E41" s="61"/>
      <c r="F41" s="44"/>
      <c r="G41" s="73"/>
    </row>
    <row r="42" spans="1:7" x14ac:dyDescent="0.2">
      <c r="A42" s="26" t="s">
        <v>122</v>
      </c>
      <c r="B42" s="61">
        <f>B35-0</f>
        <v>241794.90232870058</v>
      </c>
      <c r="C42" s="61">
        <f>C35-B35</f>
        <v>-20689.799837283237</v>
      </c>
      <c r="D42" s="61">
        <f>D35-C35</f>
        <v>0</v>
      </c>
      <c r="E42" s="61">
        <f>E35-D35</f>
        <v>50.583736914326437</v>
      </c>
      <c r="F42" s="62">
        <f>F35-E35</f>
        <v>0</v>
      </c>
      <c r="G42" s="73"/>
    </row>
    <row r="43" spans="1:7" x14ac:dyDescent="0.2">
      <c r="A43" s="24" t="s">
        <v>123</v>
      </c>
      <c r="B43" s="61">
        <f>B39-B41-B42</f>
        <v>7578844.1148418412</v>
      </c>
      <c r="C43" s="61">
        <f>C39-C42</f>
        <v>12397524.936127773</v>
      </c>
      <c r="D43" s="61">
        <f t="shared" ref="D43:F43" si="5">D39-D42</f>
        <v>12376835.136290489</v>
      </c>
      <c r="E43" s="61">
        <f t="shared" si="5"/>
        <v>12386774.616906824</v>
      </c>
      <c r="F43" s="61">
        <f t="shared" si="5"/>
        <v>12386825.200643739</v>
      </c>
      <c r="G43" s="73"/>
    </row>
    <row r="44" spans="1:7" x14ac:dyDescent="0.2">
      <c r="A44" s="66" t="s">
        <v>124</v>
      </c>
      <c r="B44" s="76">
        <f>B43/[1]Hoja1!F104</f>
        <v>87.216406951239293</v>
      </c>
      <c r="C44" s="76">
        <f>C43/[1]InfoInicial!$B$19</f>
        <v>107.00251105735938</v>
      </c>
      <c r="D44" s="76">
        <f>D43/[1]InfoInicial!$B$19</f>
        <v>106.82393827389902</v>
      </c>
      <c r="E44" s="76">
        <f>E43/[1]InfoInicial!$B$19</f>
        <v>106.90972550885384</v>
      </c>
      <c r="F44" s="76">
        <f>F43/[1]InfoInicial!$B$19</f>
        <v>106.91016209493827</v>
      </c>
      <c r="G44" s="73"/>
    </row>
    <row r="45" spans="1:7" x14ac:dyDescent="0.2">
      <c r="A45" s="66"/>
      <c r="B45" s="76"/>
      <c r="C45" s="76"/>
      <c r="D45" s="76"/>
      <c r="E45" s="76"/>
      <c r="F45" s="77"/>
      <c r="G45" s="73"/>
    </row>
    <row r="46" spans="1:7" x14ac:dyDescent="0.2">
      <c r="A46" s="66" t="s">
        <v>109</v>
      </c>
      <c r="B46" s="78">
        <f>((B29+B33)/B35*100)/100</f>
        <v>0.4953116230443505</v>
      </c>
      <c r="C46" s="78">
        <f t="shared" ref="C46:F46" si="6">((C29+C33)/C35*100)/100</f>
        <v>0.45098814501438467</v>
      </c>
      <c r="D46" s="78">
        <f t="shared" si="6"/>
        <v>0.45098814501438467</v>
      </c>
      <c r="E46" s="78">
        <f t="shared" si="6"/>
        <v>0.45088499294957485</v>
      </c>
      <c r="F46" s="78">
        <f t="shared" si="6"/>
        <v>0.45088499294957485</v>
      </c>
      <c r="G46" s="73"/>
    </row>
    <row r="47" spans="1:7" ht="13.5" thickBot="1" x14ac:dyDescent="0.25">
      <c r="A47" s="34" t="s">
        <v>110</v>
      </c>
      <c r="B47" s="79">
        <f>((B25+B26+B28+B30+B31+B32+B34)/B35*100)/100</f>
        <v>0.50468837695564939</v>
      </c>
      <c r="C47" s="79">
        <f t="shared" ref="C47:F47" si="7">((C25+C26+C28+C30+C31+C32+C34)/C35*100)/100</f>
        <v>0.54901185498561533</v>
      </c>
      <c r="D47" s="79">
        <f t="shared" si="7"/>
        <v>0.54901185498561533</v>
      </c>
      <c r="E47" s="79">
        <f t="shared" si="7"/>
        <v>0.54911500705042515</v>
      </c>
      <c r="F47" s="79">
        <f t="shared" si="7"/>
        <v>0.54911500705042515</v>
      </c>
      <c r="G47" s="73"/>
    </row>
    <row r="48" spans="1:7" ht="13.5" thickTop="1" x14ac:dyDescent="0.2"/>
    <row r="49" spans="1:7" ht="13.5" thickBot="1" x14ac:dyDescent="0.25"/>
    <row r="50" spans="1:7" ht="13.5" thickTop="1" x14ac:dyDescent="0.2">
      <c r="A50" s="32"/>
      <c r="B50" s="265" t="s">
        <v>125</v>
      </c>
      <c r="C50" s="265"/>
      <c r="D50" s="265"/>
      <c r="E50" s="265"/>
      <c r="F50" s="266"/>
    </row>
    <row r="51" spans="1:7" ht="13.5" thickBot="1" x14ac:dyDescent="0.25">
      <c r="A51" s="81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</row>
    <row r="52" spans="1:7" ht="13.5" thickTop="1" x14ac:dyDescent="0.2">
      <c r="A52" s="69" t="s">
        <v>126</v>
      </c>
      <c r="B52" s="82">
        <f>[1]Hoja1!$E$90+[1]Hoja1!$E$91/2</f>
        <v>1320000</v>
      </c>
      <c r="C52" s="82">
        <f>[1]Hoja1!$E$90+[1]Hoja1!$E$91/2</f>
        <v>1320000</v>
      </c>
      <c r="D52" s="82">
        <f>[1]Hoja1!$E$90+[1]Hoja1!$E$91/2</f>
        <v>1320000</v>
      </c>
      <c r="E52" s="82">
        <f>[1]Hoja1!$E$90+[1]Hoja1!$E$91/2</f>
        <v>1320000</v>
      </c>
      <c r="F52" s="82">
        <f>[1]Hoja1!$E$90+[1]Hoja1!$E$91/2</f>
        <v>1320000</v>
      </c>
    </row>
    <row r="53" spans="1:7" x14ac:dyDescent="0.2">
      <c r="A53" s="26" t="s">
        <v>127</v>
      </c>
      <c r="B53" s="61">
        <f>'[1]E-Inv AF y Am'!$D$56*0.06</f>
        <v>16425.020999999997</v>
      </c>
      <c r="C53" s="61">
        <f>'[1]E-Inv AF y Am'!$D$56*0.06</f>
        <v>16425.020999999997</v>
      </c>
      <c r="D53" s="61">
        <f>'[1]E-Inv AF y Am'!$D$56*0.06</f>
        <v>16425.020999999997</v>
      </c>
      <c r="E53" s="61">
        <f>'[1]E-Inv AF y Am'!$E$56*0.06</f>
        <v>16405.721000000001</v>
      </c>
      <c r="F53" s="61">
        <f>'[1]E-Inv AF y Am'!$E$56*0.06</f>
        <v>16405.721000000001</v>
      </c>
    </row>
    <row r="54" spans="1:7" x14ac:dyDescent="0.2">
      <c r="A54" s="26" t="s">
        <v>104</v>
      </c>
      <c r="B54" s="61">
        <f>[1]Hoja1!$B$126*0.9</f>
        <v>4563</v>
      </c>
      <c r="C54" s="61">
        <f>[1]Hoja1!$B$126</f>
        <v>5070</v>
      </c>
      <c r="D54" s="61">
        <f>[1]Hoja1!$B$126</f>
        <v>5070</v>
      </c>
      <c r="E54" s="61">
        <f>[1]Hoja1!$B$126</f>
        <v>5070</v>
      </c>
      <c r="F54" s="61">
        <f>[1]Hoja1!$B$126</f>
        <v>5070</v>
      </c>
    </row>
    <row r="55" spans="1:7" x14ac:dyDescent="0.2">
      <c r="A55" s="26" t="s">
        <v>128</v>
      </c>
      <c r="B55" s="61">
        <f>C55*0.95</f>
        <v>1977.6908641499999</v>
      </c>
      <c r="C55" s="61">
        <f>[1]Hoja1!$B$128</f>
        <v>2081.779857</v>
      </c>
      <c r="D55" s="61">
        <f>[1]Hoja1!$B$128</f>
        <v>2081.779857</v>
      </c>
      <c r="E55" s="61">
        <f>[1]Hoja1!$B$128</f>
        <v>2081.779857</v>
      </c>
      <c r="F55" s="61">
        <f>[1]Hoja1!$B$128</f>
        <v>2081.779857</v>
      </c>
    </row>
    <row r="56" spans="1:7" x14ac:dyDescent="0.2">
      <c r="A56" s="26" t="s">
        <v>129</v>
      </c>
      <c r="B56" s="61">
        <v>0</v>
      </c>
      <c r="C56" s="61">
        <v>0</v>
      </c>
      <c r="D56" s="61">
        <v>0</v>
      </c>
      <c r="E56" s="61">
        <v>0</v>
      </c>
      <c r="F56" s="62">
        <v>0</v>
      </c>
    </row>
    <row r="57" spans="1:7" x14ac:dyDescent="0.2">
      <c r="A57" s="26" t="s">
        <v>130</v>
      </c>
      <c r="B57" s="61">
        <v>0</v>
      </c>
      <c r="C57" s="61">
        <v>0</v>
      </c>
      <c r="D57" s="61">
        <v>0</v>
      </c>
      <c r="E57" s="61">
        <v>0</v>
      </c>
      <c r="F57" s="62">
        <v>0</v>
      </c>
    </row>
    <row r="58" spans="1:7" x14ac:dyDescent="0.2">
      <c r="A58" s="26" t="s">
        <v>107</v>
      </c>
      <c r="B58" s="61">
        <f>B15*0.05/0.9</f>
        <v>9312.5333333333347</v>
      </c>
      <c r="C58" s="61">
        <f t="shared" ref="C58:F58" si="8">C15*0.05/0.9</f>
        <v>9312.5333333333347</v>
      </c>
      <c r="D58" s="61">
        <f t="shared" si="8"/>
        <v>9312.5333333333347</v>
      </c>
      <c r="E58" s="61">
        <f t="shared" si="8"/>
        <v>9312.5333333333347</v>
      </c>
      <c r="F58" s="61">
        <f t="shared" si="8"/>
        <v>9312.5333333333347</v>
      </c>
    </row>
    <row r="59" spans="1:7" x14ac:dyDescent="0.2">
      <c r="A59" s="26" t="s">
        <v>21</v>
      </c>
      <c r="B59" s="61">
        <f>SUM(B52:B58)*0.01</f>
        <v>13522.782451974834</v>
      </c>
      <c r="C59" s="61">
        <f t="shared" ref="C59:F59" si="9">SUM(C52:C58)*0.01</f>
        <v>13528.893341903335</v>
      </c>
      <c r="D59" s="61">
        <f t="shared" si="9"/>
        <v>13528.893341903335</v>
      </c>
      <c r="E59" s="61">
        <f t="shared" si="9"/>
        <v>13528.700341903335</v>
      </c>
      <c r="F59" s="61">
        <f t="shared" si="9"/>
        <v>13528.700341903335</v>
      </c>
    </row>
    <row r="60" spans="1:7" x14ac:dyDescent="0.2">
      <c r="A60" s="26"/>
      <c r="B60" s="46"/>
      <c r="C60" s="46"/>
      <c r="D60" s="46"/>
      <c r="E60" s="46"/>
      <c r="F60" s="48"/>
    </row>
    <row r="61" spans="1:7" x14ac:dyDescent="0.2">
      <c r="A61" s="24" t="s">
        <v>131</v>
      </c>
      <c r="B61" s="61">
        <f>SUM(B52:B59)</f>
        <v>1365801.0276494583</v>
      </c>
      <c r="C61" s="61">
        <f t="shared" ref="C61:F61" si="10">SUM(C52:C59)</f>
        <v>1366418.2275322368</v>
      </c>
      <c r="D61" s="61">
        <f t="shared" si="10"/>
        <v>1366418.2275322368</v>
      </c>
      <c r="E61" s="61">
        <f t="shared" si="10"/>
        <v>1366398.7345322368</v>
      </c>
      <c r="F61" s="61">
        <f t="shared" si="10"/>
        <v>1366398.7345322368</v>
      </c>
    </row>
    <row r="62" spans="1:7" x14ac:dyDescent="0.2">
      <c r="A62" s="24"/>
      <c r="B62" s="84"/>
      <c r="C62" s="84"/>
      <c r="D62" s="84"/>
      <c r="E62" s="84"/>
      <c r="F62" s="85"/>
      <c r="G62" s="73"/>
    </row>
    <row r="63" spans="1:7" x14ac:dyDescent="0.2">
      <c r="A63" s="66" t="s">
        <v>109</v>
      </c>
      <c r="B63" s="86">
        <f>((B52+B58)/B61*100)/100</f>
        <v>0.97328418006909734</v>
      </c>
      <c r="C63" s="86">
        <f t="shared" ref="C63:F63" si="11">((C52+C58)/C61*100)/100</f>
        <v>0.97284455560438721</v>
      </c>
      <c r="D63" s="86">
        <f t="shared" si="11"/>
        <v>0.97284455560438721</v>
      </c>
      <c r="E63" s="86">
        <f t="shared" si="11"/>
        <v>0.97285843417324358</v>
      </c>
      <c r="F63" s="86">
        <f t="shared" si="11"/>
        <v>0.97285843417324358</v>
      </c>
      <c r="G63" s="73"/>
    </row>
    <row r="64" spans="1:7" ht="13.5" thickBot="1" x14ac:dyDescent="0.25">
      <c r="A64" s="34" t="s">
        <v>110</v>
      </c>
      <c r="B64" s="79">
        <f>((B53+B54+B55+B59)/B61*100)/100</f>
        <v>2.6715819930902732E-2</v>
      </c>
      <c r="C64" s="79">
        <f t="shared" ref="C64:F64" si="12">((C53+C54+C55+C59)/C61*100)/100</f>
        <v>2.7155444395612714E-2</v>
      </c>
      <c r="D64" s="79">
        <f t="shared" si="12"/>
        <v>2.7155444395612714E-2</v>
      </c>
      <c r="E64" s="79">
        <f t="shared" si="12"/>
        <v>2.7141565826756388E-2</v>
      </c>
      <c r="F64" s="79">
        <f t="shared" si="12"/>
        <v>2.7141565826756388E-2</v>
      </c>
      <c r="G64" s="73"/>
    </row>
    <row r="65" spans="1:6" ht="13.5" thickTop="1" x14ac:dyDescent="0.2"/>
    <row r="66" spans="1:6" ht="13.5" thickBot="1" x14ac:dyDescent="0.25"/>
    <row r="67" spans="1:6" ht="13.5" thickTop="1" x14ac:dyDescent="0.2">
      <c r="A67" s="32"/>
      <c r="B67" s="265" t="s">
        <v>132</v>
      </c>
      <c r="C67" s="265"/>
      <c r="D67" s="265"/>
      <c r="E67" s="265"/>
      <c r="F67" s="266"/>
    </row>
    <row r="68" spans="1:6" ht="13.5" thickBot="1" x14ac:dyDescent="0.25">
      <c r="A68" s="81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</row>
    <row r="69" spans="1:6" ht="13.5" thickTop="1" x14ac:dyDescent="0.2">
      <c r="A69" s="22" t="s">
        <v>126</v>
      </c>
      <c r="B69" s="59">
        <f>[1]Hoja1!$E$90+[1]Hoja1!$E$91/2</f>
        <v>1320000</v>
      </c>
      <c r="C69" s="59">
        <f>[1]Hoja1!$E$90+[1]Hoja1!$E$91/2</f>
        <v>1320000</v>
      </c>
      <c r="D69" s="59">
        <f>[1]Hoja1!$E$90+[1]Hoja1!$E$91/2</f>
        <v>1320000</v>
      </c>
      <c r="E69" s="59">
        <f>[1]Hoja1!$E$90+[1]Hoja1!$E$91/2</f>
        <v>1320000</v>
      </c>
      <c r="F69" s="59">
        <f>[1]Hoja1!$E$90+[1]Hoja1!$E$91/2</f>
        <v>1320000</v>
      </c>
    </row>
    <row r="70" spans="1:6" x14ac:dyDescent="0.2">
      <c r="A70" s="26" t="s">
        <v>127</v>
      </c>
      <c r="B70" s="61">
        <f>'[1]E-Inv AF y Am'!$D$56*0.04</f>
        <v>10950.013999999999</v>
      </c>
      <c r="C70" s="61">
        <f>'[1]E-Inv AF y Am'!$D$56*0.04</f>
        <v>10950.013999999999</v>
      </c>
      <c r="D70" s="61">
        <f>'[1]E-Inv AF y Am'!$D$56*0.04</f>
        <v>10950.013999999999</v>
      </c>
      <c r="E70" s="61">
        <f>'[1]E-Inv AF y Am'!$D$56*0.04</f>
        <v>10950.013999999999</v>
      </c>
      <c r="F70" s="61">
        <f>'[1]E-Inv AF y Am'!$D$56*0.04</f>
        <v>10950.013999999999</v>
      </c>
    </row>
    <row r="71" spans="1:6" x14ac:dyDescent="0.2">
      <c r="A71" s="26" t="s">
        <v>104</v>
      </c>
      <c r="B71" s="61">
        <f>[1]Hoja1!$F$126*0.9</f>
        <v>4563</v>
      </c>
      <c r="C71" s="61">
        <f>[1]Hoja1!$F$126</f>
        <v>5070</v>
      </c>
      <c r="D71" s="61">
        <f>[1]Hoja1!$F$126</f>
        <v>5070</v>
      </c>
      <c r="E71" s="61">
        <f>[1]Hoja1!$F$126</f>
        <v>5070</v>
      </c>
      <c r="F71" s="61">
        <f>[1]Hoja1!$F$126</f>
        <v>5070</v>
      </c>
    </row>
    <row r="72" spans="1:6" x14ac:dyDescent="0.2">
      <c r="A72" s="26" t="s">
        <v>133</v>
      </c>
      <c r="B72" s="61">
        <f>C72*0.95</f>
        <v>1977.6908641499999</v>
      </c>
      <c r="C72" s="61">
        <f>[1]Hoja1!$F$128</f>
        <v>2081.779857</v>
      </c>
      <c r="D72" s="61">
        <f>[1]Hoja1!$F$128</f>
        <v>2081.779857</v>
      </c>
      <c r="E72" s="61">
        <f>[1]Hoja1!$F$128</f>
        <v>2081.779857</v>
      </c>
      <c r="F72" s="61">
        <f>[1]Hoja1!$F$128</f>
        <v>2081.779857</v>
      </c>
    </row>
    <row r="73" spans="1:6" x14ac:dyDescent="0.2">
      <c r="A73" s="26" t="s">
        <v>129</v>
      </c>
      <c r="B73" s="61">
        <v>0</v>
      </c>
      <c r="C73" s="61">
        <v>0</v>
      </c>
      <c r="D73" s="61">
        <v>0</v>
      </c>
      <c r="E73" s="61">
        <v>0</v>
      </c>
      <c r="F73" s="62">
        <v>0</v>
      </c>
    </row>
    <row r="74" spans="1:6" x14ac:dyDescent="0.2">
      <c r="A74" s="26" t="s">
        <v>130</v>
      </c>
      <c r="B74" s="61">
        <v>0</v>
      </c>
      <c r="C74" s="61">
        <v>0</v>
      </c>
      <c r="D74" s="61">
        <v>0</v>
      </c>
      <c r="E74" s="61">
        <v>0</v>
      </c>
      <c r="F74" s="62">
        <v>0</v>
      </c>
    </row>
    <row r="75" spans="1:6" x14ac:dyDescent="0.2">
      <c r="A75" s="26" t="s">
        <v>107</v>
      </c>
      <c r="B75" s="61">
        <f>B15*0.05/0.9</f>
        <v>9312.5333333333347</v>
      </c>
      <c r="C75" s="61">
        <f t="shared" ref="C75:F75" si="13">C15*0.05/0.9</f>
        <v>9312.5333333333347</v>
      </c>
      <c r="D75" s="61">
        <f t="shared" si="13"/>
        <v>9312.5333333333347</v>
      </c>
      <c r="E75" s="61">
        <f t="shared" si="13"/>
        <v>9312.5333333333347</v>
      </c>
      <c r="F75" s="61">
        <f t="shared" si="13"/>
        <v>9312.5333333333347</v>
      </c>
    </row>
    <row r="76" spans="1:6" x14ac:dyDescent="0.2">
      <c r="A76" s="26" t="s">
        <v>21</v>
      </c>
      <c r="B76" s="61">
        <f>SUM(B69:B75)*0.01</f>
        <v>13468.032381974834</v>
      </c>
      <c r="C76" s="61">
        <f t="shared" ref="C76:F76" si="14">SUM(C69:C75)*0.01</f>
        <v>13474.143271903335</v>
      </c>
      <c r="D76" s="61">
        <f t="shared" si="14"/>
        <v>13474.143271903335</v>
      </c>
      <c r="E76" s="61">
        <f t="shared" si="14"/>
        <v>13474.143271903335</v>
      </c>
      <c r="F76" s="61">
        <f t="shared" si="14"/>
        <v>13474.143271903335</v>
      </c>
    </row>
    <row r="77" spans="1:6" x14ac:dyDescent="0.2">
      <c r="A77" s="26"/>
      <c r="B77" s="46"/>
      <c r="C77" s="46"/>
      <c r="D77" s="46"/>
      <c r="E77" s="46"/>
      <c r="F77" s="46"/>
    </row>
    <row r="78" spans="1:6" x14ac:dyDescent="0.2">
      <c r="A78" s="24" t="s">
        <v>134</v>
      </c>
      <c r="B78" s="61">
        <f>SUM(B69:B76)</f>
        <v>1360271.2705794582</v>
      </c>
      <c r="C78" s="61">
        <f t="shared" ref="C78:F78" si="15">SUM(C69:C76)</f>
        <v>1360888.4704622368</v>
      </c>
      <c r="D78" s="61">
        <f t="shared" si="15"/>
        <v>1360888.4704622368</v>
      </c>
      <c r="E78" s="61">
        <f t="shared" si="15"/>
        <v>1360888.4704622368</v>
      </c>
      <c r="F78" s="61">
        <f t="shared" si="15"/>
        <v>1360888.4704622368</v>
      </c>
    </row>
    <row r="79" spans="1:6" x14ac:dyDescent="0.2">
      <c r="A79" s="24"/>
      <c r="B79" s="84"/>
      <c r="C79" s="84"/>
      <c r="D79" s="84"/>
      <c r="E79" s="84"/>
      <c r="F79" s="85"/>
    </row>
    <row r="80" spans="1:6" x14ac:dyDescent="0.2">
      <c r="A80" s="66" t="s">
        <v>109</v>
      </c>
      <c r="B80" s="86">
        <f>((B69+B75)/B78*100)/100</f>
        <v>0.97724076225403422</v>
      </c>
      <c r="C80" s="86">
        <f t="shared" ref="C80:F80" si="16">((C69+C75)/C78*100)/100</f>
        <v>0.97679755702671334</v>
      </c>
      <c r="D80" s="86">
        <f t="shared" si="16"/>
        <v>0.97679755702671334</v>
      </c>
      <c r="E80" s="86">
        <f t="shared" si="16"/>
        <v>0.97679755702671334</v>
      </c>
      <c r="F80" s="86">
        <f t="shared" si="16"/>
        <v>0.97679755702671334</v>
      </c>
    </row>
    <row r="81" spans="1:6" ht="13.5" thickBot="1" x14ac:dyDescent="0.25">
      <c r="A81" s="34" t="s">
        <v>110</v>
      </c>
      <c r="B81" s="79">
        <f>((B70+B71+B72+B76)/B78*100)/100</f>
        <v>2.2759237745965777E-2</v>
      </c>
      <c r="C81" s="79">
        <f t="shared" ref="C81:F81" si="17">((C70+C71+C72+C76)/C78*100)/100</f>
        <v>2.3202442973286646E-2</v>
      </c>
      <c r="D81" s="79">
        <f t="shared" si="17"/>
        <v>2.3202442973286646E-2</v>
      </c>
      <c r="E81" s="79">
        <f t="shared" si="17"/>
        <v>2.3202442973286646E-2</v>
      </c>
      <c r="F81" s="79">
        <f t="shared" si="17"/>
        <v>2.3202442973286646E-2</v>
      </c>
    </row>
    <row r="82" spans="1:6" ht="13.5" thickTop="1" x14ac:dyDescent="0.2"/>
    <row r="83" spans="1:6" ht="13.5" thickBot="1" x14ac:dyDescent="0.25"/>
    <row r="84" spans="1:6" ht="16.5" thickTop="1" x14ac:dyDescent="0.25">
      <c r="A84" s="88" t="s">
        <v>135</v>
      </c>
      <c r="B84" s="89"/>
      <c r="C84" s="89"/>
      <c r="D84" s="89"/>
      <c r="E84" s="89"/>
      <c r="F84" s="90"/>
    </row>
    <row r="85" spans="1:6" ht="13.5" thickBot="1" x14ac:dyDescent="0.25">
      <c r="A85" s="26"/>
      <c r="B85" s="267" t="s">
        <v>54</v>
      </c>
      <c r="C85" s="267" t="s">
        <v>95</v>
      </c>
      <c r="D85" s="267" t="s">
        <v>96</v>
      </c>
      <c r="E85" s="267" t="s">
        <v>97</v>
      </c>
      <c r="F85" s="21" t="s">
        <v>98</v>
      </c>
    </row>
    <row r="86" spans="1:6" ht="13.5" thickTop="1" x14ac:dyDescent="0.2">
      <c r="A86" s="26" t="s">
        <v>136</v>
      </c>
      <c r="B86" s="91">
        <f>[1]Hoja1!F104</f>
        <v>86897</v>
      </c>
      <c r="C86" s="91">
        <f>[1]InfoInicial!$B$19</f>
        <v>115862</v>
      </c>
      <c r="D86" s="91">
        <f>[1]InfoInicial!$B$19</f>
        <v>115862</v>
      </c>
      <c r="E86" s="91">
        <f>[1]InfoInicial!$B$19</f>
        <v>115862</v>
      </c>
      <c r="F86" s="91">
        <f>[1]InfoInicial!$B$19</f>
        <v>115862</v>
      </c>
    </row>
    <row r="87" spans="1:6" x14ac:dyDescent="0.2">
      <c r="A87" s="26" t="s">
        <v>137</v>
      </c>
      <c r="B87" s="61">
        <v>125</v>
      </c>
      <c r="C87" s="61">
        <v>125</v>
      </c>
      <c r="D87" s="61">
        <v>125</v>
      </c>
      <c r="E87" s="61">
        <v>125</v>
      </c>
      <c r="F87" s="61">
        <v>125</v>
      </c>
    </row>
    <row r="88" spans="1:6" x14ac:dyDescent="0.2">
      <c r="A88" s="24" t="s">
        <v>138</v>
      </c>
      <c r="B88" s="61">
        <f>B86*B87</f>
        <v>10862125</v>
      </c>
      <c r="C88" s="61">
        <f t="shared" ref="C88:F88" si="18">C86*C87</f>
        <v>14482750</v>
      </c>
      <c r="D88" s="61">
        <f t="shared" si="18"/>
        <v>14482750</v>
      </c>
      <c r="E88" s="61">
        <f t="shared" si="18"/>
        <v>14482750</v>
      </c>
      <c r="F88" s="61">
        <f t="shared" si="18"/>
        <v>14482750</v>
      </c>
    </row>
    <row r="89" spans="1:6" x14ac:dyDescent="0.2">
      <c r="A89" s="26"/>
      <c r="B89" s="84"/>
      <c r="C89" s="84"/>
      <c r="D89" s="84"/>
      <c r="E89" s="84"/>
      <c r="F89" s="85"/>
    </row>
    <row r="90" spans="1:6" x14ac:dyDescent="0.2">
      <c r="A90" s="26" t="s">
        <v>139</v>
      </c>
      <c r="B90" s="61">
        <f>B7</f>
        <v>6685058.6096000001</v>
      </c>
      <c r="C90" s="61">
        <f t="shared" ref="C90:F91" si="19">C7</f>
        <v>11012544.0656</v>
      </c>
      <c r="D90" s="61">
        <f t="shared" si="19"/>
        <v>11012544.0656</v>
      </c>
      <c r="E90" s="61">
        <f t="shared" si="19"/>
        <v>11012544.0656</v>
      </c>
      <c r="F90" s="61">
        <f t="shared" si="19"/>
        <v>11012544.0656</v>
      </c>
    </row>
    <row r="91" spans="1:6" x14ac:dyDescent="0.2">
      <c r="A91" s="26" t="s">
        <v>100</v>
      </c>
      <c r="B91" s="61">
        <f>B8</f>
        <v>50825</v>
      </c>
      <c r="C91" s="61">
        <f t="shared" si="19"/>
        <v>53500</v>
      </c>
      <c r="D91" s="61">
        <f t="shared" si="19"/>
        <v>53500</v>
      </c>
      <c r="E91" s="61">
        <f t="shared" si="19"/>
        <v>53500</v>
      </c>
      <c r="F91" s="61">
        <f t="shared" si="19"/>
        <v>53500</v>
      </c>
    </row>
    <row r="92" spans="1:6" x14ac:dyDescent="0.2">
      <c r="A92" s="26" t="s">
        <v>140</v>
      </c>
      <c r="B92" s="61">
        <f>SUM(B10:B16)</f>
        <v>1179042.1667976109</v>
      </c>
      <c r="C92" s="61">
        <f t="shared" ref="C92:F92" si="20">SUM(C10:C16)</f>
        <v>1310791.0706904898</v>
      </c>
      <c r="D92" s="61">
        <f t="shared" si="20"/>
        <v>1310791.0706904898</v>
      </c>
      <c r="E92" s="61">
        <f t="shared" si="20"/>
        <v>1320781.13504374</v>
      </c>
      <c r="F92" s="61">
        <f t="shared" si="20"/>
        <v>1320781.13504374</v>
      </c>
    </row>
    <row r="93" spans="1:6" x14ac:dyDescent="0.2">
      <c r="A93" s="26"/>
      <c r="B93" s="84"/>
      <c r="C93" s="84"/>
      <c r="D93" s="84"/>
      <c r="E93" s="84"/>
      <c r="F93" s="84"/>
    </row>
    <row r="94" spans="1:6" x14ac:dyDescent="0.2">
      <c r="A94" s="26" t="s">
        <v>141</v>
      </c>
      <c r="B94" s="93">
        <f>B17</f>
        <v>7914925.7763976101</v>
      </c>
      <c r="C94" s="93">
        <f t="shared" ref="C94:F94" si="21">C17</f>
        <v>12376835.136290489</v>
      </c>
      <c r="D94" s="93">
        <f t="shared" si="21"/>
        <v>12376835.136290489</v>
      </c>
      <c r="E94" s="93">
        <f t="shared" si="21"/>
        <v>12386825.200643739</v>
      </c>
      <c r="F94" s="93">
        <f t="shared" si="21"/>
        <v>12386825.200643739</v>
      </c>
    </row>
    <row r="95" spans="1:6" x14ac:dyDescent="0.2">
      <c r="A95" s="26"/>
      <c r="B95" s="84"/>
      <c r="C95" s="84"/>
      <c r="D95" s="84"/>
      <c r="E95" s="84"/>
      <c r="F95" s="85"/>
    </row>
    <row r="96" spans="1:6" x14ac:dyDescent="0.2">
      <c r="A96" s="26" t="s">
        <v>120</v>
      </c>
      <c r="B96" s="84"/>
      <c r="C96" s="84"/>
      <c r="D96" s="84"/>
      <c r="E96" s="84"/>
      <c r="F96" s="85"/>
    </row>
    <row r="97" spans="1:6" x14ac:dyDescent="0.2">
      <c r="A97" s="28" t="s">
        <v>113</v>
      </c>
      <c r="B97" s="61">
        <f>G35</f>
        <v>94286.759227068411</v>
      </c>
      <c r="C97" s="61"/>
      <c r="D97" s="61"/>
      <c r="E97" s="61"/>
      <c r="F97" s="62"/>
    </row>
    <row r="98" spans="1:6" x14ac:dyDescent="0.2">
      <c r="A98" s="28" t="s">
        <v>122</v>
      </c>
      <c r="B98" s="61">
        <f>B42</f>
        <v>241794.90232870058</v>
      </c>
      <c r="C98" s="61">
        <f t="shared" ref="C98:E98" si="22">C42</f>
        <v>-20689.799837283237</v>
      </c>
      <c r="D98" s="61">
        <f t="shared" si="22"/>
        <v>0</v>
      </c>
      <c r="E98" s="61">
        <f t="shared" si="22"/>
        <v>50.583736914326437</v>
      </c>
      <c r="F98" s="61">
        <f>F42</f>
        <v>0</v>
      </c>
    </row>
    <row r="99" spans="1:6" x14ac:dyDescent="0.2">
      <c r="A99" s="26"/>
      <c r="B99" s="84"/>
      <c r="C99" s="84"/>
      <c r="D99" s="84"/>
      <c r="E99" s="84"/>
      <c r="F99" s="85"/>
    </row>
    <row r="100" spans="1:6" x14ac:dyDescent="0.2">
      <c r="A100" s="24" t="s">
        <v>142</v>
      </c>
      <c r="B100" s="61">
        <f>B94-B97-B98</f>
        <v>7578844.1148418412</v>
      </c>
      <c r="C100" s="61">
        <f t="shared" ref="C100:F100" si="23">C94-C97-C98</f>
        <v>12397524.936127773</v>
      </c>
      <c r="D100" s="61">
        <f t="shared" si="23"/>
        <v>12376835.136290489</v>
      </c>
      <c r="E100" s="61">
        <f t="shared" si="23"/>
        <v>12386774.616906824</v>
      </c>
      <c r="F100" s="61">
        <f t="shared" si="23"/>
        <v>12386825.200643739</v>
      </c>
    </row>
    <row r="101" spans="1:6" x14ac:dyDescent="0.2">
      <c r="A101" s="28" t="s">
        <v>143</v>
      </c>
      <c r="B101" s="93">
        <f>[1]Hoja1!B134</f>
        <v>91241.33</v>
      </c>
      <c r="C101" s="93">
        <f>C86</f>
        <v>115862</v>
      </c>
      <c r="D101" s="93">
        <f t="shared" ref="D101:F101" si="24">D86</f>
        <v>115862</v>
      </c>
      <c r="E101" s="93">
        <f t="shared" si="24"/>
        <v>115862</v>
      </c>
      <c r="F101" s="93">
        <f t="shared" si="24"/>
        <v>115862</v>
      </c>
    </row>
    <row r="102" spans="1:6" x14ac:dyDescent="0.2">
      <c r="A102" s="26" t="s">
        <v>144</v>
      </c>
      <c r="B102" s="61">
        <f>B100/B101</f>
        <v>83.063718107154301</v>
      </c>
      <c r="C102" s="61">
        <f t="shared" ref="C102:F102" si="25">C100/C101</f>
        <v>107.00251105735938</v>
      </c>
      <c r="D102" s="61">
        <f t="shared" si="25"/>
        <v>106.82393827389902</v>
      </c>
      <c r="E102" s="61">
        <f t="shared" si="25"/>
        <v>106.90972550885384</v>
      </c>
      <c r="F102" s="61">
        <f t="shared" si="25"/>
        <v>106.91016209493827</v>
      </c>
    </row>
    <row r="103" spans="1:6" x14ac:dyDescent="0.2">
      <c r="A103" s="26"/>
      <c r="B103" s="95"/>
      <c r="C103" s="95"/>
      <c r="D103" s="95"/>
      <c r="E103" s="95"/>
      <c r="F103" s="96"/>
    </row>
    <row r="104" spans="1:6" x14ac:dyDescent="0.2">
      <c r="A104" s="26" t="s">
        <v>120</v>
      </c>
      <c r="B104" s="95"/>
      <c r="C104" s="95"/>
      <c r="D104" s="95"/>
      <c r="E104" s="95"/>
      <c r="F104" s="96"/>
    </row>
    <row r="105" spans="1:6" x14ac:dyDescent="0.2">
      <c r="A105" s="26" t="s">
        <v>145</v>
      </c>
      <c r="B105" s="61">
        <f>[1]Hoja1!B135*B102-0</f>
        <v>360856.2024844538</v>
      </c>
      <c r="C105" s="61">
        <f>[1]Hoja1!B135*C102-[1]Hoja1!B135*B102</f>
        <v>103998.01637736446</v>
      </c>
      <c r="D105" s="61">
        <f>[1]Hoja1!B135*D102-[1]Hoja1!B135*C102</f>
        <v>-775.77910037036054</v>
      </c>
      <c r="E105" s="61">
        <f>[1]Hoja1!B135*E102-[1]Hoja1!B135*D102</f>
        <v>372.6880584313185</v>
      </c>
      <c r="F105" s="62">
        <f>[1]Hoja1!B135*F102-[1]Hoja1!B135*E102</f>
        <v>1.8966740241739899</v>
      </c>
    </row>
    <row r="106" spans="1:6" x14ac:dyDescent="0.2">
      <c r="A106" s="26"/>
      <c r="B106" s="95"/>
      <c r="C106" s="95"/>
      <c r="D106" s="95"/>
      <c r="E106" s="95"/>
      <c r="F106" s="96"/>
    </row>
    <row r="107" spans="1:6" x14ac:dyDescent="0.2">
      <c r="A107" s="24" t="s">
        <v>146</v>
      </c>
      <c r="B107" s="61">
        <f>B100+B105</f>
        <v>7939700.3173262952</v>
      </c>
      <c r="C107" s="61">
        <f t="shared" ref="C107:F107" si="26">C100+C105</f>
        <v>12501522.952505138</v>
      </c>
      <c r="D107" s="61">
        <f t="shared" si="26"/>
        <v>12376059.357190119</v>
      </c>
      <c r="E107" s="61">
        <f t="shared" si="26"/>
        <v>12387147.304965256</v>
      </c>
      <c r="F107" s="61">
        <f t="shared" si="26"/>
        <v>12386827.097317763</v>
      </c>
    </row>
    <row r="108" spans="1:6" x14ac:dyDescent="0.2">
      <c r="A108" s="26"/>
      <c r="B108" s="84"/>
      <c r="C108" s="84"/>
      <c r="D108" s="84"/>
      <c r="E108" s="84"/>
      <c r="F108" s="85"/>
    </row>
    <row r="109" spans="1:6" x14ac:dyDescent="0.2">
      <c r="A109" s="24" t="s">
        <v>147</v>
      </c>
      <c r="B109" s="61">
        <f>B61</f>
        <v>1365801.0276494583</v>
      </c>
      <c r="C109" s="61">
        <f t="shared" ref="C109:F109" si="27">C61</f>
        <v>1366418.2275322368</v>
      </c>
      <c r="D109" s="61">
        <f t="shared" si="27"/>
        <v>1366418.2275322368</v>
      </c>
      <c r="E109" s="61">
        <f t="shared" si="27"/>
        <v>1366398.7345322368</v>
      </c>
      <c r="F109" s="61">
        <f t="shared" si="27"/>
        <v>1366398.7345322368</v>
      </c>
    </row>
    <row r="110" spans="1:6" x14ac:dyDescent="0.2">
      <c r="A110" s="24" t="s">
        <v>148</v>
      </c>
      <c r="B110" s="93">
        <f>B78</f>
        <v>1360271.2705794582</v>
      </c>
      <c r="C110" s="93">
        <f t="shared" ref="C110:F110" si="28">C78</f>
        <v>1360888.4704622368</v>
      </c>
      <c r="D110" s="93">
        <f t="shared" si="28"/>
        <v>1360888.4704622368</v>
      </c>
      <c r="E110" s="93">
        <f t="shared" si="28"/>
        <v>1360888.4704622368</v>
      </c>
      <c r="F110" s="93">
        <f t="shared" si="28"/>
        <v>1360888.4704622368</v>
      </c>
    </row>
    <row r="111" spans="1:6" x14ac:dyDescent="0.2">
      <c r="A111" s="26"/>
      <c r="B111" s="95"/>
      <c r="C111" s="95"/>
      <c r="D111" s="95"/>
      <c r="E111" s="95"/>
      <c r="F111" s="95"/>
    </row>
    <row r="112" spans="1:6" x14ac:dyDescent="0.2">
      <c r="A112" s="24" t="s">
        <v>149</v>
      </c>
      <c r="B112" s="93">
        <f>B107+B109+B110</f>
        <v>10665772.615555212</v>
      </c>
      <c r="C112" s="93">
        <f t="shared" ref="C112:F112" si="29">C107+C109+C110</f>
        <v>15228829.650499612</v>
      </c>
      <c r="D112" s="93">
        <f t="shared" si="29"/>
        <v>15103366.055184592</v>
      </c>
      <c r="E112" s="93">
        <f t="shared" si="29"/>
        <v>15114434.509959729</v>
      </c>
      <c r="F112" s="93">
        <f t="shared" si="29"/>
        <v>15114114.302312236</v>
      </c>
    </row>
    <row r="113" spans="1:6" x14ac:dyDescent="0.2">
      <c r="A113" s="26"/>
      <c r="B113" s="95"/>
      <c r="C113" s="95"/>
      <c r="D113" s="95"/>
      <c r="E113" s="95"/>
      <c r="F113" s="96"/>
    </row>
    <row r="114" spans="1:6" x14ac:dyDescent="0.2">
      <c r="A114" s="24" t="s">
        <v>150</v>
      </c>
      <c r="B114" s="93">
        <f>B112/B101</f>
        <v>116.89628609704847</v>
      </c>
      <c r="C114" s="93">
        <f t="shared" ref="C114:F114" si="30">C112/C101</f>
        <v>131.43938176882509</v>
      </c>
      <c r="D114" s="93">
        <f t="shared" si="30"/>
        <v>130.35651080755201</v>
      </c>
      <c r="E114" s="93">
        <f t="shared" si="30"/>
        <v>130.45204217051085</v>
      </c>
      <c r="F114" s="93">
        <f t="shared" si="30"/>
        <v>130.44927847190829</v>
      </c>
    </row>
    <row r="115" spans="1:6" x14ac:dyDescent="0.2">
      <c r="A115" s="26"/>
      <c r="B115" s="95"/>
      <c r="C115" s="95"/>
      <c r="D115" s="95"/>
      <c r="E115" s="95"/>
      <c r="F115" s="96"/>
    </row>
    <row r="116" spans="1:6" x14ac:dyDescent="0.2">
      <c r="A116" s="24" t="s">
        <v>151</v>
      </c>
      <c r="B116" s="93">
        <f>B88-B112</f>
        <v>196352.3844447881</v>
      </c>
      <c r="C116" s="93">
        <f t="shared" ref="C116:F116" si="31">C88-C112</f>
        <v>-746079.65049961209</v>
      </c>
      <c r="D116" s="93">
        <f t="shared" si="31"/>
        <v>-620616.05518459156</v>
      </c>
      <c r="E116" s="93">
        <f t="shared" si="31"/>
        <v>-631684.50995972939</v>
      </c>
      <c r="F116" s="93">
        <f t="shared" si="31"/>
        <v>-631364.30231223628</v>
      </c>
    </row>
    <row r="117" spans="1:6" x14ac:dyDescent="0.2">
      <c r="A117" s="24" t="s">
        <v>5</v>
      </c>
      <c r="B117" s="93">
        <f>B116*[1]InfoInicial!$B$5</f>
        <v>11781.143066687286</v>
      </c>
      <c r="C117" s="93">
        <f>C116*[1]InfoInicial!$B$5</f>
        <v>-44764.779029976722</v>
      </c>
      <c r="D117" s="93">
        <f>D116*[1]InfoInicial!$B$5</f>
        <v>-37236.963311075495</v>
      </c>
      <c r="E117" s="93">
        <f>E116*[1]InfoInicial!$B$5</f>
        <v>-37901.070597583763</v>
      </c>
      <c r="F117" s="93">
        <f>F116*[1]InfoInicial!$B$5</f>
        <v>-37881.858138734176</v>
      </c>
    </row>
    <row r="118" spans="1:6" x14ac:dyDescent="0.2">
      <c r="A118" s="45" t="s">
        <v>152</v>
      </c>
      <c r="B118" s="93">
        <f>B116*[1]InfoInicial!$B$4</f>
        <v>68723.334555675829</v>
      </c>
      <c r="C118" s="93">
        <f>C116*[1]InfoInicial!$B$4</f>
        <v>-261127.87767486423</v>
      </c>
      <c r="D118" s="93">
        <f>D116*[1]InfoInicial!$B$4</f>
        <v>-217215.61931460703</v>
      </c>
      <c r="E118" s="93">
        <f>E116*[1]InfoInicial!$B$4</f>
        <v>-221089.57848590528</v>
      </c>
      <c r="F118" s="93">
        <f>F116*[1]InfoInicial!$B$4</f>
        <v>-220977.50580928268</v>
      </c>
    </row>
    <row r="119" spans="1:6" x14ac:dyDescent="0.2">
      <c r="A119" s="24"/>
      <c r="B119" s="95"/>
      <c r="C119" s="95"/>
      <c r="D119" s="95"/>
      <c r="E119" s="95"/>
      <c r="F119" s="96"/>
    </row>
    <row r="120" spans="1:6" x14ac:dyDescent="0.2">
      <c r="A120" s="45" t="s">
        <v>153</v>
      </c>
      <c r="B120" s="93">
        <f>B116-B117-B118</f>
        <v>115847.90682242499</v>
      </c>
      <c r="C120" s="93">
        <f t="shared" ref="C120:F120" si="32">C116-C117-C118</f>
        <v>-440186.99379477114</v>
      </c>
      <c r="D120" s="93">
        <f t="shared" si="32"/>
        <v>-366163.4725589091</v>
      </c>
      <c r="E120" s="93">
        <f t="shared" si="32"/>
        <v>-372693.8608762403</v>
      </c>
      <c r="F120" s="93">
        <f t="shared" si="32"/>
        <v>-372504.9383642195</v>
      </c>
    </row>
    <row r="121" spans="1:6" x14ac:dyDescent="0.2">
      <c r="A121" s="24" t="s">
        <v>154</v>
      </c>
      <c r="B121" s="97">
        <f>B120/B88</f>
        <v>1.0665307830873333E-2</v>
      </c>
      <c r="C121" s="97">
        <f t="shared" ref="C121:F121" si="33">C120/C88</f>
        <v>-3.0393881948854406E-2</v>
      </c>
      <c r="D121" s="97">
        <f t="shared" si="33"/>
        <v>-2.5282731011645517E-2</v>
      </c>
      <c r="E121" s="97">
        <f t="shared" si="33"/>
        <v>-2.5733639044811261E-2</v>
      </c>
      <c r="F121" s="97">
        <f t="shared" si="33"/>
        <v>-2.5720594387407054E-2</v>
      </c>
    </row>
    <row r="122" spans="1:6" x14ac:dyDescent="0.2">
      <c r="A122" s="24"/>
      <c r="B122" s="99"/>
      <c r="C122" s="99"/>
      <c r="D122" s="99"/>
      <c r="E122" s="99"/>
      <c r="F122" s="100"/>
    </row>
    <row r="123" spans="1:6" x14ac:dyDescent="0.2">
      <c r="A123" s="24" t="s">
        <v>155</v>
      </c>
      <c r="B123" s="97"/>
      <c r="C123" s="97"/>
      <c r="D123" s="97"/>
      <c r="E123" s="97"/>
      <c r="F123" s="98"/>
    </row>
    <row r="124" spans="1:6" x14ac:dyDescent="0.2">
      <c r="A124" s="45" t="s">
        <v>156</v>
      </c>
      <c r="B124" s="295">
        <f>B120</f>
        <v>115847.90682242499</v>
      </c>
      <c r="C124" s="295">
        <f t="shared" ref="C124:F124" si="34">C120</f>
        <v>-440186.99379477114</v>
      </c>
      <c r="D124" s="295">
        <f t="shared" si="34"/>
        <v>-366163.4725589091</v>
      </c>
      <c r="E124" s="295">
        <f t="shared" si="34"/>
        <v>-372693.8608762403</v>
      </c>
      <c r="F124" s="295">
        <f t="shared" si="34"/>
        <v>-372504.9383642195</v>
      </c>
    </row>
    <row r="125" spans="1:6" x14ac:dyDescent="0.2">
      <c r="A125" s="24" t="s">
        <v>157</v>
      </c>
      <c r="B125" s="295">
        <f>B70+B53+B28+B10</f>
        <v>275413.67093788751</v>
      </c>
      <c r="C125" s="295">
        <f t="shared" ref="C125:F125" si="35">C70+C53+C28+C10</f>
        <v>274997.84788144176</v>
      </c>
      <c r="D125" s="295">
        <f t="shared" si="35"/>
        <v>274997.84788144176</v>
      </c>
      <c r="E125" s="295">
        <f t="shared" si="35"/>
        <v>274687.58202583581</v>
      </c>
      <c r="F125" s="295">
        <f t="shared" si="35"/>
        <v>274687.58202583581</v>
      </c>
    </row>
    <row r="126" spans="1:6" ht="13.5" thickBot="1" x14ac:dyDescent="0.25">
      <c r="A126" s="34" t="s">
        <v>158</v>
      </c>
      <c r="B126" s="295">
        <f>B125+B124</f>
        <v>391261.57776031247</v>
      </c>
      <c r="C126" s="295">
        <f t="shared" ref="C126:F126" si="36">C125+C124</f>
        <v>-165189.14591332938</v>
      </c>
      <c r="D126" s="295">
        <f t="shared" si="36"/>
        <v>-91165.624677467335</v>
      </c>
      <c r="E126" s="295">
        <f t="shared" si="36"/>
        <v>-98006.278850404487</v>
      </c>
      <c r="F126" s="295">
        <f t="shared" si="36"/>
        <v>-97817.356338383688</v>
      </c>
    </row>
    <row r="127" spans="1:6" ht="13.5" thickTop="1" x14ac:dyDescent="0.2">
      <c r="A127" s="24"/>
      <c r="B127" s="29"/>
      <c r="C127" s="29"/>
      <c r="D127" s="29"/>
      <c r="E127" s="29"/>
      <c r="F127" s="101"/>
    </row>
    <row r="128" spans="1:6" x14ac:dyDescent="0.2">
      <c r="A128" s="24" t="s">
        <v>159</v>
      </c>
      <c r="B128" s="27">
        <f>B19*B17</f>
        <v>555255.6</v>
      </c>
      <c r="C128" s="27">
        <f t="shared" ref="C128:F128" si="37">C19*C17</f>
        <v>598325.6</v>
      </c>
      <c r="D128" s="27">
        <f t="shared" si="37"/>
        <v>598325.6</v>
      </c>
      <c r="E128" s="27">
        <f t="shared" si="37"/>
        <v>598325.6</v>
      </c>
      <c r="F128" s="27">
        <f t="shared" si="37"/>
        <v>598325.6</v>
      </c>
    </row>
    <row r="129" spans="1:6" x14ac:dyDescent="0.2">
      <c r="A129" s="45" t="s">
        <v>160</v>
      </c>
      <c r="B129" s="27">
        <f>B20*B17</f>
        <v>7359670.1763976105</v>
      </c>
      <c r="C129" s="27">
        <f t="shared" ref="C129:F129" si="38">C20*C17</f>
        <v>11778509.536290489</v>
      </c>
      <c r="D129" s="27">
        <f t="shared" si="38"/>
        <v>11778509.536290489</v>
      </c>
      <c r="E129" s="27">
        <f t="shared" si="38"/>
        <v>11788499.600643739</v>
      </c>
      <c r="F129" s="27">
        <f t="shared" si="38"/>
        <v>11788499.600643739</v>
      </c>
    </row>
    <row r="130" spans="1:6" x14ac:dyDescent="0.2">
      <c r="A130" s="24" t="s">
        <v>161</v>
      </c>
      <c r="B130" s="27">
        <f>B61*B63</f>
        <v>1329312.5333333334</v>
      </c>
      <c r="C130" s="27">
        <f t="shared" ref="C130:F130" si="39">C61*C63</f>
        <v>1329312.5333333334</v>
      </c>
      <c r="D130" s="27">
        <f t="shared" si="39"/>
        <v>1329312.5333333334</v>
      </c>
      <c r="E130" s="27">
        <f t="shared" si="39"/>
        <v>1329312.5333333334</v>
      </c>
      <c r="F130" s="27">
        <f t="shared" si="39"/>
        <v>1329312.5333333334</v>
      </c>
    </row>
    <row r="131" spans="1:6" x14ac:dyDescent="0.2">
      <c r="A131" s="45" t="s">
        <v>162</v>
      </c>
      <c r="B131" s="27">
        <f>B61*B64</f>
        <v>36488.49431612483</v>
      </c>
      <c r="C131" s="27">
        <f t="shared" ref="C131:F131" si="40">C61*C64</f>
        <v>37105.694198903337</v>
      </c>
      <c r="D131" s="27">
        <f t="shared" si="40"/>
        <v>37105.694198903337</v>
      </c>
      <c r="E131" s="27">
        <f t="shared" si="40"/>
        <v>37086.201198903334</v>
      </c>
      <c r="F131" s="27">
        <f t="shared" si="40"/>
        <v>37086.201198903334</v>
      </c>
    </row>
    <row r="132" spans="1:6" x14ac:dyDescent="0.2">
      <c r="A132" s="24" t="s">
        <v>163</v>
      </c>
      <c r="B132" s="27">
        <f>B78*B80</f>
        <v>1329312.5333333334</v>
      </c>
      <c r="C132" s="27">
        <f t="shared" ref="C132:F132" si="41">C78*C80</f>
        <v>1329312.5333333334</v>
      </c>
      <c r="D132" s="27">
        <f t="shared" si="41"/>
        <v>1329312.5333333334</v>
      </c>
      <c r="E132" s="27">
        <f t="shared" si="41"/>
        <v>1329312.5333333334</v>
      </c>
      <c r="F132" s="27">
        <f t="shared" si="41"/>
        <v>1329312.5333333334</v>
      </c>
    </row>
    <row r="133" spans="1:6" x14ac:dyDescent="0.2">
      <c r="A133" s="45" t="s">
        <v>164</v>
      </c>
      <c r="B133" s="27">
        <f>B78*B81</f>
        <v>30958.737246124831</v>
      </c>
      <c r="C133" s="27">
        <f t="shared" ref="C133:F133" si="42">C78*C81</f>
        <v>31575.937128903337</v>
      </c>
      <c r="D133" s="27">
        <f t="shared" si="42"/>
        <v>31575.937128903337</v>
      </c>
      <c r="E133" s="27">
        <f t="shared" si="42"/>
        <v>31575.937128903337</v>
      </c>
      <c r="F133" s="27">
        <f t="shared" si="42"/>
        <v>31575.937128903337</v>
      </c>
    </row>
    <row r="134" spans="1:6" x14ac:dyDescent="0.2">
      <c r="A134" s="24" t="s">
        <v>165</v>
      </c>
      <c r="B134" s="296">
        <f>B88-B129-B131-B133</f>
        <v>3435007.5920401397</v>
      </c>
      <c r="C134" s="296">
        <f t="shared" ref="C134:F134" si="43">C88-C129-C131-C133</f>
        <v>2635558.8323817044</v>
      </c>
      <c r="D134" s="296">
        <f t="shared" si="43"/>
        <v>2635558.8323817044</v>
      </c>
      <c r="E134" s="296">
        <f t="shared" si="43"/>
        <v>2625588.2610284542</v>
      </c>
      <c r="F134" s="296">
        <f t="shared" si="43"/>
        <v>2625588.2610284542</v>
      </c>
    </row>
    <row r="135" spans="1:6" ht="13.5" thickBot="1" x14ac:dyDescent="0.25">
      <c r="A135" s="34" t="s">
        <v>166</v>
      </c>
      <c r="B135" s="297">
        <f>(B128+B130+B132)/B134</f>
        <v>0.93562549151684993</v>
      </c>
      <c r="C135" s="297">
        <f t="shared" ref="C135:F135" si="44">(C128+C130+C132)/C134</f>
        <v>1.2357723252656145</v>
      </c>
      <c r="D135" s="297">
        <f t="shared" si="44"/>
        <v>1.2357723252656145</v>
      </c>
      <c r="E135" s="297">
        <f t="shared" si="44"/>
        <v>1.2404651235723096</v>
      </c>
      <c r="F135" s="297">
        <f t="shared" si="44"/>
        <v>1.2404651235723096</v>
      </c>
    </row>
    <row r="136" spans="1:6" ht="16.5" thickTop="1" x14ac:dyDescent="0.25">
      <c r="A136" s="102" t="s">
        <v>167</v>
      </c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13" zoomScaleNormal="100" workbookViewId="0">
      <selection activeCell="B34" sqref="B34:G34"/>
    </sheetView>
  </sheetViews>
  <sheetFormatPr baseColWidth="10"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9" width="40" style="16" customWidth="1"/>
    <col min="10" max="10" width="11.85546875" style="16" customWidth="1"/>
    <col min="11" max="11" width="13.5703125" style="16" bestFit="1" customWidth="1"/>
    <col min="12" max="14" width="12.5703125" style="16" bestFit="1" customWidth="1"/>
    <col min="15" max="16384" width="11.28515625" style="16"/>
  </cols>
  <sheetData>
    <row r="1" spans="1:20" x14ac:dyDescent="0.2">
      <c r="A1" s="1" t="s">
        <v>0</v>
      </c>
      <c r="B1"/>
      <c r="C1"/>
      <c r="D1"/>
      <c r="E1" s="2">
        <f>InfoInicial!E1</f>
        <v>9</v>
      </c>
    </row>
    <row r="2" spans="1:20" x14ac:dyDescent="0.2">
      <c r="A2" s="1"/>
      <c r="B2"/>
      <c r="C2"/>
      <c r="D2"/>
      <c r="E2" s="103"/>
    </row>
    <row r="3" spans="1:20" ht="15.75" x14ac:dyDescent="0.25">
      <c r="A3" s="55" t="s">
        <v>168</v>
      </c>
      <c r="B3" s="56"/>
      <c r="C3" s="56"/>
      <c r="D3" s="56"/>
      <c r="E3" s="56"/>
      <c r="F3" s="56"/>
      <c r="G3" s="57"/>
    </row>
    <row r="4" spans="1:20" ht="13.5" thickBot="1" x14ac:dyDescent="0.25">
      <c r="A4" s="58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20" ht="13.5" thickTop="1" x14ac:dyDescent="0.2">
      <c r="A5" s="104" t="s">
        <v>169</v>
      </c>
      <c r="B5" s="105"/>
      <c r="C5" s="105"/>
      <c r="D5" s="105"/>
      <c r="E5" s="105"/>
      <c r="F5" s="105"/>
      <c r="G5" s="106"/>
    </row>
    <row r="6" spans="1:20" x14ac:dyDescent="0.2">
      <c r="A6" s="104" t="s">
        <v>170</v>
      </c>
      <c r="B6" s="93">
        <f>C6*0.8</f>
        <v>173795</v>
      </c>
      <c r="C6" s="93">
        <f>O8*0.02</f>
        <v>217243.75</v>
      </c>
      <c r="D6" s="93">
        <f>$O$9*0.02</f>
        <v>289655</v>
      </c>
      <c r="E6" s="93">
        <f>$O$9*0.02</f>
        <v>289655</v>
      </c>
      <c r="F6" s="93">
        <f>$O$9*0.02</f>
        <v>289655</v>
      </c>
      <c r="G6" s="93">
        <f>$O$9*0.02</f>
        <v>289655</v>
      </c>
      <c r="I6" s="274" t="s">
        <v>460</v>
      </c>
      <c r="J6" s="274"/>
      <c r="K6" s="274"/>
      <c r="L6" s="274"/>
      <c r="M6" s="274"/>
      <c r="N6" s="274"/>
    </row>
    <row r="7" spans="1:20" x14ac:dyDescent="0.2">
      <c r="A7" s="104" t="s">
        <v>171</v>
      </c>
      <c r="B7" s="93">
        <v>0</v>
      </c>
      <c r="C7" s="93">
        <f>O8*30/365</f>
        <v>892782.53424657532</v>
      </c>
      <c r="D7" s="93">
        <f>$O$9*30/365</f>
        <v>1190363.01369863</v>
      </c>
      <c r="E7" s="93">
        <f>$O$9*30/365</f>
        <v>1190363.01369863</v>
      </c>
      <c r="F7" s="93">
        <f>$O$9*30/365</f>
        <v>1190363.01369863</v>
      </c>
      <c r="G7" s="93">
        <f>$O$9*30/365</f>
        <v>1190363.01369863</v>
      </c>
      <c r="I7" s="274" t="s">
        <v>461</v>
      </c>
      <c r="J7" s="274"/>
      <c r="K7" s="274"/>
      <c r="L7" s="16" t="s">
        <v>457</v>
      </c>
      <c r="M7" s="272" t="s">
        <v>459</v>
      </c>
      <c r="N7" s="16" t="s">
        <v>456</v>
      </c>
      <c r="O7" s="250" t="s">
        <v>458</v>
      </c>
    </row>
    <row r="8" spans="1:20" x14ac:dyDescent="0.2">
      <c r="A8" s="107"/>
      <c r="B8" s="84"/>
      <c r="C8" s="84"/>
      <c r="D8" s="84"/>
      <c r="E8" s="84"/>
      <c r="F8" s="84"/>
      <c r="G8" s="85"/>
      <c r="I8" s="270"/>
      <c r="L8" s="269" t="s">
        <v>454</v>
      </c>
      <c r="M8" s="273">
        <v>86897.5</v>
      </c>
      <c r="N8" s="16">
        <v>125</v>
      </c>
      <c r="O8" s="16">
        <f>M8*N8</f>
        <v>10862187.5</v>
      </c>
    </row>
    <row r="9" spans="1:20" x14ac:dyDescent="0.2">
      <c r="A9" s="104" t="s">
        <v>172</v>
      </c>
      <c r="B9" s="95">
        <f>SUM(B10:B13)</f>
        <v>1161377.0893060379</v>
      </c>
      <c r="C9" s="95">
        <f t="shared" ref="C9:G9" si="0">SUM(C10:C13)</f>
        <v>1787002.7194293328</v>
      </c>
      <c r="D9" s="95">
        <f t="shared" si="0"/>
        <v>1822182.0454692869</v>
      </c>
      <c r="E9" s="95">
        <f t="shared" si="0"/>
        <v>1821975.2581860397</v>
      </c>
      <c r="F9" s="95">
        <f t="shared" si="0"/>
        <v>1832357.3851294739</v>
      </c>
      <c r="G9" s="95">
        <f t="shared" si="0"/>
        <v>1832357.8906961596</v>
      </c>
      <c r="L9" s="269" t="s">
        <v>455</v>
      </c>
      <c r="M9" s="271">
        <v>115862</v>
      </c>
      <c r="N9" s="16">
        <v>125</v>
      </c>
      <c r="O9" s="16">
        <f>M9*N9</f>
        <v>14482750</v>
      </c>
    </row>
    <row r="10" spans="1:20" x14ac:dyDescent="0.2">
      <c r="A10" s="107" t="s">
        <v>173</v>
      </c>
      <c r="B10" s="61">
        <f>J11*Auxiliar!B77</f>
        <v>957612.33960000006</v>
      </c>
      <c r="C10" s="61">
        <f>$J$12*Auxiliar!$B$77</f>
        <v>1194314.0944000001</v>
      </c>
      <c r="D10" s="61">
        <f>$J$12*Auxiliar!$B$77</f>
        <v>1194314.0944000001</v>
      </c>
      <c r="E10" s="61">
        <f>$J$12*Auxiliar!$B$77</f>
        <v>1194314.0944000001</v>
      </c>
      <c r="F10" s="61">
        <f>$J$12*Auxiliar!$B$77</f>
        <v>1194314.0944000001</v>
      </c>
      <c r="G10" s="61">
        <f>$J$12*Auxiliar!$B$77</f>
        <v>1194314.0944000001</v>
      </c>
      <c r="J10" s="16" t="s">
        <v>462</v>
      </c>
    </row>
    <row r="11" spans="1:20" x14ac:dyDescent="0.2">
      <c r="A11" s="107" t="s">
        <v>174</v>
      </c>
      <c r="B11" s="61">
        <f>C11*0.8</f>
        <v>203764.74970603784</v>
      </c>
      <c r="C11" s="61">
        <f>'E-Costos'!B12+'E-Costos'!B30+'E-Costos'!B54+'E-Costos'!B71</f>
        <v>254705.93713254729</v>
      </c>
      <c r="D11" s="61">
        <f>'E-Costos'!C12+'E-Costos'!C30+'E-Costos'!C54+'E-Costos'!C71</f>
        <v>282853.94077344728</v>
      </c>
      <c r="E11" s="61">
        <f>'E-Costos'!D12+'E-Costos'!D30+'E-Costos'!D54+'E-Costos'!D71</f>
        <v>282853.94077344728</v>
      </c>
      <c r="F11" s="61">
        <f>'E-Costos'!E12+'E-Costos'!E30+'E-Costos'!E54+'E-Costos'!E71</f>
        <v>293086.14236188924</v>
      </c>
      <c r="G11" s="61">
        <f>'E-Costos'!F12+'E-Costos'!F30+'E-Costos'!F54+'E-Costos'!F71</f>
        <v>293086.14236188924</v>
      </c>
      <c r="I11" s="16" t="s">
        <v>463</v>
      </c>
      <c r="J11" s="275">
        <v>11082.45</v>
      </c>
      <c r="O11" s="274"/>
      <c r="P11" s="274"/>
      <c r="Q11" s="274"/>
      <c r="R11" s="274"/>
      <c r="S11" s="274"/>
      <c r="T11" s="274"/>
    </row>
    <row r="12" spans="1:20" ht="14.25" x14ac:dyDescent="0.2">
      <c r="A12" s="107" t="s">
        <v>175</v>
      </c>
      <c r="B12" s="61">
        <v>0</v>
      </c>
      <c r="C12" s="61">
        <f>'E-Costos'!B35</f>
        <v>241794.90232870058</v>
      </c>
      <c r="D12" s="61">
        <f>'E-Costos'!C35</f>
        <v>221105.10249141735</v>
      </c>
      <c r="E12" s="61">
        <f>'E-Costos'!D35</f>
        <v>221105.10249141735</v>
      </c>
      <c r="F12" s="61">
        <f>'E-Costos'!E35</f>
        <v>221155.68622833167</v>
      </c>
      <c r="G12" s="61">
        <f>'E-Costos'!F35</f>
        <v>221155.68622833167</v>
      </c>
      <c r="I12" s="16" t="s">
        <v>454</v>
      </c>
      <c r="J12" s="259">
        <v>13821.8</v>
      </c>
      <c r="O12" s="274"/>
      <c r="P12" s="274"/>
      <c r="Q12" s="274"/>
      <c r="R12" s="274"/>
      <c r="S12" s="274"/>
      <c r="T12" s="274"/>
    </row>
    <row r="13" spans="1:20" x14ac:dyDescent="0.2">
      <c r="A13" s="107" t="s">
        <v>176</v>
      </c>
      <c r="B13" s="61">
        <v>0</v>
      </c>
      <c r="C13" s="61">
        <f>K17*'E-Costos'!B102</f>
        <v>96187.785568084684</v>
      </c>
      <c r="D13" s="61">
        <f>'E-Costos'!C102*'E-InvAT'!$K$18</f>
        <v>123908.90780442217</v>
      </c>
      <c r="E13" s="61">
        <f>'E-Costos'!D102*'E-InvAT'!$K$18</f>
        <v>123702.12052117506</v>
      </c>
      <c r="F13" s="61">
        <f>'E-Costos'!E102*'E-InvAT'!$K$18</f>
        <v>123801.46213925275</v>
      </c>
      <c r="G13" s="61">
        <f>'E-Costos'!F102*'E-InvAT'!$K$18</f>
        <v>123801.96770593851</v>
      </c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</row>
    <row r="14" spans="1:20" x14ac:dyDescent="0.2">
      <c r="A14" s="107"/>
      <c r="B14" s="84"/>
      <c r="C14" s="84"/>
      <c r="D14" s="84"/>
      <c r="E14" s="84"/>
      <c r="F14" s="84"/>
      <c r="G14" s="85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</row>
    <row r="15" spans="1:20" x14ac:dyDescent="0.2">
      <c r="A15" s="104" t="s">
        <v>177</v>
      </c>
      <c r="B15" s="93">
        <f>B6+B7+B9</f>
        <v>1335172.0893060379</v>
      </c>
      <c r="C15" s="93">
        <f t="shared" ref="C15:G15" si="1">C6+C7+C9</f>
        <v>2897029.0036759079</v>
      </c>
      <c r="D15" s="93">
        <f t="shared" si="1"/>
        <v>3302200.0591679169</v>
      </c>
      <c r="E15" s="93">
        <f t="shared" si="1"/>
        <v>3301993.2718846695</v>
      </c>
      <c r="F15" s="93">
        <f t="shared" si="1"/>
        <v>3312375.3988281041</v>
      </c>
      <c r="G15" s="93">
        <f t="shared" si="1"/>
        <v>3312375.9043947896</v>
      </c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</row>
    <row r="16" spans="1:20" x14ac:dyDescent="0.2">
      <c r="A16" s="104" t="s">
        <v>178</v>
      </c>
      <c r="B16" s="95">
        <v>0</v>
      </c>
      <c r="C16" s="95">
        <f>SUM(C17:C20)</f>
        <v>36596.530301824409</v>
      </c>
      <c r="D16" s="95">
        <f t="shared" ref="D16:G16" si="2">SUM(D17:D20)</f>
        <v>-9775.24591987022</v>
      </c>
      <c r="E16" s="95">
        <f t="shared" si="2"/>
        <v>-3790.8851694994773</v>
      </c>
      <c r="F16" s="95">
        <f t="shared" si="2"/>
        <v>-4358.3969211426156</v>
      </c>
      <c r="G16" s="95">
        <f t="shared" si="2"/>
        <v>-4343.2395849771092</v>
      </c>
      <c r="J16" s="276" t="s">
        <v>465</v>
      </c>
      <c r="K16" s="276" t="s">
        <v>464</v>
      </c>
      <c r="L16" s="274"/>
      <c r="M16" s="274"/>
      <c r="N16" s="274"/>
      <c r="O16" s="274"/>
      <c r="P16" s="274"/>
      <c r="Q16" s="274"/>
      <c r="R16" s="274"/>
      <c r="S16" s="274"/>
      <c r="T16" s="274"/>
    </row>
    <row r="17" spans="1:20" ht="14.25" x14ac:dyDescent="0.2">
      <c r="A17" s="107" t="s">
        <v>179</v>
      </c>
      <c r="B17" s="61">
        <v>0</v>
      </c>
      <c r="C17" s="61">
        <f>'E-Costos'!B28</f>
        <v>1663.3209378875192</v>
      </c>
      <c r="D17" s="61">
        <f>'E-Costos'!C28</f>
        <v>1247.4978814418164</v>
      </c>
      <c r="E17" s="61">
        <f>'E-Costos'!D28</f>
        <v>1247.4978814418164</v>
      </c>
      <c r="F17" s="61">
        <f>'E-Costos'!E28</f>
        <v>1246.0320258357981</v>
      </c>
      <c r="G17" s="61">
        <f>'E-Costos'!F28</f>
        <v>1246.0320258357981</v>
      </c>
      <c r="I17" s="277" t="s">
        <v>454</v>
      </c>
      <c r="J17" s="278">
        <v>88055.5</v>
      </c>
      <c r="K17" s="279">
        <v>1158</v>
      </c>
      <c r="L17" s="274"/>
      <c r="M17" s="274"/>
      <c r="N17" s="274"/>
      <c r="O17" s="274"/>
      <c r="P17" s="274"/>
      <c r="Q17" s="274"/>
      <c r="R17" s="274"/>
      <c r="S17" s="274"/>
      <c r="T17" s="274"/>
    </row>
    <row r="18" spans="1:20" ht="14.25" x14ac:dyDescent="0.2">
      <c r="A18" s="107" t="s">
        <v>180</v>
      </c>
      <c r="B18" s="61">
        <v>0</v>
      </c>
      <c r="C18" s="61">
        <f>('E-Costos'!B10-'E-InvAT'!C17)/J17*K17</f>
        <v>3218.1577428318074</v>
      </c>
      <c r="D18" s="61">
        <f>('E-Costos'!C10-'E-InvAT'!D17+C17)/$J$18*$K$18</f>
        <v>2466.5907533907935</v>
      </c>
      <c r="E18" s="61">
        <f>('E-Costos'!D10-'E-InvAT'!E17+D17)/$J$18*$K$18</f>
        <v>2462.4347479760399</v>
      </c>
      <c r="F18" s="61">
        <f>('E-Costos'!E10-'E-InvAT'!F17+E17)/$J$18*$K$18</f>
        <v>2459.5559478585883</v>
      </c>
      <c r="G18" s="61">
        <f>('E-Costos'!F10-'E-InvAT'!G17+F17)/$J$18*$K$18</f>
        <v>2459.5412971466058</v>
      </c>
      <c r="I18" s="277" t="s">
        <v>466</v>
      </c>
      <c r="J18" s="280">
        <v>115862</v>
      </c>
      <c r="K18" s="281">
        <v>1158</v>
      </c>
      <c r="L18" s="274"/>
      <c r="M18" s="274"/>
      <c r="N18" s="274"/>
      <c r="O18" s="274"/>
      <c r="P18" s="274"/>
      <c r="Q18" s="274"/>
      <c r="R18" s="274"/>
      <c r="S18" s="274"/>
      <c r="T18" s="274"/>
    </row>
    <row r="19" spans="1:20" x14ac:dyDescent="0.2">
      <c r="A19" s="107" t="s">
        <v>181</v>
      </c>
      <c r="B19" s="61">
        <v>0</v>
      </c>
      <c r="C19" s="61">
        <f>C7*'E-Costos'!B121</f>
        <v>9521.8005537669396</v>
      </c>
      <c r="D19" s="61">
        <f>D7*'E-Costos'!C121</f>
        <v>-36179.752914638724</v>
      </c>
      <c r="E19" s="61">
        <f>E7*'E-Costos'!D121</f>
        <v>-30095.62788155417</v>
      </c>
      <c r="F19" s="61">
        <f>F7*'E-Costos'!E121</f>
        <v>-30632.372126814269</v>
      </c>
      <c r="G19" s="61">
        <f>G7*'E-Costos'!F121</f>
        <v>-30616.844249113929</v>
      </c>
    </row>
    <row r="20" spans="1:20" x14ac:dyDescent="0.2">
      <c r="A20" s="107" t="s">
        <v>182</v>
      </c>
      <c r="B20" s="61">
        <v>0</v>
      </c>
      <c r="C20" s="61">
        <f>(('E-Inv AF y Am'!D56-'E-InvAT'!C18-'E-InvAT'!C17)/365)*30</f>
        <v>22193.25106733814</v>
      </c>
      <c r="D20" s="61">
        <f>('E-Inv AF y Am'!D56-D18-D17+C18+C17)*30/365</f>
        <v>22690.418359935895</v>
      </c>
      <c r="E20" s="61">
        <f>('E-Inv AF y Am'!D56-E18-E17+D18+D17)*30/365</f>
        <v>22594.810082636835</v>
      </c>
      <c r="F20" s="61">
        <f>('E-Inv AF y Am'!E56-F18-F17+E18+E17)*30/365</f>
        <v>22568.387231977267</v>
      </c>
      <c r="G20" s="61">
        <f>('E-Inv AF y Am'!E56-G18-G17+F18+F17)*30/365</f>
        <v>22568.031341154416</v>
      </c>
    </row>
    <row r="21" spans="1:20" x14ac:dyDescent="0.2">
      <c r="A21" s="107"/>
      <c r="B21" s="84"/>
      <c r="C21" s="84"/>
      <c r="D21" s="84"/>
      <c r="E21" s="84"/>
      <c r="F21" s="84"/>
      <c r="G21" s="85"/>
    </row>
    <row r="22" spans="1:20" x14ac:dyDescent="0.2">
      <c r="A22" s="104" t="s">
        <v>183</v>
      </c>
      <c r="B22" s="93">
        <f>B15-B16</f>
        <v>1335172.0893060379</v>
      </c>
      <c r="C22" s="93">
        <f t="shared" ref="C22:G22" si="3">C15-C16</f>
        <v>2860432.4733740836</v>
      </c>
      <c r="D22" s="93">
        <f t="shared" si="3"/>
        <v>3311975.3050877871</v>
      </c>
      <c r="E22" s="93">
        <f t="shared" si="3"/>
        <v>3305784.1570541691</v>
      </c>
      <c r="F22" s="93">
        <f t="shared" si="3"/>
        <v>3316733.7957492466</v>
      </c>
      <c r="G22" s="93">
        <f t="shared" si="3"/>
        <v>3316719.1439797669</v>
      </c>
    </row>
    <row r="23" spans="1:20" x14ac:dyDescent="0.2">
      <c r="A23" s="107"/>
      <c r="B23" s="84"/>
      <c r="C23" s="84"/>
      <c r="D23" s="84"/>
      <c r="E23" s="84"/>
      <c r="F23" s="84"/>
      <c r="G23" s="85"/>
    </row>
    <row r="24" spans="1:20" x14ac:dyDescent="0.2">
      <c r="A24" s="104" t="s">
        <v>184</v>
      </c>
      <c r="B24" s="61">
        <f>B15-0</f>
        <v>1335172.0893060379</v>
      </c>
      <c r="C24" s="61">
        <f>C15-B15</f>
        <v>1561856.91436987</v>
      </c>
      <c r="D24" s="61">
        <f>D15-C15</f>
        <v>405171.05549200904</v>
      </c>
      <c r="E24" s="61">
        <f>E15-D15</f>
        <v>-206.78728324733675</v>
      </c>
      <c r="F24" s="61">
        <f t="shared" ref="F24:G24" si="4">F15-E15</f>
        <v>10382.126943434589</v>
      </c>
      <c r="G24" s="61">
        <f t="shared" si="4"/>
        <v>0.50556668546050787</v>
      </c>
    </row>
    <row r="25" spans="1:20" x14ac:dyDescent="0.2">
      <c r="A25" s="104" t="s">
        <v>185</v>
      </c>
      <c r="B25" s="93">
        <f>B22-0</f>
        <v>1335172.0893060379</v>
      </c>
      <c r="C25" s="93">
        <f>C22-B22</f>
        <v>1525260.3840680458</v>
      </c>
      <c r="D25" s="93">
        <f t="shared" ref="D25:G25" si="5">D22-C22</f>
        <v>451542.83171370346</v>
      </c>
      <c r="E25" s="93">
        <f t="shared" si="5"/>
        <v>-6191.1480336179957</v>
      </c>
      <c r="F25" s="93">
        <f t="shared" si="5"/>
        <v>10949.638695077505</v>
      </c>
      <c r="G25" s="93">
        <f t="shared" si="5"/>
        <v>-14.651769479736686</v>
      </c>
    </row>
    <row r="26" spans="1:20" x14ac:dyDescent="0.2">
      <c r="A26" s="107"/>
      <c r="B26" s="84"/>
      <c r="C26" s="84"/>
      <c r="D26" s="84"/>
      <c r="E26" s="84"/>
      <c r="F26" s="84"/>
      <c r="G26" s="85"/>
    </row>
    <row r="27" spans="1:20" x14ac:dyDescent="0.2">
      <c r="A27" s="104" t="s">
        <v>186</v>
      </c>
      <c r="B27" s="84"/>
      <c r="C27" s="84"/>
      <c r="D27" s="84"/>
      <c r="E27" s="84"/>
      <c r="F27" s="84"/>
      <c r="G27" s="85"/>
    </row>
    <row r="28" spans="1:20" x14ac:dyDescent="0.2">
      <c r="A28" s="107" t="s">
        <v>187</v>
      </c>
      <c r="B28" s="61"/>
      <c r="C28" s="61"/>
      <c r="D28" s="61"/>
      <c r="E28" s="61"/>
      <c r="F28" s="61"/>
      <c r="G28" s="62"/>
    </row>
    <row r="29" spans="1:20" x14ac:dyDescent="0.2">
      <c r="A29" s="107" t="s">
        <v>188</v>
      </c>
      <c r="B29" s="61"/>
      <c r="C29" s="61"/>
      <c r="D29" s="61"/>
      <c r="E29" s="61"/>
      <c r="F29" s="61"/>
      <c r="G29" s="62"/>
    </row>
    <row r="30" spans="1:20" x14ac:dyDescent="0.2">
      <c r="A30" s="107" t="s">
        <v>189</v>
      </c>
      <c r="B30" s="61">
        <f>B10*0.21</f>
        <v>201098.59131600001</v>
      </c>
      <c r="C30" s="61">
        <f>(C10-B10)*0.21</f>
        <v>49707.368508</v>
      </c>
      <c r="D30" s="61">
        <f t="shared" ref="D30:G30" si="6">(D10-C10)*0.21</f>
        <v>0</v>
      </c>
      <c r="E30" s="61">
        <f t="shared" si="6"/>
        <v>0</v>
      </c>
      <c r="F30" s="61">
        <f t="shared" si="6"/>
        <v>0</v>
      </c>
      <c r="G30" s="61">
        <f t="shared" si="6"/>
        <v>0</v>
      </c>
    </row>
    <row r="31" spans="1:20" ht="13.5" thickBot="1" x14ac:dyDescent="0.25">
      <c r="A31" s="107" t="s">
        <v>190</v>
      </c>
      <c r="B31" s="61">
        <f>B11*0.21</f>
        <v>42790.597438267941</v>
      </c>
      <c r="C31" s="61">
        <f>(C11-B11)*0.21</f>
        <v>10697.649359566985</v>
      </c>
      <c r="D31" s="61">
        <f>(D11-C11)*0.21</f>
        <v>5911.0807645889972</v>
      </c>
      <c r="E31" s="61">
        <f>(E11-D11)*0.21</f>
        <v>0</v>
      </c>
      <c r="F31" s="61">
        <f t="shared" ref="F31:G31" si="7">(F11-E11)*0.21</f>
        <v>2148.7623335728131</v>
      </c>
      <c r="G31" s="61">
        <f t="shared" si="7"/>
        <v>0</v>
      </c>
    </row>
    <row r="32" spans="1:20" x14ac:dyDescent="0.2">
      <c r="A32" s="107" t="s">
        <v>191</v>
      </c>
      <c r="B32" s="61">
        <v>0</v>
      </c>
      <c r="C32" s="61">
        <f>J39</f>
        <v>24717.599507838833</v>
      </c>
      <c r="D32" s="61">
        <f t="shared" ref="D32:G32" si="8">K39</f>
        <v>-4.4271752781678515</v>
      </c>
      <c r="E32" s="61">
        <f t="shared" si="8"/>
        <v>0</v>
      </c>
      <c r="F32" s="61">
        <f t="shared" si="8"/>
        <v>10.82524032281799</v>
      </c>
      <c r="G32" s="61">
        <f t="shared" si="8"/>
        <v>0</v>
      </c>
      <c r="I32" s="282" t="s">
        <v>467</v>
      </c>
      <c r="J32" s="283" t="s">
        <v>54</v>
      </c>
      <c r="K32" s="283" t="s">
        <v>95</v>
      </c>
      <c r="L32" s="283" t="s">
        <v>96</v>
      </c>
      <c r="M32" s="283" t="s">
        <v>97</v>
      </c>
      <c r="N32" s="284" t="s">
        <v>98</v>
      </c>
    </row>
    <row r="33" spans="1:14" x14ac:dyDescent="0.2">
      <c r="A33" s="107" t="s">
        <v>192</v>
      </c>
      <c r="B33" s="260">
        <v>0</v>
      </c>
      <c r="C33" s="260">
        <f>J48</f>
        <v>20654.383548187063</v>
      </c>
      <c r="D33" s="260">
        <f t="shared" ref="D33:G33" si="9">K48</f>
        <v>3427.6462431868058</v>
      </c>
      <c r="E33" s="260">
        <f t="shared" si="9"/>
        <v>0</v>
      </c>
      <c r="F33" s="260">
        <f t="shared" si="9"/>
        <v>21.476124892349617</v>
      </c>
      <c r="G33" s="260">
        <f t="shared" si="9"/>
        <v>0</v>
      </c>
      <c r="I33" s="285" t="s">
        <v>99</v>
      </c>
      <c r="J33" s="286">
        <f>'E-Costos'!B25*0.21</f>
        <v>24347.873423999998</v>
      </c>
      <c r="K33" s="286">
        <f>'E-Costos'!C25*0.21</f>
        <v>24347.873423999998</v>
      </c>
      <c r="L33" s="286">
        <f>'E-Costos'!D25*0.21</f>
        <v>24347.873423999998</v>
      </c>
      <c r="M33" s="286">
        <f>'E-Costos'!E25*0.21</f>
        <v>24347.873423999998</v>
      </c>
      <c r="N33" s="287">
        <f>'E-Costos'!F25*0.21</f>
        <v>24347.873423999998</v>
      </c>
    </row>
    <row r="34" spans="1:14" x14ac:dyDescent="0.2">
      <c r="A34" s="104" t="s">
        <v>193</v>
      </c>
      <c r="B34" s="316">
        <f>SUM(B30:B33)</f>
        <v>243889.18875426793</v>
      </c>
      <c r="C34" s="316">
        <f t="shared" ref="C34:G34" si="10">SUM(C30:C33)</f>
        <v>105777.00092359289</v>
      </c>
      <c r="D34" s="316">
        <f t="shared" si="10"/>
        <v>9334.2998324976361</v>
      </c>
      <c r="E34" s="316">
        <f t="shared" si="10"/>
        <v>0</v>
      </c>
      <c r="F34" s="316">
        <f t="shared" si="10"/>
        <v>2181.0636987879807</v>
      </c>
      <c r="G34" s="316">
        <f t="shared" si="10"/>
        <v>0</v>
      </c>
      <c r="I34" s="285" t="s">
        <v>104</v>
      </c>
      <c r="J34" s="286">
        <f>'E-Costos'!B30*0.21</f>
        <v>288.51991653392832</v>
      </c>
      <c r="K34" s="286">
        <f>'E-Costos'!C30*0.21</f>
        <v>288.51991653392832</v>
      </c>
      <c r="L34" s="286">
        <f>'E-Costos'!D30*0.21</f>
        <v>288.51991653392832</v>
      </c>
      <c r="M34" s="286">
        <f>'E-Costos'!E30*0.21</f>
        <v>299.34515685674739</v>
      </c>
      <c r="N34" s="287">
        <f>'E-Costos'!F30*0.21</f>
        <v>299.34515685674739</v>
      </c>
    </row>
    <row r="35" spans="1:14" x14ac:dyDescent="0.2">
      <c r="A35" s="107"/>
      <c r="B35" s="64"/>
      <c r="C35" s="64"/>
      <c r="D35" s="64"/>
      <c r="E35" s="64"/>
      <c r="F35" s="64"/>
      <c r="G35" s="65"/>
      <c r="I35" s="285" t="s">
        <v>105</v>
      </c>
      <c r="J35" s="286">
        <f>'E-Costos'!B31*0.21</f>
        <v>48.69892805985517</v>
      </c>
      <c r="K35" s="286">
        <f>'E-Costos'!C31*0.21</f>
        <v>44.271752781686516</v>
      </c>
      <c r="L35" s="286">
        <f>'E-Costos'!D31*0.21</f>
        <v>44.271752781686516</v>
      </c>
      <c r="M35" s="286">
        <f>'E-Costos'!E31*0.21</f>
        <v>44.271752781686516</v>
      </c>
      <c r="N35" s="287">
        <f>'E-Costos'!F31*0.21</f>
        <v>44.271752781686516</v>
      </c>
    </row>
    <row r="36" spans="1:14" ht="13.5" thickBot="1" x14ac:dyDescent="0.25">
      <c r="A36" s="108" t="s">
        <v>194</v>
      </c>
      <c r="B36" s="148">
        <f>B25+B34</f>
        <v>1579061.2780603059</v>
      </c>
      <c r="C36" s="148">
        <f t="shared" ref="C36:G36" si="11">C25+C34</f>
        <v>1631037.3849916386</v>
      </c>
      <c r="D36" s="148">
        <f t="shared" si="11"/>
        <v>460877.13154620107</v>
      </c>
      <c r="E36" s="148">
        <f t="shared" si="11"/>
        <v>-6191.1480336179957</v>
      </c>
      <c r="F36" s="148">
        <f t="shared" si="11"/>
        <v>13130.702393865486</v>
      </c>
      <c r="G36" s="148">
        <f t="shared" si="11"/>
        <v>-14.651769479736686</v>
      </c>
      <c r="I36" s="285" t="s">
        <v>106</v>
      </c>
      <c r="J36" s="286">
        <f>'E-Costos'!B32*0.21</f>
        <v>32.507239245052588</v>
      </c>
      <c r="K36" s="286">
        <f>'E-Costos'!C32*0.21</f>
        <v>32.507239245052588</v>
      </c>
      <c r="L36" s="286">
        <f>'E-Costos'!D32*0.21</f>
        <v>32.507239245052588</v>
      </c>
      <c r="M36" s="286">
        <f>'E-Costos'!E32*0.21</f>
        <v>32.507239245052588</v>
      </c>
      <c r="N36" s="287">
        <f>'E-Costos'!F32*0.21</f>
        <v>32.507239245052588</v>
      </c>
    </row>
    <row r="37" spans="1:14" ht="13.5" thickTop="1" x14ac:dyDescent="0.2">
      <c r="I37" s="285"/>
      <c r="J37" s="288"/>
      <c r="K37" s="288"/>
      <c r="L37" s="288"/>
      <c r="M37" s="288"/>
      <c r="N37" s="289"/>
    </row>
    <row r="38" spans="1:14" x14ac:dyDescent="0.2">
      <c r="I38" s="285" t="s">
        <v>158</v>
      </c>
      <c r="J38" s="286">
        <f>SUM(J33:J36)</f>
        <v>24717.599507838833</v>
      </c>
      <c r="K38" s="286">
        <f t="shared" ref="K38:N38" si="12">SUM(K33:K36)</f>
        <v>24713.172332560665</v>
      </c>
      <c r="L38" s="286">
        <f t="shared" si="12"/>
        <v>24713.172332560665</v>
      </c>
      <c r="M38" s="286">
        <f t="shared" si="12"/>
        <v>24723.997572883483</v>
      </c>
      <c r="N38" s="287">
        <f t="shared" si="12"/>
        <v>24723.997572883483</v>
      </c>
    </row>
    <row r="39" spans="1:14" ht="13.5" thickBot="1" x14ac:dyDescent="0.25">
      <c r="I39" s="290" t="s">
        <v>468</v>
      </c>
      <c r="J39" s="291">
        <f>J38</f>
        <v>24717.599507838833</v>
      </c>
      <c r="K39" s="291">
        <f>K38-J38</f>
        <v>-4.4271752781678515</v>
      </c>
      <c r="L39" s="291">
        <f t="shared" ref="L39:N39" si="13">L38-K38</f>
        <v>0</v>
      </c>
      <c r="M39" s="291">
        <f t="shared" si="13"/>
        <v>10.82524032281799</v>
      </c>
      <c r="N39" s="292">
        <f t="shared" si="13"/>
        <v>0</v>
      </c>
    </row>
    <row r="40" spans="1:14" ht="13.5" thickBot="1" x14ac:dyDescent="0.25"/>
    <row r="41" spans="1:14" x14ac:dyDescent="0.2">
      <c r="I41" s="293" t="s">
        <v>469</v>
      </c>
      <c r="J41" s="283" t="s">
        <v>54</v>
      </c>
      <c r="K41" s="283" t="s">
        <v>95</v>
      </c>
      <c r="L41" s="283" t="s">
        <v>96</v>
      </c>
      <c r="M41" s="283" t="s">
        <v>97</v>
      </c>
      <c r="N41" s="284" t="s">
        <v>98</v>
      </c>
    </row>
    <row r="42" spans="1:14" x14ac:dyDescent="0.2">
      <c r="I42" s="285" t="s">
        <v>99</v>
      </c>
      <c r="J42" s="286">
        <f>0.21*('E-Costos'!B7+'E-Costos'!B25+'E-Costos'!B41)*'E-InvAT'!K17/'E-InvAT'!J17</f>
        <v>19042.490749769844</v>
      </c>
      <c r="K42" s="286">
        <f>0.21*('E-Costos'!C7+'E-Costos'!C25+'E-Costos'!C41)*'E-InvAT'!$K$18/'E-InvAT'!$J$18</f>
        <v>23357.315628054064</v>
      </c>
      <c r="L42" s="286">
        <f>0.21*('E-Costos'!D7+'E-Costos'!D25+'E-Costos'!D41)*'E-InvAT'!$K$18/'E-InvAT'!$J$18</f>
        <v>23357.315628054064</v>
      </c>
      <c r="M42" s="286">
        <f>0.21*('E-Costos'!E7+'E-Costos'!E25+'E-Costos'!E41)*'E-InvAT'!$K$18/'E-InvAT'!$J$18</f>
        <v>23357.315628054064</v>
      </c>
      <c r="N42" s="287">
        <f>0.21*('E-Costos'!F7+'E-Costos'!F25+'E-Costos'!F41)*'E-InvAT'!$K$18/'E-InvAT'!$J$18</f>
        <v>23357.315628054064</v>
      </c>
    </row>
    <row r="43" spans="1:14" x14ac:dyDescent="0.2">
      <c r="I43" s="285" t="s">
        <v>104</v>
      </c>
      <c r="J43" s="286">
        <f>0.21*('E-Costos'!B12+'E-Costos'!B30+'E-Costos'!B41)*'E-InvAT'!K17/'E-InvAT'!J17</f>
        <v>938.59876124411699</v>
      </c>
      <c r="K43" s="286">
        <f>0.21*('E-Costos'!C12+'E-Costos'!C30+'E-Costos'!C41)*$K$18/$J$18</f>
        <v>572.39281315087692</v>
      </c>
      <c r="L43" s="286">
        <f>0.21*('E-Costos'!D12+'E-Costos'!D30+'E-Costos'!D41)*$K$18/$J$18</f>
        <v>572.39281315087692</v>
      </c>
      <c r="M43" s="286">
        <f>0.21*('E-Costos'!E12+'E-Costos'!E30+'E-Costos'!E41)*$K$18/$J$18</f>
        <v>593.86893804322574</v>
      </c>
      <c r="N43" s="287">
        <f>0.21*('E-Costos'!F12+'E-Costos'!F30+'E-Costos'!F41)*$K$18/$J$18</f>
        <v>593.86893804322574</v>
      </c>
    </row>
    <row r="44" spans="1:14" x14ac:dyDescent="0.2">
      <c r="I44" s="285" t="s">
        <v>105</v>
      </c>
      <c r="J44" s="286">
        <f>0.21*('E-Costos'!B13+'E-Costos'!B31+'E-Costos'!B41)*'E-InvAT'!K17/'E-InvAT'!J17</f>
        <v>370.2635809734968</v>
      </c>
      <c r="K44" s="286">
        <f>0.21*('E-Costos'!C13+'E-Costos'!C31+'E-Costos'!C41)*'E-InvAT'!$K$18/'E-InvAT'!$J$18</f>
        <v>87.830446584957912</v>
      </c>
      <c r="L44" s="286">
        <f>0.21*('E-Costos'!D13+'E-Costos'!D31+'E-Costos'!D41)*'E-InvAT'!$K$18/'E-InvAT'!$J$18</f>
        <v>87.830446584957912</v>
      </c>
      <c r="M44" s="286">
        <f>0.21*('E-Costos'!E13+'E-Costos'!E31+'E-Costos'!E41)*'E-InvAT'!$K$18/'E-InvAT'!$J$18</f>
        <v>87.830446584957912</v>
      </c>
      <c r="N44" s="287">
        <f>0.21*('E-Costos'!F13+'E-Costos'!F31+'E-Costos'!F41)*'E-InvAT'!$K$18/'E-InvAT'!$J$18</f>
        <v>87.830446584957912</v>
      </c>
    </row>
    <row r="45" spans="1:14" x14ac:dyDescent="0.2">
      <c r="I45" s="285" t="s">
        <v>106</v>
      </c>
      <c r="J45" s="286">
        <f>0.21*('E-Costos'!B14+'E-Costos'!B32+'E-Costos'!B41)*K17/J17</f>
        <v>303.03045619960443</v>
      </c>
      <c r="K45" s="286">
        <f>0.21*('E-Costos'!C14+'E-Costos'!C32+'E-Costos'!C41)*'E-InvAT'!$K$18/'E-InvAT'!$J$18</f>
        <v>64.490903583968603</v>
      </c>
      <c r="L45" s="286">
        <f>0.21*('E-Costos'!D14+'E-Costos'!D32+'E-Costos'!D41)*'E-InvAT'!$K$18/'E-InvAT'!$J$18</f>
        <v>64.490903583968603</v>
      </c>
      <c r="M45" s="286">
        <f>0.21*('E-Costos'!E14+'E-Costos'!E32+'E-Costos'!E41)*'E-InvAT'!$K$18/'E-InvAT'!$J$18</f>
        <v>64.490903583968603</v>
      </c>
      <c r="N45" s="287">
        <f>0.21*('E-Costos'!F14+'E-Costos'!F32+'E-Costos'!F41)*'E-InvAT'!$K$18/'E-InvAT'!$J$18</f>
        <v>64.490903583968603</v>
      </c>
    </row>
    <row r="46" spans="1:14" x14ac:dyDescent="0.2">
      <c r="I46" s="285"/>
      <c r="J46" s="286"/>
      <c r="K46" s="286"/>
      <c r="L46" s="286"/>
      <c r="M46" s="286"/>
      <c r="N46" s="287"/>
    </row>
    <row r="47" spans="1:14" x14ac:dyDescent="0.2">
      <c r="I47" s="285" t="s">
        <v>158</v>
      </c>
      <c r="J47" s="286">
        <f>SUM(J42:J45)</f>
        <v>20654.383548187063</v>
      </c>
      <c r="K47" s="286">
        <f t="shared" ref="K47:N47" si="14">SUM(K42:K45)</f>
        <v>24082.029791373869</v>
      </c>
      <c r="L47" s="286">
        <f t="shared" si="14"/>
        <v>24082.029791373869</v>
      </c>
      <c r="M47" s="286">
        <f t="shared" si="14"/>
        <v>24103.505916266218</v>
      </c>
      <c r="N47" s="287">
        <f t="shared" si="14"/>
        <v>24103.505916266218</v>
      </c>
    </row>
    <row r="48" spans="1:14" ht="13.5" thickBot="1" x14ac:dyDescent="0.25">
      <c r="I48" s="290" t="s">
        <v>468</v>
      </c>
      <c r="J48" s="291">
        <f>J47</f>
        <v>20654.383548187063</v>
      </c>
      <c r="K48" s="291">
        <f>K47-J47</f>
        <v>3427.6462431868058</v>
      </c>
      <c r="L48" s="291">
        <f t="shared" ref="L48:N48" si="15">L47-K47</f>
        <v>0</v>
      </c>
      <c r="M48" s="291">
        <f t="shared" si="15"/>
        <v>21.476124892349617</v>
      </c>
      <c r="N48" s="292">
        <f t="shared" si="15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90" zoomScaleNormal="90" workbookViewId="0">
      <selection activeCell="B25" sqref="B25"/>
    </sheetView>
  </sheetViews>
  <sheetFormatPr baseColWidth="10" defaultColWidth="11.28515625" defaultRowHeight="12.75" x14ac:dyDescent="0.2"/>
  <cols>
    <col min="1" max="1" width="28" style="16" customWidth="1"/>
    <col min="2" max="2" width="13.85546875" style="16" customWidth="1"/>
    <col min="3" max="3" width="15.85546875" style="16" customWidth="1"/>
    <col min="4" max="8" width="14.85546875" style="16" bestFit="1" customWidth="1"/>
    <col min="9" max="9" width="16" style="16" bestFit="1" customWidth="1"/>
    <col min="10" max="10" width="17.28515625" style="16" customWidth="1"/>
    <col min="11" max="16384" width="11.28515625" style="16"/>
  </cols>
  <sheetData>
    <row r="1" spans="1:9" x14ac:dyDescent="0.2">
      <c r="A1" s="1" t="s">
        <v>0</v>
      </c>
      <c r="B1"/>
      <c r="C1"/>
      <c r="D1"/>
      <c r="G1" s="2">
        <f>InfoInicial!E1</f>
        <v>9</v>
      </c>
    </row>
    <row r="3" spans="1:9" ht="15.75" x14ac:dyDescent="0.25">
      <c r="A3" s="55" t="s">
        <v>195</v>
      </c>
      <c r="B3" s="56"/>
      <c r="C3" s="56"/>
      <c r="D3" s="56"/>
      <c r="E3" s="56"/>
      <c r="F3" s="56"/>
      <c r="G3" s="56"/>
      <c r="H3" s="56"/>
      <c r="I3" s="57"/>
    </row>
    <row r="4" spans="1:9" ht="25.5" x14ac:dyDescent="0.2">
      <c r="A4" s="58" t="s">
        <v>94</v>
      </c>
      <c r="B4" s="109" t="s">
        <v>196</v>
      </c>
      <c r="C4" s="109" t="s">
        <v>197</v>
      </c>
      <c r="D4" s="20" t="s">
        <v>54</v>
      </c>
      <c r="E4" s="20" t="s">
        <v>95</v>
      </c>
      <c r="F4" s="20" t="s">
        <v>96</v>
      </c>
      <c r="G4" s="20" t="s">
        <v>97</v>
      </c>
      <c r="H4" s="110" t="s">
        <v>98</v>
      </c>
      <c r="I4" s="21" t="s">
        <v>198</v>
      </c>
    </row>
    <row r="5" spans="1:9" x14ac:dyDescent="0.2">
      <c r="A5" s="104" t="s">
        <v>199</v>
      </c>
      <c r="B5" s="105"/>
      <c r="C5" s="105"/>
      <c r="D5" s="105"/>
      <c r="E5" s="105"/>
      <c r="F5" s="105"/>
      <c r="G5" s="105"/>
      <c r="H5" s="111"/>
      <c r="I5" s="106"/>
    </row>
    <row r="6" spans="1:9" x14ac:dyDescent="0.2">
      <c r="A6" s="112" t="s">
        <v>200</v>
      </c>
      <c r="B6" s="61">
        <v>0</v>
      </c>
      <c r="C6" s="61">
        <f>'E-Inv AF y Am'!B20</f>
        <v>13746038.5</v>
      </c>
      <c r="D6" s="61">
        <v>0</v>
      </c>
      <c r="E6" s="61">
        <v>0</v>
      </c>
      <c r="F6" s="61">
        <v>0</v>
      </c>
      <c r="G6" s="61">
        <v>0</v>
      </c>
      <c r="H6" s="113">
        <v>0</v>
      </c>
      <c r="I6" s="62">
        <f>SUM(B6:H6)</f>
        <v>13746038.5</v>
      </c>
    </row>
    <row r="7" spans="1:9" x14ac:dyDescent="0.2">
      <c r="A7" s="112" t="s">
        <v>201</v>
      </c>
      <c r="B7" s="61">
        <f>'E-Inv AF y Am'!B23</f>
        <v>100000</v>
      </c>
      <c r="C7" s="61">
        <f>'E-Inv AF y Am'!B24+'E-Inv AF y Am'!B25+'E-Inv AF y Am'!B27+'E-Inv AF y Am'!B28+'E-Inv AF y Am'!B29</f>
        <v>369650</v>
      </c>
      <c r="D7" s="61">
        <f>'E-Inv AF y Am'!C26</f>
        <v>349272.28200000001</v>
      </c>
      <c r="E7" s="61">
        <v>0</v>
      </c>
      <c r="F7" s="61">
        <v>0</v>
      </c>
      <c r="G7" s="61">
        <v>0</v>
      </c>
      <c r="H7" s="113">
        <v>0</v>
      </c>
      <c r="I7" s="62">
        <f>SUM(B7:H7)</f>
        <v>818922.28200000001</v>
      </c>
    </row>
    <row r="8" spans="1:9" x14ac:dyDescent="0.2">
      <c r="A8" s="104" t="s">
        <v>202</v>
      </c>
      <c r="B8" s="93">
        <f>SUM(B6:B7)</f>
        <v>100000</v>
      </c>
      <c r="C8" s="93">
        <f t="shared" ref="C8:I8" si="0">SUM(C6:C7)</f>
        <v>14115688.5</v>
      </c>
      <c r="D8" s="93">
        <f t="shared" si="0"/>
        <v>349272.28200000001</v>
      </c>
      <c r="E8" s="93">
        <f t="shared" si="0"/>
        <v>0</v>
      </c>
      <c r="F8" s="93">
        <f t="shared" si="0"/>
        <v>0</v>
      </c>
      <c r="G8" s="93">
        <f t="shared" si="0"/>
        <v>0</v>
      </c>
      <c r="H8" s="93">
        <f t="shared" si="0"/>
        <v>0</v>
      </c>
      <c r="I8" s="93">
        <f t="shared" si="0"/>
        <v>14564960.782</v>
      </c>
    </row>
    <row r="9" spans="1:9" x14ac:dyDescent="0.2">
      <c r="A9" s="112"/>
      <c r="B9" s="84"/>
      <c r="C9" s="84"/>
      <c r="D9" s="84"/>
      <c r="E9" s="84"/>
      <c r="F9" s="84"/>
      <c r="G9" s="84"/>
      <c r="H9" s="114"/>
      <c r="I9" s="85"/>
    </row>
    <row r="10" spans="1:9" x14ac:dyDescent="0.2">
      <c r="A10" s="104" t="s">
        <v>203</v>
      </c>
      <c r="B10" s="61"/>
      <c r="C10" s="61"/>
      <c r="D10" s="61"/>
      <c r="E10" s="61"/>
      <c r="F10" s="61"/>
      <c r="G10" s="61"/>
      <c r="H10" s="113"/>
      <c r="I10" s="62"/>
    </row>
    <row r="11" spans="1:9" x14ac:dyDescent="0.2">
      <c r="A11" s="112" t="s">
        <v>204</v>
      </c>
      <c r="B11" s="61">
        <v>0</v>
      </c>
      <c r="C11" s="61">
        <f>'E-InvAT'!B6</f>
        <v>173795</v>
      </c>
      <c r="D11" s="61">
        <f>'E-InvAT'!C6-'E-InvAT'!B6</f>
        <v>43448.75</v>
      </c>
      <c r="E11" s="61">
        <f>'E-InvAT'!D6-'E-InvAT'!C6</f>
        <v>72411.25</v>
      </c>
      <c r="F11" s="61">
        <f>'E-InvAT'!E6-'E-InvAT'!D6</f>
        <v>0</v>
      </c>
      <c r="G11" s="61">
        <f>'E-InvAT'!F6-'E-InvAT'!E6</f>
        <v>0</v>
      </c>
      <c r="H11" s="61">
        <f>'E-InvAT'!G6-'E-InvAT'!F6</f>
        <v>0</v>
      </c>
      <c r="I11" s="62">
        <f>SUM(B11:H11)</f>
        <v>289655</v>
      </c>
    </row>
    <row r="12" spans="1:9" x14ac:dyDescent="0.2">
      <c r="A12" s="112" t="s">
        <v>205</v>
      </c>
      <c r="B12" s="61">
        <v>0</v>
      </c>
      <c r="C12" s="61">
        <v>0</v>
      </c>
      <c r="D12" s="61">
        <f>'E-InvAT'!C7-'E-InvAT'!C19-'E-InvAT'!C20</f>
        <v>861067.48262547026</v>
      </c>
      <c r="E12" s="61">
        <f>('E-InvAT'!D7-'E-InvAT'!D19-'E-InvAT'!D20)-('E-InvAT'!C7-'E-InvAT'!C19-'E-InvAT'!C20)</f>
        <v>342784.86562786251</v>
      </c>
      <c r="F12" s="61">
        <f>('E-InvAT'!E7-'E-InvAT'!E19-'E-InvAT'!E20)-('E-InvAT'!D7-'E-InvAT'!D19-'E-InvAT'!D20)</f>
        <v>-5988.5167557853274</v>
      </c>
      <c r="G12" s="61">
        <f>('E-InvAT'!F7-'E-InvAT'!F19-'E-InvAT'!F20)-('E-InvAT'!E7-'E-InvAT'!E19-'E-InvAT'!E20)</f>
        <v>563.16709591960534</v>
      </c>
      <c r="H12" s="61">
        <f>('E-InvAT'!G7-'E-InvAT'!G19-'E-InvAT'!G20)-('E-InvAT'!F7-'E-InvAT'!F19-'E-InvAT'!F20)</f>
        <v>-15.171986877452582</v>
      </c>
      <c r="I12" s="62">
        <f>SUM(B12:H12)</f>
        <v>1198411.8266065896</v>
      </c>
    </row>
    <row r="13" spans="1:9" x14ac:dyDescent="0.2">
      <c r="A13" s="112" t="s">
        <v>206</v>
      </c>
      <c r="B13" s="61"/>
      <c r="C13" s="61"/>
      <c r="D13" s="61"/>
      <c r="E13" s="61"/>
      <c r="F13" s="61"/>
      <c r="G13" s="61"/>
      <c r="H13" s="113"/>
      <c r="I13" s="62"/>
    </row>
    <row r="14" spans="1:9" x14ac:dyDescent="0.2">
      <c r="A14" s="112" t="s">
        <v>207</v>
      </c>
      <c r="B14" s="61">
        <v>0</v>
      </c>
      <c r="C14" s="61">
        <f>'E-InvAT'!B10</f>
        <v>957612.33960000006</v>
      </c>
      <c r="D14" s="61">
        <f>'E-InvAT'!C10-'E-InvAT'!B10</f>
        <v>236701.7548</v>
      </c>
      <c r="E14" s="61">
        <f>'E-InvAT'!D10-'E-InvAT'!C10</f>
        <v>0</v>
      </c>
      <c r="F14" s="61">
        <f>'E-InvAT'!E10-'E-InvAT'!D10</f>
        <v>0</v>
      </c>
      <c r="G14" s="61">
        <f>'E-InvAT'!F10-'E-InvAT'!E10</f>
        <v>0</v>
      </c>
      <c r="H14" s="61">
        <f>'E-InvAT'!G10-'E-InvAT'!F10</f>
        <v>0</v>
      </c>
      <c r="I14" s="62">
        <f>SUM(B14:H14)</f>
        <v>1194314.0944000001</v>
      </c>
    </row>
    <row r="15" spans="1:9" x14ac:dyDescent="0.2">
      <c r="A15" s="112" t="s">
        <v>208</v>
      </c>
      <c r="B15" s="61">
        <v>0</v>
      </c>
      <c r="C15" s="61">
        <f>'E-InvAT'!B11</f>
        <v>203764.74970603784</v>
      </c>
      <c r="D15" s="61">
        <f>'E-InvAT'!C11-'E-InvAT'!B11</f>
        <v>50941.187426509452</v>
      </c>
      <c r="E15" s="61">
        <f>'E-InvAT'!D11-'E-InvAT'!C11</f>
        <v>28148.003640899988</v>
      </c>
      <c r="F15" s="61">
        <f>'E-InvAT'!E11-'E-InvAT'!D11</f>
        <v>0</v>
      </c>
      <c r="G15" s="61">
        <f>'E-InvAT'!F11-'E-InvAT'!E11</f>
        <v>10232.201588441967</v>
      </c>
      <c r="H15" s="61">
        <f>'E-InvAT'!G11-'E-InvAT'!F11</f>
        <v>0</v>
      </c>
      <c r="I15" s="62">
        <f>SUM(B15:H15)</f>
        <v>293086.14236188924</v>
      </c>
    </row>
    <row r="16" spans="1:9" x14ac:dyDescent="0.2">
      <c r="A16" s="112" t="s">
        <v>209</v>
      </c>
      <c r="B16" s="61">
        <v>0</v>
      </c>
      <c r="C16" s="61">
        <v>0</v>
      </c>
      <c r="D16" s="61">
        <f>'E-InvAT'!C12-'E-InvAT'!C17</f>
        <v>240131.58139081305</v>
      </c>
      <c r="E16" s="61">
        <f>'E-InvAT'!D12-'E-InvAT'!D17-('E-InvAT'!C12-'E-InvAT'!C17)</f>
        <v>-20273.976780837518</v>
      </c>
      <c r="F16" s="61">
        <f>'E-InvAT'!E12-'E-InvAT'!E17-('E-InvAT'!D12-'E-InvAT'!D17)</f>
        <v>0</v>
      </c>
      <c r="G16" s="61">
        <f>'E-InvAT'!F12-'E-InvAT'!F17-('E-InvAT'!E12-'E-InvAT'!E17)</f>
        <v>52.04959252034314</v>
      </c>
      <c r="H16" s="61">
        <f>'E-InvAT'!G12-'E-InvAT'!G17-('E-InvAT'!F12-'E-InvAT'!F17)</f>
        <v>0</v>
      </c>
      <c r="I16" s="62">
        <f>SUM(B16:H16)</f>
        <v>219909.65420249588</v>
      </c>
    </row>
    <row r="17" spans="1:9" x14ac:dyDescent="0.2">
      <c r="A17" s="112" t="s">
        <v>210</v>
      </c>
      <c r="B17" s="61">
        <v>0</v>
      </c>
      <c r="C17" s="61">
        <v>0</v>
      </c>
      <c r="D17" s="61">
        <f>'E-InvAT'!C13-'E-InvAT'!C18</f>
        <v>92969.627825252872</v>
      </c>
      <c r="E17" s="61">
        <f>('E-InvAT'!D13-'E-InvAT'!D18)-('E-InvAT'!C13-'E-InvAT'!C18)</f>
        <v>28472.689225778508</v>
      </c>
      <c r="F17" s="61">
        <f>('E-InvAT'!E13-'E-InvAT'!E18)-('E-InvAT'!D13-'E-InvAT'!D18)</f>
        <v>-202.63127783236268</v>
      </c>
      <c r="G17" s="61">
        <f>('E-InvAT'!F13-'E-InvAT'!F18)-('E-InvAT'!E13-'E-InvAT'!E18)</f>
        <v>102.22041819513834</v>
      </c>
      <c r="H17" s="61">
        <f>('E-InvAT'!G13-'E-InvAT'!G18)-('E-InvAT'!F13-'E-InvAT'!F18)</f>
        <v>0.52021739775955211</v>
      </c>
      <c r="I17" s="62">
        <f>SUM(B17:H17)</f>
        <v>121342.42640879191</v>
      </c>
    </row>
    <row r="18" spans="1:9" x14ac:dyDescent="0.2">
      <c r="A18" s="104" t="s">
        <v>211</v>
      </c>
      <c r="B18" s="93">
        <f>SUM(B11:B17)</f>
        <v>0</v>
      </c>
      <c r="C18" s="93">
        <f t="shared" ref="C18:I18" si="1">SUM(C11:C17)</f>
        <v>1335172.0893060379</v>
      </c>
      <c r="D18" s="93">
        <f t="shared" si="1"/>
        <v>1525260.3840680455</v>
      </c>
      <c r="E18" s="93">
        <f t="shared" si="1"/>
        <v>451542.83171370352</v>
      </c>
      <c r="F18" s="93">
        <f t="shared" si="1"/>
        <v>-6191.1480336176901</v>
      </c>
      <c r="G18" s="93">
        <f t="shared" si="1"/>
        <v>10949.638695077054</v>
      </c>
      <c r="H18" s="93">
        <f t="shared" si="1"/>
        <v>-14.65176947969303</v>
      </c>
      <c r="I18" s="93">
        <f t="shared" si="1"/>
        <v>3316719.1439797664</v>
      </c>
    </row>
    <row r="19" spans="1:9" x14ac:dyDescent="0.2">
      <c r="A19" s="112"/>
      <c r="B19" s="84"/>
      <c r="C19" s="84"/>
      <c r="D19" s="84"/>
      <c r="E19" s="84"/>
      <c r="F19" s="84"/>
      <c r="G19" s="84"/>
      <c r="H19" s="114"/>
      <c r="I19" s="85"/>
    </row>
    <row r="20" spans="1:9" x14ac:dyDescent="0.2">
      <c r="A20" s="104" t="s">
        <v>212</v>
      </c>
      <c r="B20" s="84"/>
      <c r="C20" s="84"/>
      <c r="D20" s="84"/>
      <c r="E20" s="84"/>
      <c r="F20" s="84"/>
      <c r="G20" s="84"/>
      <c r="H20" s="114"/>
      <c r="I20" s="85"/>
    </row>
    <row r="21" spans="1:9" x14ac:dyDescent="0.2">
      <c r="A21" s="112" t="s">
        <v>213</v>
      </c>
      <c r="B21" s="61">
        <f>B8*0.21</f>
        <v>21000</v>
      </c>
      <c r="C21" s="61">
        <f t="shared" ref="C21:I21" si="2">C8*0.21</f>
        <v>2964294.585</v>
      </c>
      <c r="D21" s="61">
        <f t="shared" si="2"/>
        <v>73347.179220000005</v>
      </c>
      <c r="E21" s="61">
        <f t="shared" si="2"/>
        <v>0</v>
      </c>
      <c r="F21" s="61">
        <f t="shared" si="2"/>
        <v>0</v>
      </c>
      <c r="G21" s="61">
        <f t="shared" si="2"/>
        <v>0</v>
      </c>
      <c r="H21" s="61">
        <f t="shared" si="2"/>
        <v>0</v>
      </c>
      <c r="I21" s="61">
        <f t="shared" si="2"/>
        <v>3058641.7642199998</v>
      </c>
    </row>
    <row r="22" spans="1:9" x14ac:dyDescent="0.2">
      <c r="A22" s="112" t="s">
        <v>214</v>
      </c>
      <c r="B22" s="61">
        <v>0</v>
      </c>
      <c r="C22" s="61">
        <f>'E-InvAT'!B34</f>
        <v>243889.18875426793</v>
      </c>
      <c r="D22" s="61">
        <f>'E-InvAT'!C34</f>
        <v>105777.00092359289</v>
      </c>
      <c r="E22" s="61">
        <f>'E-InvAT'!D34</f>
        <v>9334.2998324976361</v>
      </c>
      <c r="F22" s="61">
        <f>'E-InvAT'!E34</f>
        <v>0</v>
      </c>
      <c r="G22" s="61">
        <f>'E-InvAT'!F34</f>
        <v>2181.0636987879807</v>
      </c>
      <c r="H22" s="61">
        <f>'E-InvAT'!G34</f>
        <v>0</v>
      </c>
      <c r="I22" s="61">
        <f>SUM(B22:H22)</f>
        <v>361181.55320914643</v>
      </c>
    </row>
    <row r="23" spans="1:9" x14ac:dyDescent="0.2">
      <c r="A23" s="104" t="s">
        <v>215</v>
      </c>
      <c r="B23" s="93">
        <f>SUM(B21:B22)</f>
        <v>21000</v>
      </c>
      <c r="C23" s="93">
        <f t="shared" ref="C23:H23" si="3">SUM(C21:C22)</f>
        <v>3208183.773754268</v>
      </c>
      <c r="D23" s="93">
        <f t="shared" si="3"/>
        <v>179124.18014359288</v>
      </c>
      <c r="E23" s="93">
        <f t="shared" si="3"/>
        <v>9334.2998324976361</v>
      </c>
      <c r="F23" s="93">
        <f t="shared" si="3"/>
        <v>0</v>
      </c>
      <c r="G23" s="93">
        <f t="shared" si="3"/>
        <v>2181.0636987879807</v>
      </c>
      <c r="H23" s="93">
        <f t="shared" si="3"/>
        <v>0</v>
      </c>
      <c r="I23" s="93">
        <f>SUM(I21:I22)</f>
        <v>3419823.3174291463</v>
      </c>
    </row>
    <row r="24" spans="1:9" x14ac:dyDescent="0.2">
      <c r="A24" s="104"/>
      <c r="B24" s="84"/>
      <c r="C24" s="84"/>
      <c r="D24" s="84"/>
      <c r="E24" s="84"/>
      <c r="F24" s="84"/>
      <c r="G24" s="84"/>
      <c r="H24" s="114"/>
      <c r="I24" s="85"/>
    </row>
    <row r="25" spans="1:9" x14ac:dyDescent="0.2">
      <c r="A25" s="108" t="s">
        <v>216</v>
      </c>
      <c r="B25" s="148">
        <f>B8+B18+B23</f>
        <v>121000</v>
      </c>
      <c r="C25" s="148">
        <f t="shared" ref="C25:I25" si="4">C8+C18+C23</f>
        <v>18659044.363060307</v>
      </c>
      <c r="D25" s="148">
        <f t="shared" si="4"/>
        <v>2053656.8462116383</v>
      </c>
      <c r="E25" s="148">
        <f t="shared" si="4"/>
        <v>460877.13154620118</v>
      </c>
      <c r="F25" s="148">
        <f t="shared" si="4"/>
        <v>-6191.1480336176901</v>
      </c>
      <c r="G25" s="148">
        <f t="shared" si="4"/>
        <v>13130.702393865035</v>
      </c>
      <c r="H25" s="148">
        <f t="shared" si="4"/>
        <v>-14.65176947969303</v>
      </c>
      <c r="I25" s="148">
        <f t="shared" si="4"/>
        <v>21301503.243408915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="90" zoomScaleNormal="90" workbookViewId="0">
      <selection activeCell="K22" sqref="K22"/>
    </sheetView>
  </sheetViews>
  <sheetFormatPr baseColWidth="10" defaultColWidth="11.28515625" defaultRowHeight="12.75" x14ac:dyDescent="0.2"/>
  <cols>
    <col min="1" max="1" width="28" style="16" customWidth="1"/>
    <col min="2" max="2" width="20.5703125" style="16" customWidth="1"/>
    <col min="3" max="7" width="15.71093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9</v>
      </c>
    </row>
    <row r="2" spans="1:7" ht="15.75" x14ac:dyDescent="0.25">
      <c r="A2" s="116" t="s">
        <v>217</v>
      </c>
      <c r="B2" s="56"/>
      <c r="C2" s="56"/>
      <c r="D2" s="56"/>
      <c r="E2" s="56"/>
      <c r="F2" s="56"/>
      <c r="G2" s="57"/>
    </row>
    <row r="3" spans="1:7" ht="15.75" x14ac:dyDescent="0.25">
      <c r="A3" s="117"/>
      <c r="B3" s="118" t="s">
        <v>218</v>
      </c>
      <c r="C3" s="118"/>
      <c r="D3" s="118"/>
      <c r="E3" s="118"/>
      <c r="F3" s="118"/>
      <c r="G3" s="119"/>
    </row>
    <row r="4" spans="1:7" x14ac:dyDescent="0.2">
      <c r="A4" s="120" t="s">
        <v>94</v>
      </c>
      <c r="B4" s="109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x14ac:dyDescent="0.2">
      <c r="A5" s="121" t="s">
        <v>219</v>
      </c>
      <c r="B5" s="122"/>
      <c r="C5" s="105"/>
      <c r="D5" s="105"/>
      <c r="E5" s="105"/>
      <c r="F5" s="105"/>
      <c r="G5" s="106"/>
    </row>
    <row r="6" spans="1:7" x14ac:dyDescent="0.2">
      <c r="A6" s="123" t="s">
        <v>220</v>
      </c>
      <c r="B6" s="124">
        <v>0</v>
      </c>
      <c r="C6" s="61">
        <f>'E-Costos'!B7*0.21</f>
        <v>1403862.3080159998</v>
      </c>
      <c r="D6" s="61">
        <f>'E-Costos'!C7*0.21</f>
        <v>2312634.2537759999</v>
      </c>
      <c r="E6" s="61">
        <f>'E-Costos'!D7*0.21</f>
        <v>2312634.2537759999</v>
      </c>
      <c r="F6" s="61">
        <f>'E-Costos'!E7*0.21</f>
        <v>2312634.2537759999</v>
      </c>
      <c r="G6" s="61">
        <f>'E-Costos'!F7*0.21</f>
        <v>2312634.2537759999</v>
      </c>
    </row>
    <row r="7" spans="1:7" x14ac:dyDescent="0.2">
      <c r="A7" s="123" t="s">
        <v>104</v>
      </c>
      <c r="B7" s="124">
        <v>0</v>
      </c>
      <c r="C7" s="61">
        <f>0.21*'E-Costos'!B12</f>
        <v>51283.266881301002</v>
      </c>
      <c r="D7" s="61">
        <f>0.21*'E-Costos'!C12</f>
        <v>56981.407645889994</v>
      </c>
      <c r="E7" s="61">
        <f>0.21*'E-Costos'!D12</f>
        <v>56981.407645889994</v>
      </c>
      <c r="F7" s="61">
        <f>0.21*'E-Costos'!E12</f>
        <v>59119.344739139997</v>
      </c>
      <c r="G7" s="61">
        <f>0.21*'E-Costos'!F12</f>
        <v>59119.344739139997</v>
      </c>
    </row>
    <row r="8" spans="1:7" x14ac:dyDescent="0.2">
      <c r="A8" s="123" t="s">
        <v>105</v>
      </c>
      <c r="B8" s="124">
        <v>0</v>
      </c>
      <c r="C8" s="61">
        <f>0.21*'E-Costos'!B13</f>
        <v>8306.3016294299996</v>
      </c>
      <c r="D8" s="61">
        <f>0.21*'E-Costos'!C13</f>
        <v>8743.4753993999984</v>
      </c>
      <c r="E8" s="61">
        <f>0.21*'E-Costos'!D13</f>
        <v>8743.4753993999984</v>
      </c>
      <c r="F8" s="61">
        <f>0.21*'E-Costos'!E13</f>
        <v>8743.4753993999984</v>
      </c>
      <c r="G8" s="61">
        <f>0.21*'E-Costos'!F13</f>
        <v>8743.4753993999984</v>
      </c>
    </row>
    <row r="9" spans="1:7" x14ac:dyDescent="0.2">
      <c r="A9" s="123" t="s">
        <v>106</v>
      </c>
      <c r="B9" s="124">
        <v>0</v>
      </c>
      <c r="C9" s="61">
        <f>0.21*'E-Costos'!B14</f>
        <v>3210.0179999999996</v>
      </c>
      <c r="D9" s="61">
        <f>0.21*'E-Costos'!C14</f>
        <v>6420.0359999999991</v>
      </c>
      <c r="E9" s="61">
        <f>0.21*'E-Costos'!D14</f>
        <v>6420.0359999999991</v>
      </c>
      <c r="F9" s="61">
        <f>0.21*'E-Costos'!E14</f>
        <v>6420.0359999999991</v>
      </c>
      <c r="G9" s="61">
        <f>0.21*'E-Costos'!F14</f>
        <v>6420.0359999999991</v>
      </c>
    </row>
    <row r="10" spans="1:7" x14ac:dyDescent="0.2">
      <c r="A10" s="123" t="s">
        <v>221</v>
      </c>
      <c r="B10" s="124">
        <v>0</v>
      </c>
      <c r="C10" s="61">
        <v>0</v>
      </c>
      <c r="D10" s="61">
        <v>0</v>
      </c>
      <c r="E10" s="61">
        <v>0</v>
      </c>
      <c r="F10" s="61">
        <v>0</v>
      </c>
      <c r="G10" s="62">
        <v>0</v>
      </c>
    </row>
    <row r="11" spans="1:7" x14ac:dyDescent="0.2">
      <c r="A11" s="123" t="s">
        <v>130</v>
      </c>
      <c r="B11" s="124">
        <v>0</v>
      </c>
      <c r="C11" s="61">
        <v>0</v>
      </c>
      <c r="D11" s="61">
        <v>0</v>
      </c>
      <c r="E11" s="61">
        <v>0</v>
      </c>
      <c r="F11" s="61">
        <v>0</v>
      </c>
      <c r="G11" s="62">
        <v>0</v>
      </c>
    </row>
    <row r="12" spans="1:7" x14ac:dyDescent="0.2">
      <c r="A12" s="125" t="s">
        <v>89</v>
      </c>
      <c r="B12" s="294">
        <f>SUM(B6:B11)</f>
        <v>0</v>
      </c>
      <c r="C12" s="294">
        <f t="shared" ref="C12:G12" si="0">SUM(C6:C11)</f>
        <v>1466661.8945267308</v>
      </c>
      <c r="D12" s="294">
        <f t="shared" si="0"/>
        <v>2384779.1728212899</v>
      </c>
      <c r="E12" s="294">
        <f t="shared" si="0"/>
        <v>2384779.1728212899</v>
      </c>
      <c r="F12" s="294">
        <f t="shared" si="0"/>
        <v>2386917.1099145398</v>
      </c>
      <c r="G12" s="294">
        <f t="shared" si="0"/>
        <v>2386917.1099145398</v>
      </c>
    </row>
    <row r="13" spans="1:7" x14ac:dyDescent="0.2">
      <c r="A13" s="123" t="s">
        <v>222</v>
      </c>
      <c r="B13" s="124">
        <v>0</v>
      </c>
      <c r="C13" s="61">
        <f>0.21*('E-Costos'!G35-'E-Costos'!G26)</f>
        <v>19743.33208800001</v>
      </c>
      <c r="D13" s="61">
        <v>0</v>
      </c>
      <c r="E13" s="61">
        <v>0</v>
      </c>
      <c r="F13" s="61">
        <v>0</v>
      </c>
      <c r="G13" s="62">
        <v>0</v>
      </c>
    </row>
    <row r="14" spans="1:7" x14ac:dyDescent="0.2">
      <c r="A14" s="123" t="s">
        <v>223</v>
      </c>
      <c r="B14" s="126"/>
      <c r="C14" s="84"/>
      <c r="D14" s="84"/>
      <c r="E14" s="84"/>
      <c r="F14" s="84"/>
      <c r="G14" s="85"/>
    </row>
    <row r="15" spans="1:7" x14ac:dyDescent="0.2">
      <c r="A15" s="123" t="s">
        <v>224</v>
      </c>
      <c r="B15" s="124">
        <f>'E-InvAT'!B32</f>
        <v>0</v>
      </c>
      <c r="C15" s="124">
        <f>'E-InvAT'!C32</f>
        <v>24717.599507838833</v>
      </c>
      <c r="D15" s="124">
        <f>'E-InvAT'!D32</f>
        <v>-4.4271752781678515</v>
      </c>
      <c r="E15" s="124">
        <f>'E-InvAT'!E32</f>
        <v>0</v>
      </c>
      <c r="F15" s="124">
        <f>'E-InvAT'!F32</f>
        <v>10.82524032281799</v>
      </c>
      <c r="G15" s="124">
        <f>'E-InvAT'!G32</f>
        <v>0</v>
      </c>
    </row>
    <row r="16" spans="1:7" x14ac:dyDescent="0.2">
      <c r="A16" s="123" t="s">
        <v>225</v>
      </c>
      <c r="B16" s="124">
        <f>'E-InvAT'!B33</f>
        <v>0</v>
      </c>
      <c r="C16" s="124">
        <f>'E-InvAT'!C33</f>
        <v>20654.383548187063</v>
      </c>
      <c r="D16" s="124">
        <f>'E-InvAT'!D33</f>
        <v>3427.6462431868058</v>
      </c>
      <c r="E16" s="124">
        <f>'E-InvAT'!E33</f>
        <v>0</v>
      </c>
      <c r="F16" s="124">
        <f>'E-InvAT'!F33</f>
        <v>21.476124892349617</v>
      </c>
      <c r="G16" s="124">
        <f>'E-InvAT'!G33</f>
        <v>0</v>
      </c>
    </row>
    <row r="17" spans="1:11" x14ac:dyDescent="0.2">
      <c r="A17" s="125" t="s">
        <v>226</v>
      </c>
      <c r="B17" s="294">
        <v>0</v>
      </c>
      <c r="C17" s="294">
        <f t="shared" ref="C17:G17" si="1">C12-C13-C15-C16</f>
        <v>1401546.579382705</v>
      </c>
      <c r="D17" s="294">
        <f t="shared" si="1"/>
        <v>2381355.9537533815</v>
      </c>
      <c r="E17" s="294">
        <f t="shared" si="1"/>
        <v>2384779.1728212899</v>
      </c>
      <c r="F17" s="294">
        <f t="shared" si="1"/>
        <v>2386884.8085493245</v>
      </c>
      <c r="G17" s="294">
        <f t="shared" si="1"/>
        <v>2386917.1099145398</v>
      </c>
    </row>
    <row r="18" spans="1:11" x14ac:dyDescent="0.2">
      <c r="A18" s="125" t="s">
        <v>227</v>
      </c>
      <c r="B18" s="294">
        <v>0</v>
      </c>
      <c r="C18" s="93">
        <f>('E-Costos'!B54+'E-Costos'!B55+'E-Costos'!B56+'E-Costos'!B57)*0.21</f>
        <v>1373.5450814714998</v>
      </c>
      <c r="D18" s="93">
        <f>('E-Costos'!C54+'E-Costos'!C55+'E-Costos'!C56+'E-Costos'!C57)*0.21</f>
        <v>1501.8737699699998</v>
      </c>
      <c r="E18" s="93">
        <f>('E-Costos'!D54+'E-Costos'!D55+'E-Costos'!D56+'E-Costos'!D57)*0.21</f>
        <v>1501.8737699699998</v>
      </c>
      <c r="F18" s="93">
        <f>('E-Costos'!E54+'E-Costos'!E55+'E-Costos'!E56+'E-Costos'!E57)*0.21</f>
        <v>1501.8737699699998</v>
      </c>
      <c r="G18" s="93">
        <f>('E-Costos'!F54+'E-Costos'!F55+'E-Costos'!F56+'E-Costos'!F57)*0.21</f>
        <v>1501.8737699699998</v>
      </c>
    </row>
    <row r="19" spans="1:11" x14ac:dyDescent="0.2">
      <c r="A19" s="125" t="s">
        <v>228</v>
      </c>
      <c r="B19" s="294">
        <v>0</v>
      </c>
      <c r="C19" s="93">
        <f>0.21*('E-Costos'!B71+'E-Costos'!B72+'E-Costos'!B73+'E-Costos'!B74)</f>
        <v>1373.5450814714998</v>
      </c>
      <c r="D19" s="93">
        <f>0.21*('E-Costos'!C71+'E-Costos'!C72+'E-Costos'!C73+'E-Costos'!C74)</f>
        <v>1501.8737699699998</v>
      </c>
      <c r="E19" s="93">
        <f>0.21*('E-Costos'!D71+'E-Costos'!D72+'E-Costos'!D73+'E-Costos'!D74)</f>
        <v>1501.8737699699998</v>
      </c>
      <c r="F19" s="93">
        <f>0.21*('E-Costos'!E71+'E-Costos'!E72+'E-Costos'!E73+'E-Costos'!E74)</f>
        <v>1501.8737699699998</v>
      </c>
      <c r="G19" s="93">
        <f>0.21*('E-Costos'!F71+'E-Costos'!F72+'E-Costos'!F73+'E-Costos'!F74)</f>
        <v>1501.8737699699998</v>
      </c>
    </row>
    <row r="20" spans="1:11" x14ac:dyDescent="0.2">
      <c r="A20" s="125"/>
      <c r="B20" s="126"/>
      <c r="C20" s="84"/>
      <c r="D20" s="84"/>
      <c r="E20" s="84"/>
      <c r="F20" s="84"/>
      <c r="G20" s="85"/>
    </row>
    <row r="21" spans="1:11" x14ac:dyDescent="0.2">
      <c r="A21" s="123" t="s">
        <v>229</v>
      </c>
      <c r="B21" s="124">
        <f>SUM(B17:B19)</f>
        <v>0</v>
      </c>
      <c r="C21" s="124">
        <f t="shared" ref="C21:G21" si="2">SUM(C17:C19)</f>
        <v>1404293.6695456482</v>
      </c>
      <c r="D21" s="124">
        <f t="shared" si="2"/>
        <v>2384359.7012933218</v>
      </c>
      <c r="E21" s="124">
        <f t="shared" si="2"/>
        <v>2387782.9203612301</v>
      </c>
      <c r="F21" s="124">
        <f t="shared" si="2"/>
        <v>2389888.5560892648</v>
      </c>
      <c r="G21" s="124">
        <f t="shared" si="2"/>
        <v>2389920.8574544801</v>
      </c>
    </row>
    <row r="22" spans="1:11" x14ac:dyDescent="0.2">
      <c r="A22" s="123" t="s">
        <v>230</v>
      </c>
      <c r="B22" s="124">
        <v>0</v>
      </c>
      <c r="C22" s="61">
        <f>0.21*'E-Costos'!B88</f>
        <v>2281046.25</v>
      </c>
      <c r="D22" s="61">
        <f>0.21*'E-Costos'!C88</f>
        <v>3041377.5</v>
      </c>
      <c r="E22" s="61">
        <f>0.21*'E-Costos'!D88</f>
        <v>3041377.5</v>
      </c>
      <c r="F22" s="61">
        <f>0.21*'E-Costos'!E88</f>
        <v>3041377.5</v>
      </c>
      <c r="G22" s="61">
        <f>0.21*'E-Costos'!F88</f>
        <v>3041377.5</v>
      </c>
      <c r="K22" s="16" t="s">
        <v>536</v>
      </c>
    </row>
    <row r="23" spans="1:11" x14ac:dyDescent="0.2">
      <c r="A23" s="125" t="s">
        <v>231</v>
      </c>
      <c r="B23" s="294">
        <f>B22-B21</f>
        <v>0</v>
      </c>
      <c r="C23" s="294">
        <f t="shared" ref="C23:G23" si="3">C22-C21</f>
        <v>876752.58045435185</v>
      </c>
      <c r="D23" s="294">
        <f t="shared" si="3"/>
        <v>657017.79870667821</v>
      </c>
      <c r="E23" s="294">
        <f t="shared" si="3"/>
        <v>653594.57963876985</v>
      </c>
      <c r="F23" s="294">
        <f t="shared" si="3"/>
        <v>651488.94391073519</v>
      </c>
      <c r="G23" s="294">
        <f t="shared" si="3"/>
        <v>651456.64254551986</v>
      </c>
    </row>
    <row r="24" spans="1:11" x14ac:dyDescent="0.2">
      <c r="A24" s="123"/>
      <c r="B24" s="126"/>
      <c r="C24" s="84"/>
      <c r="D24" s="84"/>
      <c r="E24" s="84"/>
      <c r="F24" s="84"/>
      <c r="G24" s="85"/>
    </row>
    <row r="25" spans="1:11" x14ac:dyDescent="0.2">
      <c r="A25" s="127" t="s">
        <v>232</v>
      </c>
      <c r="B25" s="294">
        <v>0</v>
      </c>
      <c r="C25" s="93">
        <f>B27</f>
        <v>3229183.773754268</v>
      </c>
      <c r="D25" s="93">
        <f t="shared" ref="D25:G25" si="4">C27</f>
        <v>2531555.373443509</v>
      </c>
      <c r="E25" s="93">
        <f t="shared" si="4"/>
        <v>1883871.8745693285</v>
      </c>
      <c r="F25" s="93">
        <f t="shared" si="4"/>
        <v>1230277.2949305587</v>
      </c>
      <c r="G25" s="93">
        <f t="shared" si="4"/>
        <v>580969.4147186114</v>
      </c>
    </row>
    <row r="26" spans="1:11" x14ac:dyDescent="0.2">
      <c r="A26" s="127" t="s">
        <v>233</v>
      </c>
      <c r="B26" s="294">
        <f>'E-Cal Inv.'!B23+'E-Cal Inv.'!C23</f>
        <v>3229183.773754268</v>
      </c>
      <c r="C26" s="93">
        <f>'E-Cal Inv.'!D23</f>
        <v>179124.18014359288</v>
      </c>
      <c r="D26" s="93">
        <f>'E-Cal Inv.'!E23</f>
        <v>9334.2998324976361</v>
      </c>
      <c r="E26" s="93">
        <f>'E-Cal Inv.'!F23</f>
        <v>0</v>
      </c>
      <c r="F26" s="93">
        <f>'E-Cal Inv.'!G23</f>
        <v>2181.0636987879807</v>
      </c>
      <c r="G26" s="93">
        <f>'E-Cal Inv.'!H23</f>
        <v>0</v>
      </c>
      <c r="H26" s="61"/>
    </row>
    <row r="27" spans="1:11" x14ac:dyDescent="0.2">
      <c r="A27" s="125" t="s">
        <v>234</v>
      </c>
      <c r="B27" s="294">
        <f>B26</f>
        <v>3229183.773754268</v>
      </c>
      <c r="C27" s="93">
        <f>B27-C23+C26</f>
        <v>2531555.373443509</v>
      </c>
      <c r="D27" s="93">
        <f>C27-D23+D26</f>
        <v>1883871.8745693285</v>
      </c>
      <c r="E27" s="93">
        <f>D27-E23+E26</f>
        <v>1230277.2949305587</v>
      </c>
      <c r="F27" s="93">
        <f>E27-F23+F26</f>
        <v>580969.4147186114</v>
      </c>
      <c r="G27" s="94">
        <v>0</v>
      </c>
    </row>
    <row r="28" spans="1:11" x14ac:dyDescent="0.2">
      <c r="A28" s="125" t="s">
        <v>535</v>
      </c>
      <c r="B28" s="294">
        <v>0</v>
      </c>
      <c r="C28" s="93">
        <f>C23</f>
        <v>876752.58045435185</v>
      </c>
      <c r="D28" s="93">
        <f>D23</f>
        <v>657017.79870667821</v>
      </c>
      <c r="E28" s="93">
        <f>E23</f>
        <v>653594.57963876985</v>
      </c>
      <c r="F28" s="93">
        <f>F23</f>
        <v>651488.94391073519</v>
      </c>
      <c r="G28" s="94">
        <f>F27</f>
        <v>580969.4147186114</v>
      </c>
    </row>
    <row r="29" spans="1:11" x14ac:dyDescent="0.2">
      <c r="A29" s="123"/>
      <c r="B29" s="317"/>
      <c r="C29" s="95"/>
      <c r="D29" s="95"/>
      <c r="E29" s="95"/>
      <c r="F29" s="95"/>
      <c r="G29" s="96"/>
    </row>
    <row r="30" spans="1:11" ht="13.5" thickBot="1" x14ac:dyDescent="0.25">
      <c r="A30" s="128" t="s">
        <v>235</v>
      </c>
      <c r="B30" s="318">
        <v>0</v>
      </c>
      <c r="C30" s="148">
        <v>0</v>
      </c>
      <c r="D30" s="148">
        <v>0</v>
      </c>
      <c r="E30" s="148">
        <v>0</v>
      </c>
      <c r="F30" s="148">
        <v>0</v>
      </c>
      <c r="G30" s="175">
        <f>G23-G28</f>
        <v>70487.227826908464</v>
      </c>
    </row>
    <row r="31" spans="1:11" ht="13.5" thickTop="1" x14ac:dyDescent="0.2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B1" zoomScale="90" zoomScaleNormal="90" workbookViewId="0">
      <selection activeCell="B11" sqref="B11"/>
    </sheetView>
  </sheetViews>
  <sheetFormatPr baseColWidth="10" defaultColWidth="11.28515625" defaultRowHeight="12.75" x14ac:dyDescent="0.2"/>
  <cols>
    <col min="1" max="1" width="7.85546875" style="16" customWidth="1"/>
    <col min="2" max="13" width="14.7109375" style="16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9</v>
      </c>
      <c r="H1" s="2"/>
    </row>
    <row r="2" spans="1:13" ht="15.75" x14ac:dyDescent="0.25">
      <c r="A2" s="116" t="s">
        <v>236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ht="38.25" x14ac:dyDescent="0.2">
      <c r="A3" s="120" t="s">
        <v>237</v>
      </c>
      <c r="B3" s="109" t="s">
        <v>238</v>
      </c>
      <c r="C3" s="109" t="s">
        <v>239</v>
      </c>
      <c r="D3" s="109" t="s">
        <v>240</v>
      </c>
      <c r="E3" s="109" t="s">
        <v>5</v>
      </c>
      <c r="F3" s="109" t="s">
        <v>241</v>
      </c>
      <c r="G3" s="109" t="s">
        <v>242</v>
      </c>
      <c r="H3" s="109" t="s">
        <v>243</v>
      </c>
      <c r="I3" s="109" t="s">
        <v>102</v>
      </c>
      <c r="J3" s="109" t="s">
        <v>244</v>
      </c>
      <c r="K3" s="109" t="s">
        <v>245</v>
      </c>
      <c r="L3" s="130" t="s">
        <v>246</v>
      </c>
      <c r="M3" s="131" t="s">
        <v>247</v>
      </c>
    </row>
    <row r="4" spans="1:13" x14ac:dyDescent="0.2">
      <c r="A4" s="132">
        <v>0</v>
      </c>
      <c r="B4" s="133"/>
      <c r="C4" s="59"/>
      <c r="D4" s="59"/>
      <c r="E4" s="59"/>
      <c r="F4" s="59"/>
      <c r="G4" s="59"/>
      <c r="H4" s="59"/>
      <c r="I4" s="59"/>
      <c r="J4" s="59"/>
      <c r="K4" s="59"/>
      <c r="L4" s="134"/>
      <c r="M4" s="60"/>
    </row>
    <row r="5" spans="1:13" x14ac:dyDescent="0.2">
      <c r="A5" s="135">
        <v>1</v>
      </c>
      <c r="B5" s="124"/>
      <c r="C5" s="61"/>
      <c r="D5" s="61"/>
      <c r="E5" s="61"/>
      <c r="F5" s="61"/>
      <c r="G5" s="61"/>
      <c r="H5" s="61"/>
      <c r="I5" s="61"/>
      <c r="J5" s="61"/>
      <c r="K5" s="61"/>
      <c r="L5" s="113"/>
      <c r="M5" s="62"/>
    </row>
    <row r="6" spans="1:13" x14ac:dyDescent="0.2">
      <c r="A6" s="135">
        <v>2</v>
      </c>
      <c r="B6" s="124"/>
      <c r="C6" s="61"/>
      <c r="D6" s="61"/>
      <c r="E6" s="61"/>
      <c r="F6" s="61"/>
      <c r="G6" s="61"/>
      <c r="H6" s="61"/>
      <c r="I6" s="61"/>
      <c r="J6" s="61"/>
      <c r="K6" s="61"/>
      <c r="L6" s="113"/>
      <c r="M6" s="62"/>
    </row>
    <row r="7" spans="1:13" x14ac:dyDescent="0.2">
      <c r="A7" s="135">
        <v>3</v>
      </c>
      <c r="B7" s="124"/>
      <c r="C7" s="61"/>
      <c r="D7" s="61"/>
      <c r="E7" s="61"/>
      <c r="F7" s="61"/>
      <c r="G7" s="61"/>
      <c r="H7" s="61"/>
      <c r="I7" s="61"/>
      <c r="J7" s="61"/>
      <c r="K7" s="61"/>
      <c r="L7" s="113"/>
      <c r="M7" s="62"/>
    </row>
    <row r="8" spans="1:13" x14ac:dyDescent="0.2">
      <c r="A8" s="135">
        <v>4</v>
      </c>
      <c r="B8" s="124"/>
      <c r="C8" s="61"/>
      <c r="D8" s="61"/>
      <c r="E8" s="61"/>
      <c r="F8" s="61"/>
      <c r="G8" s="61"/>
      <c r="H8" s="61"/>
      <c r="I8" s="61"/>
      <c r="J8" s="61"/>
      <c r="K8" s="61"/>
      <c r="L8" s="113"/>
      <c r="M8" s="62"/>
    </row>
    <row r="9" spans="1:13" x14ac:dyDescent="0.2">
      <c r="A9" s="135">
        <v>5</v>
      </c>
      <c r="B9" s="124"/>
      <c r="C9" s="61"/>
      <c r="D9" s="61"/>
      <c r="E9" s="61"/>
      <c r="F9" s="61"/>
      <c r="G9" s="61"/>
      <c r="H9" s="61"/>
      <c r="I9" s="61"/>
      <c r="J9" s="61"/>
      <c r="K9" s="61"/>
      <c r="L9" s="113"/>
      <c r="M9" s="62"/>
    </row>
    <row r="10" spans="1:13" x14ac:dyDescent="0.2">
      <c r="A10" s="135"/>
      <c r="B10" s="126"/>
      <c r="C10" s="84"/>
      <c r="D10" s="84"/>
      <c r="E10" s="84"/>
      <c r="F10" s="84"/>
      <c r="G10" s="84"/>
      <c r="H10" s="84"/>
      <c r="I10" s="84"/>
      <c r="J10" s="84"/>
      <c r="K10" s="84"/>
      <c r="L10" s="114"/>
      <c r="M10" s="85"/>
    </row>
    <row r="11" spans="1:13" x14ac:dyDescent="0.2">
      <c r="A11" s="136" t="s">
        <v>248</v>
      </c>
      <c r="B11" s="129"/>
      <c r="C11" s="67"/>
      <c r="D11" s="67"/>
      <c r="E11" s="67"/>
      <c r="F11" s="67"/>
      <c r="G11" s="67"/>
      <c r="H11" s="67"/>
      <c r="I11" s="67"/>
      <c r="J11" s="67"/>
      <c r="K11" s="67"/>
      <c r="L11" s="115"/>
      <c r="M11" s="68"/>
    </row>
    <row r="13" spans="1:13" x14ac:dyDescent="0.2">
      <c r="C13" s="137" t="s">
        <v>249</v>
      </c>
      <c r="D13" s="138"/>
    </row>
    <row r="14" spans="1:13" x14ac:dyDescent="0.2">
      <c r="A14" s="72"/>
      <c r="C14" s="137" t="s">
        <v>250</v>
      </c>
      <c r="D14" s="139"/>
      <c r="E14" s="16" t="s">
        <v>251</v>
      </c>
    </row>
    <row r="15" spans="1:13" x14ac:dyDescent="0.2">
      <c r="C15" s="137" t="s">
        <v>252</v>
      </c>
      <c r="D15" s="140"/>
    </row>
    <row r="16" spans="1:13" x14ac:dyDescent="0.2">
      <c r="L16" s="312" t="s">
        <v>253</v>
      </c>
      <c r="M16" s="312"/>
    </row>
    <row r="17" spans="10:13" x14ac:dyDescent="0.2">
      <c r="J17" s="141"/>
      <c r="L17" s="312" t="s">
        <v>254</v>
      </c>
      <c r="M17" s="312"/>
    </row>
    <row r="18" spans="10:13" x14ac:dyDescent="0.2">
      <c r="L18" s="142" t="s">
        <v>102</v>
      </c>
      <c r="M18" s="143" t="str">
        <f>IF(B11=I11,"OK","MAL")</f>
        <v>OK</v>
      </c>
    </row>
    <row r="19" spans="10:13" x14ac:dyDescent="0.2">
      <c r="L19" s="142" t="s">
        <v>255</v>
      </c>
      <c r="M19" s="143" t="str">
        <f>IF(D11=J11,"OK","MAL")</f>
        <v>OK</v>
      </c>
    </row>
    <row r="20" spans="10:13" x14ac:dyDescent="0.2">
      <c r="L20" s="142" t="s">
        <v>256</v>
      </c>
      <c r="M20" s="143" t="str">
        <f>IF(C11=0,"OK","MAL")</f>
        <v>OK</v>
      </c>
    </row>
    <row r="21" spans="10:13" x14ac:dyDescent="0.2">
      <c r="L21" s="142" t="s">
        <v>257</v>
      </c>
      <c r="M21" s="143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1" sqref="F1"/>
    </sheetView>
  </sheetViews>
  <sheetFormatPr baseColWidth="10" defaultColWidth="11.28515625" defaultRowHeight="12.75" x14ac:dyDescent="0.2"/>
  <cols>
    <col min="1" max="1" width="27.140625" style="16" customWidth="1"/>
    <col min="2" max="9" width="15" style="16" customWidth="1"/>
    <col min="10" max="16384" width="11.28515625" style="16"/>
  </cols>
  <sheetData>
    <row r="1" spans="1:9" x14ac:dyDescent="0.2">
      <c r="A1" s="1" t="s">
        <v>0</v>
      </c>
      <c r="B1"/>
      <c r="C1"/>
      <c r="D1"/>
      <c r="F1" s="144">
        <f>InfoInicial!E1</f>
        <v>9</v>
      </c>
      <c r="G1" s="2"/>
    </row>
    <row r="2" spans="1:9" ht="15.75" x14ac:dyDescent="0.25">
      <c r="A2" s="145" t="s">
        <v>258</v>
      </c>
      <c r="B2" s="89"/>
      <c r="C2" s="89"/>
      <c r="D2" s="89"/>
      <c r="E2" s="89"/>
      <c r="F2" s="89"/>
      <c r="G2" s="90"/>
    </row>
    <row r="3" spans="1:9" x14ac:dyDescent="0.2">
      <c r="A3" s="58" t="s">
        <v>94</v>
      </c>
      <c r="B3" s="313" t="s">
        <v>259</v>
      </c>
      <c r="C3" s="313"/>
      <c r="D3" s="313" t="s">
        <v>260</v>
      </c>
      <c r="E3" s="313"/>
      <c r="F3" s="314" t="s">
        <v>261</v>
      </c>
      <c r="G3" s="314"/>
    </row>
    <row r="4" spans="1:9" x14ac:dyDescent="0.2">
      <c r="A4" s="58" t="s">
        <v>80</v>
      </c>
      <c r="B4" s="146" t="s">
        <v>262</v>
      </c>
      <c r="C4" s="146" t="s">
        <v>263</v>
      </c>
      <c r="D4" s="146" t="s">
        <v>262</v>
      </c>
      <c r="E4" s="146" t="s">
        <v>263</v>
      </c>
      <c r="F4" s="146" t="s">
        <v>262</v>
      </c>
      <c r="G4" s="147" t="s">
        <v>263</v>
      </c>
    </row>
    <row r="5" spans="1:9" x14ac:dyDescent="0.2">
      <c r="A5" s="28" t="s">
        <v>264</v>
      </c>
      <c r="B5" s="61"/>
      <c r="C5" s="86"/>
      <c r="D5" s="61"/>
      <c r="E5" s="86"/>
      <c r="F5" s="61"/>
      <c r="G5" s="87"/>
    </row>
    <row r="6" spans="1:9" x14ac:dyDescent="0.2">
      <c r="A6" s="26" t="s">
        <v>265</v>
      </c>
      <c r="B6" s="61"/>
      <c r="C6" s="86"/>
      <c r="D6" s="61"/>
      <c r="E6" s="86"/>
      <c r="F6" s="61"/>
      <c r="G6" s="87"/>
    </row>
    <row r="7" spans="1:9" x14ac:dyDescent="0.2">
      <c r="A7" s="26" t="s">
        <v>266</v>
      </c>
      <c r="B7" s="61"/>
      <c r="C7" s="86"/>
      <c r="D7" s="61"/>
      <c r="E7" s="97"/>
      <c r="F7" s="61"/>
      <c r="G7" s="87"/>
    </row>
    <row r="8" spans="1:9" x14ac:dyDescent="0.2">
      <c r="A8" s="34" t="s">
        <v>198</v>
      </c>
      <c r="B8" s="148"/>
      <c r="C8" s="149"/>
      <c r="D8" s="148"/>
      <c r="E8" s="149"/>
      <c r="F8" s="148"/>
      <c r="G8" s="150"/>
    </row>
    <row r="9" spans="1:9" x14ac:dyDescent="0.2">
      <c r="A9" s="72"/>
      <c r="B9" s="54"/>
      <c r="C9" s="151"/>
      <c r="D9" s="54"/>
      <c r="E9" s="54"/>
      <c r="F9" s="54"/>
      <c r="G9" s="54"/>
    </row>
    <row r="10" spans="1:9" ht="15.75" x14ac:dyDescent="0.25">
      <c r="A10" s="152" t="s">
        <v>267</v>
      </c>
      <c r="B10" s="153"/>
      <c r="C10" s="153"/>
      <c r="D10" s="153"/>
      <c r="E10" s="153"/>
      <c r="F10" s="153"/>
      <c r="G10" s="153"/>
      <c r="H10" s="153"/>
      <c r="I10" s="154"/>
    </row>
    <row r="11" spans="1:9" x14ac:dyDescent="0.2">
      <c r="A11" s="155" t="s">
        <v>268</v>
      </c>
      <c r="B11" s="156" t="s">
        <v>269</v>
      </c>
      <c r="C11" s="156" t="s">
        <v>270</v>
      </c>
      <c r="D11" s="156" t="s">
        <v>271</v>
      </c>
      <c r="E11" s="156" t="s">
        <v>270</v>
      </c>
      <c r="F11" s="156" t="s">
        <v>272</v>
      </c>
      <c r="G11" s="156" t="s">
        <v>271</v>
      </c>
      <c r="H11" s="156"/>
      <c r="I11" s="157" t="s">
        <v>273</v>
      </c>
    </row>
    <row r="12" spans="1:9" x14ac:dyDescent="0.2">
      <c r="A12" s="158"/>
      <c r="B12" s="159"/>
      <c r="C12" s="159" t="s">
        <v>274</v>
      </c>
      <c r="D12" s="159" t="s">
        <v>274</v>
      </c>
      <c r="E12" s="159" t="s">
        <v>41</v>
      </c>
      <c r="F12" s="159" t="s">
        <v>275</v>
      </c>
      <c r="G12" s="159" t="s">
        <v>41</v>
      </c>
      <c r="H12" s="159" t="s">
        <v>276</v>
      </c>
      <c r="I12" s="160" t="s">
        <v>277</v>
      </c>
    </row>
    <row r="13" spans="1:9" x14ac:dyDescent="0.2">
      <c r="A13" s="161"/>
      <c r="B13" s="82"/>
      <c r="C13" s="82"/>
      <c r="D13" s="82"/>
      <c r="E13" s="82"/>
      <c r="F13" s="162"/>
      <c r="G13" s="82"/>
      <c r="H13" s="163"/>
      <c r="I13" s="83"/>
    </row>
    <row r="14" spans="1:9" x14ac:dyDescent="0.2">
      <c r="A14" s="164"/>
      <c r="B14" s="61"/>
      <c r="C14" s="61"/>
      <c r="D14" s="61"/>
      <c r="E14" s="61"/>
      <c r="F14" s="27"/>
      <c r="G14" s="61"/>
      <c r="H14" s="97"/>
      <c r="I14" s="62"/>
    </row>
    <row r="15" spans="1:9" x14ac:dyDescent="0.2">
      <c r="A15" s="164"/>
      <c r="B15" s="61"/>
      <c r="C15" s="61"/>
      <c r="D15" s="61"/>
      <c r="E15" s="61"/>
      <c r="F15" s="27"/>
      <c r="G15" s="61"/>
      <c r="H15" s="97"/>
      <c r="I15" s="62"/>
    </row>
    <row r="16" spans="1:9" x14ac:dyDescent="0.2">
      <c r="A16" s="164"/>
      <c r="B16" s="61"/>
      <c r="C16" s="61"/>
      <c r="D16" s="61"/>
      <c r="E16" s="61"/>
      <c r="F16" s="27"/>
      <c r="G16" s="61"/>
      <c r="H16" s="97"/>
      <c r="I16" s="62"/>
    </row>
    <row r="17" spans="1:9" x14ac:dyDescent="0.2">
      <c r="A17" s="164"/>
      <c r="B17" s="61"/>
      <c r="C17" s="61"/>
      <c r="D17" s="61"/>
      <c r="E17" s="61"/>
      <c r="F17" s="27"/>
      <c r="G17" s="61"/>
      <c r="H17" s="97"/>
      <c r="I17" s="62"/>
    </row>
    <row r="18" spans="1:9" x14ac:dyDescent="0.2">
      <c r="A18" s="164"/>
      <c r="B18" s="61"/>
      <c r="C18" s="61"/>
      <c r="D18" s="61"/>
      <c r="E18" s="61"/>
      <c r="F18" s="27"/>
      <c r="G18" s="61"/>
      <c r="H18" s="97"/>
      <c r="I18" s="62"/>
    </row>
    <row r="19" spans="1:9" x14ac:dyDescent="0.2">
      <c r="A19" s="164"/>
      <c r="B19" s="61"/>
      <c r="C19" s="61"/>
      <c r="D19" s="61"/>
      <c r="E19" s="61"/>
      <c r="F19" s="27"/>
      <c r="G19" s="61"/>
      <c r="H19" s="97"/>
      <c r="I19" s="62"/>
    </row>
    <row r="20" spans="1:9" x14ac:dyDescent="0.2">
      <c r="A20" s="165"/>
      <c r="B20" s="67"/>
      <c r="C20" s="67"/>
      <c r="D20" s="76"/>
      <c r="E20" s="67"/>
      <c r="F20" s="31"/>
      <c r="G20" s="76"/>
      <c r="H20" s="166"/>
      <c r="I20" s="77"/>
    </row>
    <row r="21" spans="1:9" x14ac:dyDescent="0.2">
      <c r="A21" s="167" t="s">
        <v>278</v>
      </c>
      <c r="B21" s="168"/>
      <c r="C21" s="168"/>
      <c r="D21" s="169"/>
      <c r="E21" s="168"/>
      <c r="F21" s="170"/>
      <c r="G21" s="169"/>
      <c r="H21" s="171"/>
      <c r="I21" s="169"/>
    </row>
    <row r="22" spans="1:9" x14ac:dyDescent="0.2">
      <c r="A22" s="161"/>
      <c r="B22" s="82"/>
      <c r="C22" s="82"/>
      <c r="D22" s="59"/>
      <c r="E22" s="82"/>
      <c r="F22" s="162"/>
      <c r="G22" s="59"/>
      <c r="H22" s="163"/>
      <c r="I22" s="60"/>
    </row>
    <row r="23" spans="1:9" x14ac:dyDescent="0.2">
      <c r="A23" s="164"/>
      <c r="B23" s="61"/>
      <c r="C23" s="61"/>
      <c r="D23" s="61"/>
      <c r="E23" s="61"/>
      <c r="F23" s="27"/>
      <c r="G23" s="61"/>
      <c r="H23" s="97"/>
      <c r="I23" s="62"/>
    </row>
    <row r="24" spans="1:9" x14ac:dyDescent="0.2">
      <c r="A24" s="172"/>
      <c r="B24" s="61"/>
      <c r="C24" s="61"/>
      <c r="D24" s="61"/>
      <c r="E24" s="61"/>
      <c r="F24" s="61"/>
      <c r="G24" s="61"/>
      <c r="H24" s="86"/>
      <c r="I24" s="62"/>
    </row>
    <row r="25" spans="1:9" x14ac:dyDescent="0.2">
      <c r="A25" s="172"/>
      <c r="B25" s="61"/>
      <c r="C25" s="61"/>
      <c r="D25" s="61"/>
      <c r="E25" s="61"/>
      <c r="F25" s="61"/>
      <c r="G25" s="61"/>
      <c r="H25" s="86"/>
      <c r="I25" s="62"/>
    </row>
    <row r="26" spans="1:9" x14ac:dyDescent="0.2">
      <c r="A26" s="172"/>
      <c r="B26" s="61"/>
      <c r="C26" s="61"/>
      <c r="D26" s="61"/>
      <c r="E26" s="61"/>
      <c r="F26" s="61"/>
      <c r="G26" s="61"/>
      <c r="H26" s="86"/>
      <c r="I26" s="62"/>
    </row>
    <row r="27" spans="1:9" x14ac:dyDescent="0.2">
      <c r="A27" s="172"/>
      <c r="B27" s="61"/>
      <c r="C27" s="61"/>
      <c r="D27" s="61"/>
      <c r="E27" s="61"/>
      <c r="F27" s="61"/>
      <c r="G27" s="61"/>
      <c r="H27" s="86"/>
      <c r="I27" s="62"/>
    </row>
    <row r="28" spans="1:9" x14ac:dyDescent="0.2">
      <c r="A28" s="172"/>
      <c r="B28" s="61"/>
      <c r="C28" s="61"/>
      <c r="D28" s="61"/>
      <c r="E28" s="61"/>
      <c r="F28" s="61"/>
      <c r="G28" s="61"/>
      <c r="H28" s="86"/>
      <c r="I28" s="62"/>
    </row>
    <row r="29" spans="1:9" x14ac:dyDescent="0.2">
      <c r="A29" s="172"/>
      <c r="B29" s="61"/>
      <c r="C29" s="61"/>
      <c r="D29" s="61"/>
      <c r="E29" s="61"/>
      <c r="F29" s="61"/>
      <c r="G29" s="61"/>
      <c r="H29" s="86"/>
      <c r="I29" s="62"/>
    </row>
    <row r="30" spans="1:9" x14ac:dyDescent="0.2">
      <c r="A30" s="172"/>
      <c r="B30" s="61"/>
      <c r="C30" s="61"/>
      <c r="D30" s="61"/>
      <c r="E30" s="61"/>
      <c r="F30" s="61"/>
      <c r="G30" s="61"/>
      <c r="H30" s="86"/>
      <c r="I30" s="62"/>
    </row>
    <row r="31" spans="1:9" x14ac:dyDescent="0.2">
      <c r="A31" s="172"/>
      <c r="B31" s="61"/>
      <c r="C31" s="61"/>
      <c r="D31" s="61"/>
      <c r="E31" s="61"/>
      <c r="F31" s="61"/>
      <c r="G31" s="61"/>
      <c r="H31" s="86"/>
      <c r="I31" s="62"/>
    </row>
    <row r="32" spans="1:9" x14ac:dyDescent="0.2">
      <c r="A32" s="172"/>
      <c r="B32" s="61"/>
      <c r="C32" s="61"/>
      <c r="D32" s="61"/>
      <c r="E32" s="61"/>
      <c r="F32" s="61"/>
      <c r="G32" s="61"/>
      <c r="H32" s="86"/>
      <c r="I32" s="62"/>
    </row>
    <row r="33" spans="1:9" x14ac:dyDescent="0.2">
      <c r="A33" s="172"/>
      <c r="B33" s="61"/>
      <c r="C33" s="61"/>
      <c r="D33" s="61"/>
      <c r="E33" s="61"/>
      <c r="F33" s="61"/>
      <c r="G33" s="61"/>
      <c r="H33" s="86"/>
      <c r="I33" s="62"/>
    </row>
    <row r="34" spans="1:9" x14ac:dyDescent="0.2">
      <c r="A34" s="172"/>
      <c r="B34" s="61"/>
      <c r="C34" s="61"/>
      <c r="D34" s="61"/>
      <c r="E34" s="61"/>
      <c r="F34" s="61"/>
      <c r="G34" s="61"/>
      <c r="H34" s="86"/>
      <c r="I34" s="62"/>
    </row>
    <row r="35" spans="1:9" x14ac:dyDescent="0.2">
      <c r="A35" s="172"/>
      <c r="B35" s="61"/>
      <c r="C35" s="61"/>
      <c r="D35" s="61"/>
      <c r="E35" s="61"/>
      <c r="F35" s="27"/>
      <c r="G35" s="61"/>
      <c r="H35" s="97"/>
      <c r="I35" s="62"/>
    </row>
    <row r="36" spans="1:9" x14ac:dyDescent="0.2">
      <c r="A36" s="172"/>
      <c r="B36" s="61"/>
      <c r="C36" s="61"/>
      <c r="D36" s="61"/>
      <c r="E36" s="61"/>
      <c r="F36" s="61"/>
      <c r="G36" s="61"/>
      <c r="H36" s="86"/>
      <c r="I36" s="62"/>
    </row>
    <row r="37" spans="1:9" x14ac:dyDescent="0.2">
      <c r="A37" s="172"/>
      <c r="B37" s="61"/>
      <c r="C37" s="61"/>
      <c r="D37" s="61"/>
      <c r="E37" s="61"/>
      <c r="F37" s="27"/>
      <c r="G37" s="61"/>
      <c r="H37" s="97"/>
      <c r="I37" s="62"/>
    </row>
    <row r="38" spans="1:9" x14ac:dyDescent="0.2">
      <c r="A38" s="172"/>
      <c r="B38" s="61"/>
      <c r="C38" s="61"/>
      <c r="D38" s="61"/>
      <c r="E38" s="61"/>
      <c r="F38" s="61"/>
      <c r="G38" s="61"/>
      <c r="H38" s="86"/>
      <c r="I38" s="62"/>
    </row>
    <row r="39" spans="1:9" x14ac:dyDescent="0.2">
      <c r="A39" s="172"/>
      <c r="B39" s="61"/>
      <c r="C39" s="61"/>
      <c r="D39" s="61"/>
      <c r="E39" s="61"/>
      <c r="F39" s="27"/>
      <c r="G39" s="61"/>
      <c r="H39" s="97"/>
      <c r="I39" s="62"/>
    </row>
    <row r="40" spans="1:9" x14ac:dyDescent="0.2">
      <c r="A40" s="172"/>
      <c r="B40" s="61"/>
      <c r="C40" s="61"/>
      <c r="D40" s="61"/>
      <c r="E40" s="61"/>
      <c r="F40" s="61"/>
      <c r="G40" s="61"/>
      <c r="H40" s="86"/>
      <c r="I40" s="62"/>
    </row>
    <row r="41" spans="1:9" x14ac:dyDescent="0.2">
      <c r="A41" s="172"/>
      <c r="B41" s="61"/>
      <c r="C41" s="61"/>
      <c r="D41" s="61"/>
      <c r="E41" s="61"/>
      <c r="F41" s="27"/>
      <c r="G41" s="61"/>
      <c r="H41" s="97"/>
      <c r="I41" s="62"/>
    </row>
    <row r="42" spans="1:9" x14ac:dyDescent="0.2">
      <c r="A42" s="172"/>
      <c r="B42" s="61"/>
      <c r="C42" s="61"/>
      <c r="D42" s="61"/>
      <c r="E42" s="61"/>
      <c r="F42" s="61"/>
      <c r="G42" s="61"/>
      <c r="H42" s="86"/>
      <c r="I42" s="62"/>
    </row>
    <row r="43" spans="1:9" x14ac:dyDescent="0.2">
      <c r="A43" s="172"/>
      <c r="B43" s="61"/>
      <c r="C43" s="61"/>
      <c r="D43" s="61"/>
      <c r="E43" s="61"/>
      <c r="F43" s="27"/>
      <c r="G43" s="61"/>
      <c r="H43" s="97"/>
      <c r="I43" s="62"/>
    </row>
    <row r="44" spans="1:9" x14ac:dyDescent="0.2">
      <c r="A44" s="172"/>
      <c r="B44" s="61"/>
      <c r="C44" s="61"/>
      <c r="D44" s="61"/>
      <c r="E44" s="61"/>
      <c r="F44" s="61"/>
      <c r="G44" s="61"/>
      <c r="H44" s="86"/>
      <c r="I44" s="62"/>
    </row>
    <row r="45" spans="1:9" x14ac:dyDescent="0.2">
      <c r="A45" s="172"/>
      <c r="B45" s="61"/>
      <c r="C45" s="61"/>
      <c r="D45" s="61"/>
      <c r="E45" s="61"/>
      <c r="F45" s="27"/>
      <c r="G45" s="61"/>
      <c r="H45" s="97"/>
      <c r="I45" s="62"/>
    </row>
    <row r="46" spans="1:9" x14ac:dyDescent="0.2">
      <c r="A46" s="172"/>
      <c r="B46" s="61"/>
      <c r="C46" s="61"/>
      <c r="D46" s="61"/>
      <c r="E46" s="61"/>
      <c r="F46" s="61"/>
      <c r="G46" s="61"/>
      <c r="H46" s="86"/>
      <c r="I46" s="62"/>
    </row>
    <row r="47" spans="1:9" x14ac:dyDescent="0.2">
      <c r="A47" s="172"/>
      <c r="B47" s="61"/>
      <c r="C47" s="61"/>
      <c r="D47" s="61"/>
      <c r="E47" s="61"/>
      <c r="F47" s="27"/>
      <c r="G47" s="61"/>
      <c r="H47" s="97"/>
      <c r="I47" s="62"/>
    </row>
    <row r="48" spans="1:9" x14ac:dyDescent="0.2">
      <c r="A48" s="172"/>
      <c r="B48" s="61"/>
      <c r="C48" s="61"/>
      <c r="D48" s="61"/>
      <c r="E48" s="61"/>
      <c r="F48" s="61"/>
      <c r="G48" s="61"/>
      <c r="H48" s="86"/>
      <c r="I48" s="62"/>
    </row>
    <row r="49" spans="1:9" x14ac:dyDescent="0.2">
      <c r="A49" s="172"/>
      <c r="B49" s="61"/>
      <c r="C49" s="61"/>
      <c r="D49" s="61"/>
      <c r="E49" s="61"/>
      <c r="F49" s="27"/>
      <c r="G49" s="61"/>
      <c r="H49" s="97"/>
      <c r="I49" s="62"/>
    </row>
    <row r="50" spans="1:9" x14ac:dyDescent="0.2">
      <c r="A50" s="172"/>
      <c r="B50" s="61"/>
      <c r="C50" s="61"/>
      <c r="D50" s="61"/>
      <c r="E50" s="61"/>
      <c r="F50" s="61"/>
      <c r="G50" s="61"/>
      <c r="H50" s="86"/>
      <c r="I50" s="62"/>
    </row>
    <row r="51" spans="1:9" x14ac:dyDescent="0.2">
      <c r="A51" s="172"/>
      <c r="B51" s="61"/>
      <c r="C51" s="61"/>
      <c r="D51" s="61"/>
      <c r="E51" s="61"/>
      <c r="F51" s="27"/>
      <c r="G51" s="61"/>
      <c r="H51" s="97"/>
      <c r="I51" s="62"/>
    </row>
    <row r="52" spans="1:9" x14ac:dyDescent="0.2">
      <c r="A52" s="172"/>
      <c r="B52" s="61"/>
      <c r="C52" s="61"/>
      <c r="D52" s="61"/>
      <c r="E52" s="61"/>
      <c r="F52" s="61"/>
      <c r="G52" s="61"/>
      <c r="H52" s="86"/>
      <c r="I52" s="62"/>
    </row>
    <row r="53" spans="1:9" x14ac:dyDescent="0.2">
      <c r="A53" s="164"/>
      <c r="B53" s="61"/>
      <c r="C53" s="61"/>
      <c r="D53" s="61"/>
      <c r="E53" s="61"/>
      <c r="F53" s="27"/>
      <c r="G53" s="61"/>
      <c r="H53" s="97"/>
      <c r="I53" s="62"/>
    </row>
    <row r="54" spans="1:9" x14ac:dyDescent="0.2">
      <c r="A54" s="81" t="s">
        <v>279</v>
      </c>
      <c r="B54" s="148"/>
      <c r="C54" s="148"/>
      <c r="D54" s="148"/>
      <c r="E54" s="148"/>
      <c r="F54" s="173"/>
      <c r="G54" s="148"/>
      <c r="H54" s="174"/>
      <c r="I54" s="175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InfoInicial</vt:lpstr>
      <vt:lpstr>E-Inv AF y Am</vt:lpstr>
      <vt:lpstr>Auxiliar</vt:lpstr>
      <vt:lpstr>E-Costos</vt:lpstr>
      <vt:lpstr>E-InvAT</vt:lpstr>
      <vt:lpstr>E-Cal Inv.</vt:lpstr>
      <vt:lpstr>E-IVA </vt:lpstr>
      <vt:lpstr>E-Form</vt:lpstr>
      <vt:lpstr>F-Cred</vt:lpstr>
      <vt:lpstr>F-CRes</vt:lpstr>
      <vt:lpstr>F-IVA</vt:lpstr>
      <vt:lpstr>F-2 Estructura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2018-09-19T21:34:04Z</dcterms:created>
  <dcterms:modified xsi:type="dcterms:W3CDTF">2018-09-22T16:07:26Z</dcterms:modified>
</cp:coreProperties>
</file>