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3"/>
  <workbookPr/>
  <mc:AlternateContent xmlns:mc="http://schemas.openxmlformats.org/markup-compatibility/2006">
    <mc:Choice Requires="x15">
      <x15ac:absPath xmlns:x15ac="http://schemas.microsoft.com/office/spreadsheetml/2010/11/ac" url="/Users/matibene/Documents/Evaluación de Proyectos/"/>
    </mc:Choice>
  </mc:AlternateContent>
  <xr:revisionPtr revIDLastSave="0" documentId="13_ncr:1_{40EADED4-1B1D-AC4E-9CD6-6CFB74D09ADC}" xr6:coauthVersionLast="33" xr6:coauthVersionMax="36" xr10:uidLastSave="{00000000-0000-0000-0000-000000000000}"/>
  <bookViews>
    <workbookView xWindow="0" yWindow="460" windowWidth="28800" windowHeight="15900" tabRatio="880" activeTab="3" xr2:uid="{00000000-000D-0000-FFFF-FFFF00000000}"/>
  </bookViews>
  <sheets>
    <sheet name="InfoInicial" sheetId="1" r:id="rId1"/>
    <sheet name="E-Inv AF y Am" sheetId="2" r:id="rId2"/>
    <sheet name="E-Inv AF y Am Datos y links" sheetId="15" r:id="rId3"/>
    <sheet name="E-Costos" sheetId="3" r:id="rId4"/>
    <sheet name="E-Costos Datos y links" sheetId="16" r:id="rId5"/>
    <sheet name="E-InvAT" sheetId="4" r:id="rId6"/>
    <sheet name="E-InvAT Datos y links" sheetId="17" r:id="rId7"/>
    <sheet name="E-Cal Inv." sheetId="5" r:id="rId8"/>
    <sheet name="E-IVA " sheetId="6" r:id="rId9"/>
    <sheet name="E-Form" sheetId="7" r:id="rId10"/>
    <sheet name="F-Cred" sheetId="8" r:id="rId11"/>
    <sheet name="F-CRes" sheetId="9" r:id="rId12"/>
    <sheet name="F-2 Estructura" sheetId="10" r:id="rId13"/>
    <sheet name="F-IVA" sheetId="11" r:id="rId14"/>
    <sheet name="F- CFyU" sheetId="12" r:id="rId15"/>
    <sheet name="F-Balance" sheetId="13" r:id="rId16"/>
    <sheet name="F- Form" sheetId="14" r:id="rId17"/>
  </sheets>
  <externalReferences>
    <externalReference r:id="rId18"/>
    <externalReference r:id="rId19"/>
  </externalReferences>
  <definedNames>
    <definedName name="_xlnm.Print_Area" localSheetId="3">('E-Costos'!$A$3:$G$46,'E-Costos'!$A$49:$F$80,'E-Costos'!$A$83:$F$135)</definedName>
    <definedName name="_xlnm.Print_Area" localSheetId="14">'F- CFyU'!$A$3:$H$28</definedName>
    <definedName name="_xlnm.Print_Area" localSheetId="15">'F-Balance'!$A$3:$G$35</definedName>
    <definedName name="_xlnm.Print_Area" localSheetId="10">'F-Cred'!$A$1:$I$54</definedName>
    <definedName name="Excel_BuiltIn_Print_Area" localSheetId="14">('F- CFyU'!#REF!,'F- CFyU'!#REF!,'F- CFyU'!$A$3:$H$28)</definedName>
    <definedName name="Excel_BuiltIn_Print_Area" localSheetId="15">('F-Balance'!#REF!,'F-Balance'!#REF!,'F-Balance'!$A$3:$G$35)</definedName>
  </definedNames>
  <calcPr calcId="179017"/>
</workbook>
</file>

<file path=xl/calcChain.xml><?xml version="1.0" encoding="utf-8"?>
<calcChain xmlns="http://schemas.openxmlformats.org/spreadsheetml/2006/main">
  <c r="B86" i="15" l="1"/>
  <c r="H142" i="3" l="1"/>
  <c r="A142" i="3"/>
  <c r="C86" i="3" l="1"/>
  <c r="D86" i="3"/>
  <c r="E86" i="3"/>
  <c r="F86" i="3"/>
  <c r="B86" i="3"/>
  <c r="B8" i="7"/>
  <c r="B7" i="7"/>
  <c r="B6" i="7"/>
  <c r="B72" i="16" l="1"/>
  <c r="B66" i="16"/>
  <c r="B8" i="2"/>
  <c r="E36" i="17" l="1"/>
  <c r="F36" i="17"/>
  <c r="G36" i="17"/>
  <c r="D36" i="17"/>
  <c r="C36" i="17"/>
  <c r="D12" i="17"/>
  <c r="F13" i="4" s="1"/>
  <c r="G17" i="5" s="1"/>
  <c r="B22" i="5"/>
  <c r="B18" i="5"/>
  <c r="I12" i="5"/>
  <c r="E13" i="4"/>
  <c r="C13" i="4"/>
  <c r="B13" i="4"/>
  <c r="C17" i="5" s="1"/>
  <c r="G10" i="4"/>
  <c r="D10" i="4"/>
  <c r="G12" i="4"/>
  <c r="D12" i="4"/>
  <c r="D7" i="4"/>
  <c r="E7" i="4"/>
  <c r="F7" i="4"/>
  <c r="G7" i="4"/>
  <c r="C7" i="4"/>
  <c r="D6" i="4"/>
  <c r="E6" i="4"/>
  <c r="F6" i="4"/>
  <c r="G6" i="4"/>
  <c r="C6" i="4"/>
  <c r="J11" i="16"/>
  <c r="J20" i="16"/>
  <c r="J19" i="16"/>
  <c r="H42" i="16"/>
  <c r="H41" i="16"/>
  <c r="H40" i="16"/>
  <c r="J10" i="16"/>
  <c r="B89" i="16"/>
  <c r="F73" i="3" s="1"/>
  <c r="G84" i="16"/>
  <c r="G85" i="16"/>
  <c r="F74" i="3" s="1"/>
  <c r="B81" i="16"/>
  <c r="B56" i="3" s="1"/>
  <c r="G79" i="16"/>
  <c r="G78" i="16"/>
  <c r="G77" i="16"/>
  <c r="C72" i="16"/>
  <c r="C66" i="16"/>
  <c r="B51" i="16"/>
  <c r="B53" i="16" s="1"/>
  <c r="E36" i="16"/>
  <c r="E37" i="16"/>
  <c r="E38" i="16" s="1"/>
  <c r="B68" i="3" s="1"/>
  <c r="E35" i="16"/>
  <c r="E28" i="16"/>
  <c r="E27" i="16"/>
  <c r="E26" i="16"/>
  <c r="E25" i="16"/>
  <c r="E24" i="16"/>
  <c r="E19" i="16"/>
  <c r="E20" i="16" s="1"/>
  <c r="F15" i="16"/>
  <c r="F14" i="16"/>
  <c r="F13" i="16"/>
  <c r="F12" i="16"/>
  <c r="F11" i="16"/>
  <c r="F16" i="16" s="1"/>
  <c r="D125" i="16"/>
  <c r="F152" i="16"/>
  <c r="G152" i="16"/>
  <c r="F87" i="3"/>
  <c r="E87" i="3"/>
  <c r="F22" i="6" s="1"/>
  <c r="D87" i="3"/>
  <c r="E22" i="6" s="1"/>
  <c r="C87" i="3"/>
  <c r="D22" i="6" s="1"/>
  <c r="B87" i="3"/>
  <c r="N104" i="16"/>
  <c r="N96" i="16"/>
  <c r="N105" i="16" s="1"/>
  <c r="C13" i="3"/>
  <c r="D9" i="6" s="1"/>
  <c r="C7" i="3"/>
  <c r="C89" i="3" s="1"/>
  <c r="B10" i="4"/>
  <c r="B30" i="4" s="1"/>
  <c r="E1" i="4"/>
  <c r="B7" i="2"/>
  <c r="B43" i="2" s="1"/>
  <c r="I52" i="15"/>
  <c r="I53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B16" i="2" s="1"/>
  <c r="B48" i="2" s="1"/>
  <c r="I33" i="15"/>
  <c r="I31" i="15"/>
  <c r="B15" i="2"/>
  <c r="B47" i="2" s="1"/>
  <c r="C50" i="2"/>
  <c r="C53" i="2"/>
  <c r="C49" i="2"/>
  <c r="C48" i="2"/>
  <c r="C47" i="2"/>
  <c r="C46" i="2"/>
  <c r="C45" i="2"/>
  <c r="C44" i="2"/>
  <c r="B28" i="2"/>
  <c r="B27" i="2"/>
  <c r="C26" i="2"/>
  <c r="C29" i="2"/>
  <c r="B25" i="2"/>
  <c r="B24" i="2"/>
  <c r="B23" i="2"/>
  <c r="B7" i="5" s="1"/>
  <c r="B9" i="2"/>
  <c r="B45" i="2" s="1"/>
  <c r="B12" i="2"/>
  <c r="D11" i="2"/>
  <c r="B13" i="2" s="1"/>
  <c r="B17" i="2"/>
  <c r="B44" i="2"/>
  <c r="E44" i="2" s="1"/>
  <c r="G1" i="5"/>
  <c r="E3" i="3"/>
  <c r="G1" i="7"/>
  <c r="E1" i="2"/>
  <c r="E1" i="12"/>
  <c r="G1" i="14"/>
  <c r="L25" i="14"/>
  <c r="L26" i="14"/>
  <c r="L27" i="14"/>
  <c r="L28" i="14"/>
  <c r="L30" i="14"/>
  <c r="L31" i="14"/>
  <c r="L32" i="14"/>
  <c r="L33" i="14"/>
  <c r="L34" i="14"/>
  <c r="L36" i="14"/>
  <c r="D1" i="10"/>
  <c r="E1" i="13"/>
  <c r="B38" i="13"/>
  <c r="C38" i="13"/>
  <c r="D38" i="13"/>
  <c r="E38" i="13"/>
  <c r="F38" i="13"/>
  <c r="G38" i="13"/>
  <c r="F1" i="8"/>
  <c r="F1" i="9"/>
  <c r="E1" i="11"/>
  <c r="D13" i="3"/>
  <c r="E9" i="6" s="1"/>
  <c r="C31" i="2"/>
  <c r="D7" i="5" s="1"/>
  <c r="D8" i="5" s="1"/>
  <c r="C33" i="2"/>
  <c r="C34" i="2" s="1"/>
  <c r="B13" i="3"/>
  <c r="C9" i="6" s="1"/>
  <c r="N126" i="16"/>
  <c r="F13" i="3"/>
  <c r="G9" i="6" s="1"/>
  <c r="N110" i="16"/>
  <c r="D24" i="3" s="1"/>
  <c r="E13" i="3"/>
  <c r="F9" i="6" s="1"/>
  <c r="N150" i="16"/>
  <c r="N154" i="16" s="1"/>
  <c r="B31" i="3" s="1"/>
  <c r="N153" i="16"/>
  <c r="B50" i="2" l="1"/>
  <c r="D50" i="2" s="1"/>
  <c r="G50" i="2" s="1"/>
  <c r="B14" i="2"/>
  <c r="B18" i="2" s="1"/>
  <c r="D14" i="2"/>
  <c r="D18" i="2" s="1"/>
  <c r="D20" i="2" s="1"/>
  <c r="D21" i="5"/>
  <c r="B5" i="7"/>
  <c r="C56" i="16"/>
  <c r="D54" i="3" s="1"/>
  <c r="B59" i="16"/>
  <c r="C54" i="16"/>
  <c r="C22" i="6"/>
  <c r="E142" i="3"/>
  <c r="G22" i="6"/>
  <c r="L142" i="3"/>
  <c r="N151" i="16"/>
  <c r="H16" i="5"/>
  <c r="D17" i="5"/>
  <c r="C36" i="2"/>
  <c r="E29" i="16"/>
  <c r="B67" i="16" s="1"/>
  <c r="C67" i="16" s="1"/>
  <c r="G80" i="16"/>
  <c r="F57" i="3" s="1"/>
  <c r="B12" i="4"/>
  <c r="C16" i="5" s="1"/>
  <c r="F12" i="4"/>
  <c r="F10" i="4"/>
  <c r="G30" i="4" s="1"/>
  <c r="D13" i="4"/>
  <c r="E17" i="5" s="1"/>
  <c r="B29" i="2"/>
  <c r="B31" i="2" s="1"/>
  <c r="B53" i="2" s="1"/>
  <c r="C7" i="5"/>
  <c r="E7" i="3"/>
  <c r="H126" i="16" s="1"/>
  <c r="C12" i="4"/>
  <c r="E12" i="4"/>
  <c r="F16" i="5" s="1"/>
  <c r="E10" i="4"/>
  <c r="G13" i="4"/>
  <c r="H17" i="5" s="1"/>
  <c r="I10" i="16"/>
  <c r="K10" i="16" s="1"/>
  <c r="C8" i="3"/>
  <c r="C90" i="3" s="1"/>
  <c r="D8" i="3"/>
  <c r="D90" i="3" s="1"/>
  <c r="F8" i="3"/>
  <c r="E8" i="3"/>
  <c r="E90" i="3" s="1"/>
  <c r="F17" i="16"/>
  <c r="C11" i="3"/>
  <c r="E11" i="3"/>
  <c r="I19" i="16"/>
  <c r="K19" i="16" s="1"/>
  <c r="I23" i="16" s="1"/>
  <c r="E21" i="16"/>
  <c r="D11" i="3"/>
  <c r="F11" i="3"/>
  <c r="N155" i="16"/>
  <c r="G31" i="3" s="1"/>
  <c r="I7" i="5"/>
  <c r="B8" i="5"/>
  <c r="F51" i="3"/>
  <c r="E30" i="16"/>
  <c r="B51" i="3" s="1"/>
  <c r="D51" i="3"/>
  <c r="E51" i="3"/>
  <c r="C51" i="3"/>
  <c r="B57" i="3"/>
  <c r="D57" i="3"/>
  <c r="C57" i="3"/>
  <c r="E48" i="2"/>
  <c r="D48" i="2"/>
  <c r="E47" i="2"/>
  <c r="D47" i="2"/>
  <c r="N125" i="16"/>
  <c r="D43" i="2"/>
  <c r="E43" i="2"/>
  <c r="N107" i="16"/>
  <c r="N111" i="16" s="1"/>
  <c r="G24" i="3" s="1"/>
  <c r="F54" i="3"/>
  <c r="E54" i="3"/>
  <c r="D68" i="3"/>
  <c r="B178" i="16"/>
  <c r="B46" i="2"/>
  <c r="C68" i="3"/>
  <c r="F68" i="3"/>
  <c r="F6" i="6"/>
  <c r="C55" i="16"/>
  <c r="B73" i="16"/>
  <c r="C73" i="16" s="1"/>
  <c r="B73" i="3"/>
  <c r="C73" i="3"/>
  <c r="D73" i="3"/>
  <c r="E73" i="3"/>
  <c r="C56" i="3"/>
  <c r="D56" i="3"/>
  <c r="E56" i="3"/>
  <c r="F56" i="3"/>
  <c r="D34" i="17"/>
  <c r="D6" i="6"/>
  <c r="E68" i="3"/>
  <c r="B74" i="3"/>
  <c r="C74" i="3"/>
  <c r="D74" i="3"/>
  <c r="E74" i="3"/>
  <c r="C37" i="17"/>
  <c r="D45" i="2"/>
  <c r="E45" i="2"/>
  <c r="D44" i="2"/>
  <c r="F24" i="3"/>
  <c r="H11" i="5"/>
  <c r="H14" i="5"/>
  <c r="E11" i="5"/>
  <c r="B6" i="4"/>
  <c r="C11" i="5" s="1"/>
  <c r="F11" i="5"/>
  <c r="F14" i="5"/>
  <c r="F30" i="4"/>
  <c r="C14" i="5"/>
  <c r="E30" i="4"/>
  <c r="G11" i="5"/>
  <c r="C24" i="3"/>
  <c r="B24" i="3"/>
  <c r="E24" i="3"/>
  <c r="F34" i="17" s="1"/>
  <c r="D7" i="3"/>
  <c r="F7" i="3"/>
  <c r="N97" i="16"/>
  <c r="N98" i="16" s="1"/>
  <c r="B7" i="3"/>
  <c r="C10" i="4"/>
  <c r="E14" i="5" s="1"/>
  <c r="D33" i="2" l="1"/>
  <c r="D34" i="2" s="1"/>
  <c r="D36" i="2" s="1"/>
  <c r="H124" i="16"/>
  <c r="B49" i="2"/>
  <c r="B51" i="2" s="1"/>
  <c r="B56" i="2" s="1"/>
  <c r="B20" i="2"/>
  <c r="C6" i="5" s="1"/>
  <c r="G47" i="2"/>
  <c r="G48" i="2"/>
  <c r="E53" i="2"/>
  <c r="D53" i="2"/>
  <c r="D16" i="5"/>
  <c r="C54" i="3"/>
  <c r="B62" i="16"/>
  <c r="B54" i="3" s="1"/>
  <c r="B61" i="16"/>
  <c r="B71" i="3" s="1"/>
  <c r="G45" i="2"/>
  <c r="F17" i="5"/>
  <c r="I17" i="5" s="1"/>
  <c r="E57" i="3"/>
  <c r="F31" i="3"/>
  <c r="G37" i="17" s="1"/>
  <c r="E31" i="3"/>
  <c r="F37" i="17" s="1"/>
  <c r="D31" i="3"/>
  <c r="E37" i="17" s="1"/>
  <c r="C31" i="3"/>
  <c r="D37" i="17" s="1"/>
  <c r="E16" i="5"/>
  <c r="E89" i="3"/>
  <c r="G14" i="5"/>
  <c r="B60" i="16"/>
  <c r="G43" i="2"/>
  <c r="G16" i="5"/>
  <c r="G6" i="6"/>
  <c r="G34" i="17"/>
  <c r="B21" i="5"/>
  <c r="B23" i="5" s="1"/>
  <c r="B25" i="5" s="1"/>
  <c r="G174" i="16"/>
  <c r="F174" i="16"/>
  <c r="F175" i="16"/>
  <c r="G175" i="16"/>
  <c r="F90" i="3"/>
  <c r="H127" i="16"/>
  <c r="E6" i="6"/>
  <c r="E34" i="17"/>
  <c r="F71" i="3"/>
  <c r="E71" i="3"/>
  <c r="D71" i="3"/>
  <c r="C71" i="3"/>
  <c r="I20" i="16"/>
  <c r="K20" i="16" s="1"/>
  <c r="I22" i="16" s="1"/>
  <c r="B28" i="3" s="1"/>
  <c r="B11" i="3"/>
  <c r="B8" i="3"/>
  <c r="B90" i="3" s="1"/>
  <c r="I11" i="16"/>
  <c r="C34" i="17"/>
  <c r="C6" i="6"/>
  <c r="B65" i="16"/>
  <c r="D46" i="2"/>
  <c r="E46" i="2"/>
  <c r="I125" i="16"/>
  <c r="H125" i="16" s="1"/>
  <c r="H128" i="16" s="1"/>
  <c r="D28" i="3"/>
  <c r="C28" i="3"/>
  <c r="F28" i="3"/>
  <c r="E28" i="3"/>
  <c r="I14" i="16"/>
  <c r="M11" i="16"/>
  <c r="G44" i="2"/>
  <c r="D11" i="5"/>
  <c r="I11" i="5"/>
  <c r="D30" i="4"/>
  <c r="C30" i="4"/>
  <c r="D14" i="5"/>
  <c r="F89" i="3"/>
  <c r="D89" i="3"/>
  <c r="B89" i="3"/>
  <c r="G46" i="2" l="1"/>
  <c r="B71" i="16"/>
  <c r="B74" i="16" s="1"/>
  <c r="B33" i="2"/>
  <c r="B34" i="2" s="1"/>
  <c r="B36" i="2" s="1"/>
  <c r="D49" i="2"/>
  <c r="D51" i="2" s="1"/>
  <c r="D56" i="2" s="1"/>
  <c r="E49" i="2"/>
  <c r="I16" i="5"/>
  <c r="E12" i="3"/>
  <c r="G128" i="16"/>
  <c r="F12" i="3"/>
  <c r="N130" i="16"/>
  <c r="I6" i="5"/>
  <c r="C8" i="5"/>
  <c r="B4" i="7" s="1"/>
  <c r="I15" i="16"/>
  <c r="G25" i="3" s="1"/>
  <c r="E51" i="2"/>
  <c r="E56" i="2" s="1"/>
  <c r="F25" i="3"/>
  <c r="C25" i="3"/>
  <c r="B25" i="3"/>
  <c r="D25" i="3"/>
  <c r="E25" i="3"/>
  <c r="B68" i="16"/>
  <c r="C65" i="16"/>
  <c r="C68" i="16" s="1"/>
  <c r="B53" i="3" s="1"/>
  <c r="C18" i="6" s="1"/>
  <c r="F176" i="16"/>
  <c r="C71" i="16"/>
  <c r="C74" i="16" s="1"/>
  <c r="B70" i="3" s="1"/>
  <c r="C19" i="6" s="1"/>
  <c r="G176" i="16"/>
  <c r="I14" i="5"/>
  <c r="I5" i="7" l="1"/>
  <c r="E52" i="3"/>
  <c r="E69" i="3"/>
  <c r="C10" i="3"/>
  <c r="C124" i="3" s="1"/>
  <c r="D52" i="3"/>
  <c r="D69" i="3"/>
  <c r="B10" i="3"/>
  <c r="G40" i="16" s="1"/>
  <c r="I40" i="16" s="1"/>
  <c r="K40" i="16" s="1"/>
  <c r="B27" i="3" s="1"/>
  <c r="I7" i="7"/>
  <c r="B52" i="3"/>
  <c r="C52" i="3"/>
  <c r="C69" i="3"/>
  <c r="D10" i="3"/>
  <c r="I6" i="7"/>
  <c r="F52" i="3"/>
  <c r="F69" i="3"/>
  <c r="B69" i="3"/>
  <c r="B75" i="3" s="1"/>
  <c r="G49" i="2"/>
  <c r="G51" i="2" s="1"/>
  <c r="G56" i="2" s="1"/>
  <c r="B9" i="7" s="1"/>
  <c r="B11" i="7" s="1"/>
  <c r="I8" i="7"/>
  <c r="I9" i="7"/>
  <c r="G7" i="6"/>
  <c r="G12" i="6" s="1"/>
  <c r="E14" i="3"/>
  <c r="D14" i="3"/>
  <c r="C14" i="3"/>
  <c r="N177" i="16"/>
  <c r="N178" i="16" s="1"/>
  <c r="B32" i="3" s="1"/>
  <c r="F14" i="3"/>
  <c r="E53" i="3"/>
  <c r="F18" i="6" s="1"/>
  <c r="F53" i="3"/>
  <c r="G18" i="6" s="1"/>
  <c r="D53" i="3"/>
  <c r="E18" i="6" s="1"/>
  <c r="C53" i="3"/>
  <c r="D18" i="6" s="1"/>
  <c r="E10" i="3"/>
  <c r="G42" i="16" s="1"/>
  <c r="I42" i="16" s="1"/>
  <c r="K42" i="16" s="1"/>
  <c r="E27" i="3" s="1"/>
  <c r="F17" i="4" s="1"/>
  <c r="F10" i="3"/>
  <c r="F124" i="3" s="1"/>
  <c r="C21" i="5"/>
  <c r="I21" i="5" s="1"/>
  <c r="I8" i="5"/>
  <c r="D12" i="3"/>
  <c r="F128" i="16"/>
  <c r="C12" i="3"/>
  <c r="N137" i="16"/>
  <c r="N138" i="16"/>
  <c r="B29" i="3" s="1"/>
  <c r="C32" i="4" s="1"/>
  <c r="C15" i="6" s="1"/>
  <c r="N132" i="16"/>
  <c r="B58" i="3"/>
  <c r="B60" i="3" s="1"/>
  <c r="B129" i="3" s="1"/>
  <c r="F70" i="3"/>
  <c r="G19" i="6" s="1"/>
  <c r="C70" i="3"/>
  <c r="D19" i="6" s="1"/>
  <c r="E70" i="3"/>
  <c r="F19" i="6" s="1"/>
  <c r="D70" i="3"/>
  <c r="E19" i="6" s="1"/>
  <c r="N172" i="16"/>
  <c r="N173" i="16" s="1"/>
  <c r="B14" i="3"/>
  <c r="F7" i="6"/>
  <c r="F12" i="6" s="1"/>
  <c r="D124" i="3"/>
  <c r="E58" i="3"/>
  <c r="E60" i="3" s="1"/>
  <c r="B124" i="3"/>
  <c r="F75" i="3"/>
  <c r="F77" i="3" s="1"/>
  <c r="F109" i="3" s="1"/>
  <c r="F58" i="3"/>
  <c r="F60" i="3" s="1"/>
  <c r="G41" i="16" l="1"/>
  <c r="I41" i="16" s="1"/>
  <c r="K41" i="16" s="1"/>
  <c r="I11" i="7"/>
  <c r="F27" i="3"/>
  <c r="G17" i="4" s="1"/>
  <c r="E75" i="3"/>
  <c r="E77" i="3" s="1"/>
  <c r="E109" i="3" s="1"/>
  <c r="C75" i="3"/>
  <c r="M18" i="7"/>
  <c r="E124" i="3"/>
  <c r="D58" i="3"/>
  <c r="D60" i="3" s="1"/>
  <c r="D108" i="3" s="1"/>
  <c r="F11" i="4"/>
  <c r="C58" i="3"/>
  <c r="C60" i="3" s="1"/>
  <c r="D11" i="4"/>
  <c r="D7" i="6"/>
  <c r="D12" i="6" s="1"/>
  <c r="F189" i="16"/>
  <c r="F190" i="16" s="1"/>
  <c r="B108" i="3"/>
  <c r="F15" i="4"/>
  <c r="B130" i="3"/>
  <c r="E29" i="3"/>
  <c r="F29" i="3"/>
  <c r="D29" i="3"/>
  <c r="C29" i="3"/>
  <c r="D32" i="4" s="1"/>
  <c r="D15" i="6" s="1"/>
  <c r="N139" i="16"/>
  <c r="G29" i="3" s="1"/>
  <c r="G34" i="3" s="1"/>
  <c r="B12" i="3"/>
  <c r="D75" i="3"/>
  <c r="E32" i="3"/>
  <c r="F32" i="3"/>
  <c r="C32" i="3"/>
  <c r="D32" i="3"/>
  <c r="E11" i="4"/>
  <c r="E7" i="6"/>
  <c r="E12" i="6" s="1"/>
  <c r="G11" i="4"/>
  <c r="E79" i="3"/>
  <c r="E131" i="3" s="1"/>
  <c r="F79" i="3"/>
  <c r="F131" i="3" s="1"/>
  <c r="E108" i="3"/>
  <c r="E129" i="3"/>
  <c r="E130" i="3"/>
  <c r="F80" i="3"/>
  <c r="F132" i="3" s="1"/>
  <c r="B77" i="3"/>
  <c r="B80" i="3" s="1"/>
  <c r="B132" i="3" s="1"/>
  <c r="G18" i="4"/>
  <c r="F130" i="3"/>
  <c r="F129" i="3"/>
  <c r="F108" i="3"/>
  <c r="D130" i="3"/>
  <c r="C17" i="4"/>
  <c r="C18" i="4" s="1"/>
  <c r="C20" i="4" s="1"/>
  <c r="B33" i="3"/>
  <c r="B34" i="3" s="1"/>
  <c r="B41" i="3" s="1"/>
  <c r="B97" i="3" s="1"/>
  <c r="D27" i="3"/>
  <c r="C27" i="3"/>
  <c r="C77" i="3"/>
  <c r="C109" i="3" s="1"/>
  <c r="E80" i="3" l="1"/>
  <c r="E132" i="3" s="1"/>
  <c r="F33" i="3"/>
  <c r="F34" i="3" s="1"/>
  <c r="F41" i="3" s="1"/>
  <c r="F97" i="3" s="1"/>
  <c r="G15" i="5"/>
  <c r="G18" i="5" s="1"/>
  <c r="G22" i="5" s="1"/>
  <c r="G23" i="5" s="1"/>
  <c r="F26" i="6" s="1"/>
  <c r="D8" i="7" s="1"/>
  <c r="E32" i="4"/>
  <c r="E15" i="6" s="1"/>
  <c r="D129" i="3"/>
  <c r="E35" i="17"/>
  <c r="E38" i="17" s="1"/>
  <c r="C13" i="6"/>
  <c r="B40" i="3"/>
  <c r="B96" i="3"/>
  <c r="F35" i="17"/>
  <c r="F38" i="17" s="1"/>
  <c r="F39" i="17" s="1"/>
  <c r="F33" i="4" s="1"/>
  <c r="F16" i="6" s="1"/>
  <c r="F32" i="4"/>
  <c r="F15" i="6" s="1"/>
  <c r="E33" i="3"/>
  <c r="E34" i="3" s="1"/>
  <c r="E41" i="3" s="1"/>
  <c r="E97" i="3" s="1"/>
  <c r="D35" i="17"/>
  <c r="D38" i="17" s="1"/>
  <c r="E31" i="4"/>
  <c r="F15" i="5"/>
  <c r="F18" i="5" s="1"/>
  <c r="C7" i="7" s="1"/>
  <c r="E15" i="4"/>
  <c r="D77" i="3"/>
  <c r="D15" i="4"/>
  <c r="H15" i="5"/>
  <c r="H18" i="5" s="1"/>
  <c r="G15" i="4"/>
  <c r="G24" i="4" s="1"/>
  <c r="G31" i="4"/>
  <c r="C7" i="6"/>
  <c r="C12" i="6" s="1"/>
  <c r="C11" i="4"/>
  <c r="E15" i="5" s="1"/>
  <c r="E18" i="5" s="1"/>
  <c r="C6" i="7" s="1"/>
  <c r="C35" i="17"/>
  <c r="C38" i="17" s="1"/>
  <c r="C39" i="17" s="1"/>
  <c r="C33" i="4" s="1"/>
  <c r="C16" i="6" s="1"/>
  <c r="E189" i="16"/>
  <c r="E190" i="16" s="1"/>
  <c r="B15" i="3" s="1"/>
  <c r="G35" i="17"/>
  <c r="G38" i="17" s="1"/>
  <c r="G32" i="4"/>
  <c r="F31" i="4"/>
  <c r="F15" i="3"/>
  <c r="E15" i="3"/>
  <c r="D15" i="3"/>
  <c r="C15" i="3"/>
  <c r="C130" i="3"/>
  <c r="C108" i="3"/>
  <c r="C129" i="3"/>
  <c r="C80" i="3"/>
  <c r="C132" i="3" s="1"/>
  <c r="D17" i="4"/>
  <c r="C33" i="3"/>
  <c r="C34" i="3" s="1"/>
  <c r="C41" i="3" s="1"/>
  <c r="C97" i="3" s="1"/>
  <c r="E17" i="4"/>
  <c r="D33" i="3"/>
  <c r="D34" i="3" s="1"/>
  <c r="D41" i="3" s="1"/>
  <c r="D97" i="3" s="1"/>
  <c r="C79" i="3"/>
  <c r="C131" i="3" s="1"/>
  <c r="B109" i="3"/>
  <c r="B79" i="3"/>
  <c r="B131" i="3" s="1"/>
  <c r="G25" i="5" l="1"/>
  <c r="C8" i="7"/>
  <c r="E39" i="17"/>
  <c r="E33" i="4" s="1"/>
  <c r="E34" i="4" s="1"/>
  <c r="E16" i="6"/>
  <c r="E17" i="6" s="1"/>
  <c r="E21" i="6" s="1"/>
  <c r="E23" i="6" s="1"/>
  <c r="F34" i="4"/>
  <c r="G39" i="17"/>
  <c r="G33" i="4" s="1"/>
  <c r="G16" i="6" s="1"/>
  <c r="C17" i="6"/>
  <c r="C21" i="6" s="1"/>
  <c r="C23" i="6" s="1"/>
  <c r="F17" i="6"/>
  <c r="F21" i="6" s="1"/>
  <c r="F23" i="6" s="1"/>
  <c r="E22" i="5"/>
  <c r="E23" i="5" s="1"/>
  <c r="D26" i="6" s="1"/>
  <c r="D6" i="7" s="1"/>
  <c r="B91" i="3"/>
  <c r="B16" i="3"/>
  <c r="D109" i="3"/>
  <c r="D79" i="3"/>
  <c r="D131" i="3" s="1"/>
  <c r="F22" i="5"/>
  <c r="F23" i="5" s="1"/>
  <c r="E26" i="6" s="1"/>
  <c r="D7" i="7" s="1"/>
  <c r="B18" i="3"/>
  <c r="C16" i="3"/>
  <c r="C91" i="3"/>
  <c r="F16" i="3"/>
  <c r="F91" i="3"/>
  <c r="D91" i="3"/>
  <c r="D16" i="3"/>
  <c r="G34" i="4"/>
  <c r="G15" i="6"/>
  <c r="B11" i="4"/>
  <c r="C31" i="4" s="1"/>
  <c r="C34" i="4" s="1"/>
  <c r="C15" i="4"/>
  <c r="D24" i="4" s="1"/>
  <c r="H22" i="5"/>
  <c r="H23" i="5" s="1"/>
  <c r="G26" i="6" s="1"/>
  <c r="D9" i="7" s="1"/>
  <c r="D31" i="4"/>
  <c r="E16" i="3"/>
  <c r="E18" i="3" s="1"/>
  <c r="E91" i="3"/>
  <c r="F24" i="4"/>
  <c r="E24" i="4"/>
  <c r="D39" i="17"/>
  <c r="D33" i="4" s="1"/>
  <c r="D16" i="6" s="1"/>
  <c r="D17" i="6" s="1"/>
  <c r="D21" i="6" s="1"/>
  <c r="D23" i="6" s="1"/>
  <c r="D80" i="3"/>
  <c r="D132" i="3" s="1"/>
  <c r="E18" i="4"/>
  <c r="F18" i="4"/>
  <c r="D18" i="4"/>
  <c r="D20" i="4" s="1"/>
  <c r="D34" i="4" l="1"/>
  <c r="G17" i="6"/>
  <c r="G21" i="6" s="1"/>
  <c r="G23" i="6" s="1"/>
  <c r="D18" i="3"/>
  <c r="D127" i="3" s="1"/>
  <c r="D38" i="3"/>
  <c r="D42" i="3" s="1"/>
  <c r="D43" i="3" s="1"/>
  <c r="D101" i="3" s="1"/>
  <c r="D200" i="16" s="1"/>
  <c r="D93" i="3"/>
  <c r="D19" i="3"/>
  <c r="D128" i="3" s="1"/>
  <c r="D133" i="3" s="1"/>
  <c r="H25" i="5"/>
  <c r="D15" i="5"/>
  <c r="D18" i="5" s="1"/>
  <c r="C5" i="7" s="1"/>
  <c r="B31" i="4"/>
  <c r="B34" i="4" s="1"/>
  <c r="C15" i="5"/>
  <c r="B15" i="4"/>
  <c r="B22" i="4" s="1"/>
  <c r="C38" i="3"/>
  <c r="C42" i="3" s="1"/>
  <c r="C43" i="3" s="1"/>
  <c r="C101" i="3" s="1"/>
  <c r="C200" i="16" s="1"/>
  <c r="C19" i="3"/>
  <c r="C128" i="3" s="1"/>
  <c r="C133" i="3" s="1"/>
  <c r="C93" i="3"/>
  <c r="C18" i="3"/>
  <c r="C127" i="3" s="1"/>
  <c r="E25" i="5"/>
  <c r="E19" i="3"/>
  <c r="E128" i="3" s="1"/>
  <c r="E133" i="3" s="1"/>
  <c r="E93" i="3"/>
  <c r="E127" i="3"/>
  <c r="E38" i="3"/>
  <c r="F18" i="3"/>
  <c r="F93" i="3"/>
  <c r="F19" i="3"/>
  <c r="F128" i="3" s="1"/>
  <c r="F38" i="3"/>
  <c r="F42" i="3" s="1"/>
  <c r="F43" i="3" s="1"/>
  <c r="F101" i="3" s="1"/>
  <c r="F200" i="16" s="1"/>
  <c r="F127" i="3"/>
  <c r="F25" i="5"/>
  <c r="B19" i="3"/>
  <c r="B128" i="3" s="1"/>
  <c r="B38" i="3"/>
  <c r="B42" i="3" s="1"/>
  <c r="B45" i="3" s="1"/>
  <c r="B93" i="3"/>
  <c r="B127" i="3"/>
  <c r="F20" i="4"/>
  <c r="G20" i="4"/>
  <c r="E20" i="4"/>
  <c r="C99" i="3" l="1"/>
  <c r="D201" i="16"/>
  <c r="E201" i="16"/>
  <c r="D202" i="16"/>
  <c r="D104" i="3" s="1"/>
  <c r="D99" i="3"/>
  <c r="B99" i="3"/>
  <c r="B133" i="3"/>
  <c r="B134" i="3" s="1"/>
  <c r="B142" i="3"/>
  <c r="F46" i="3"/>
  <c r="F99" i="3"/>
  <c r="B43" i="3"/>
  <c r="B101" i="3" s="1"/>
  <c r="B200" i="16" s="1"/>
  <c r="F133" i="3"/>
  <c r="F134" i="3" s="1"/>
  <c r="I142" i="3"/>
  <c r="D45" i="3"/>
  <c r="C141" i="3"/>
  <c r="D141" i="3" s="1"/>
  <c r="C142" i="3"/>
  <c r="D142" i="3" s="1"/>
  <c r="F45" i="3"/>
  <c r="B46" i="3"/>
  <c r="J141" i="3"/>
  <c r="K141" i="3" s="1"/>
  <c r="J142" i="3"/>
  <c r="D134" i="3"/>
  <c r="C24" i="4"/>
  <c r="C45" i="3"/>
  <c r="D22" i="5"/>
  <c r="D23" i="5" s="1"/>
  <c r="C26" i="6" s="1"/>
  <c r="D5" i="7" s="1"/>
  <c r="D46" i="3"/>
  <c r="E134" i="3"/>
  <c r="E42" i="3"/>
  <c r="C134" i="3"/>
  <c r="B24" i="4"/>
  <c r="B25" i="4"/>
  <c r="B36" i="4" s="1"/>
  <c r="C46" i="3"/>
  <c r="I15" i="5"/>
  <c r="C18" i="5"/>
  <c r="C4" i="7" s="1"/>
  <c r="K142" i="3" l="1"/>
  <c r="C201" i="16"/>
  <c r="C202" i="16" s="1"/>
  <c r="C104" i="3" s="1"/>
  <c r="C106" i="3" s="1"/>
  <c r="C111" i="3" s="1"/>
  <c r="C115" i="3" s="1"/>
  <c r="H6" i="7" s="1"/>
  <c r="B202" i="16"/>
  <c r="B104" i="3" s="1"/>
  <c r="B106" i="3" s="1"/>
  <c r="B111" i="3" s="1"/>
  <c r="B115" i="3" s="1"/>
  <c r="H5" i="7" s="1"/>
  <c r="D106" i="3"/>
  <c r="D111" i="3" s="1"/>
  <c r="D115" i="3" s="1"/>
  <c r="H7" i="7" s="1"/>
  <c r="C22" i="5"/>
  <c r="I18" i="5"/>
  <c r="C9" i="7" s="1"/>
  <c r="C11" i="7" s="1"/>
  <c r="M20" i="7" s="1"/>
  <c r="E45" i="3"/>
  <c r="E99" i="3"/>
  <c r="E43" i="3"/>
  <c r="E101" i="3" s="1"/>
  <c r="E46" i="3"/>
  <c r="D25" i="5"/>
  <c r="B113" i="3"/>
  <c r="D113" i="3" l="1"/>
  <c r="C113" i="3"/>
  <c r="E200" i="16"/>
  <c r="I22" i="5"/>
  <c r="C23" i="5"/>
  <c r="E25" i="6"/>
  <c r="D117" i="3"/>
  <c r="D116" i="3"/>
  <c r="E7" i="7" s="1"/>
  <c r="C117" i="3"/>
  <c r="C116" i="3"/>
  <c r="E6" i="7" s="1"/>
  <c r="B116" i="3"/>
  <c r="E5" i="7" s="1"/>
  <c r="B117" i="3"/>
  <c r="F201" i="16" l="1"/>
  <c r="F202" i="16" s="1"/>
  <c r="F104" i="3" s="1"/>
  <c r="F106" i="3" s="1"/>
  <c r="F111" i="3" s="1"/>
  <c r="E202" i="16"/>
  <c r="E104" i="3" s="1"/>
  <c r="E106" i="3" s="1"/>
  <c r="E111" i="3" s="1"/>
  <c r="E113" i="3" s="1"/>
  <c r="F7" i="7"/>
  <c r="G7" i="7" s="1"/>
  <c r="F6" i="7"/>
  <c r="G6" i="7" s="1"/>
  <c r="F5" i="7"/>
  <c r="G5" i="7" s="1"/>
  <c r="B26" i="6"/>
  <c r="D4" i="7" s="1"/>
  <c r="I23" i="5"/>
  <c r="C25" i="5"/>
  <c r="I25" i="5" s="1"/>
  <c r="F25" i="6"/>
  <c r="F30" i="6" s="1"/>
  <c r="C119" i="3"/>
  <c r="C120" i="3" s="1"/>
  <c r="D19" i="4" s="1"/>
  <c r="D22" i="4" s="1"/>
  <c r="B119" i="3"/>
  <c r="B123" i="3" s="1"/>
  <c r="B125" i="3" s="1"/>
  <c r="D119" i="3"/>
  <c r="D120" i="3" s="1"/>
  <c r="E19" i="4" s="1"/>
  <c r="E22" i="4" s="1"/>
  <c r="E115" i="3" l="1"/>
  <c r="H8" i="7" s="1"/>
  <c r="F115" i="3"/>
  <c r="F113" i="3"/>
  <c r="D11" i="7"/>
  <c r="G4" i="7"/>
  <c r="L4" i="7" s="1"/>
  <c r="M4" i="7" s="1"/>
  <c r="E117" i="3"/>
  <c r="E116" i="3"/>
  <c r="B27" i="6"/>
  <c r="C25" i="6" s="1"/>
  <c r="E28" i="6"/>
  <c r="G25" i="6"/>
  <c r="C123" i="3"/>
  <c r="C125" i="3" s="1"/>
  <c r="E25" i="4"/>
  <c r="E36" i="4" s="1"/>
  <c r="B120" i="3"/>
  <c r="C19" i="4" s="1"/>
  <c r="C22" i="4" s="1"/>
  <c r="C25" i="4" s="1"/>
  <c r="C36" i="4" s="1"/>
  <c r="D123" i="3"/>
  <c r="D125" i="3" s="1"/>
  <c r="H9" i="7" l="1"/>
  <c r="H11" i="7" s="1"/>
  <c r="F117" i="3"/>
  <c r="F119" i="3" s="1"/>
  <c r="F116" i="3"/>
  <c r="E9" i="7" s="1"/>
  <c r="F9" i="7" s="1"/>
  <c r="G9" i="7" s="1"/>
  <c r="E30" i="6"/>
  <c r="J7" i="7"/>
  <c r="K7" i="7" s="1"/>
  <c r="L7" i="7" s="1"/>
  <c r="E119" i="3"/>
  <c r="E8" i="7"/>
  <c r="E11" i="7" s="1"/>
  <c r="B28" i="6"/>
  <c r="B30" i="6" s="1"/>
  <c r="C27" i="6"/>
  <c r="D25" i="6" s="1"/>
  <c r="G30" i="6"/>
  <c r="F28" i="6"/>
  <c r="J8" i="7" s="1"/>
  <c r="K8" i="7" s="1"/>
  <c r="D25" i="4"/>
  <c r="D36" i="4" s="1"/>
  <c r="F120" i="3" l="1"/>
  <c r="G19" i="4" s="1"/>
  <c r="G22" i="4" s="1"/>
  <c r="F123" i="3"/>
  <c r="F125" i="3" s="1"/>
  <c r="F8" i="7"/>
  <c r="E120" i="3"/>
  <c r="F19" i="4" s="1"/>
  <c r="F22" i="4" s="1"/>
  <c r="E123" i="3"/>
  <c r="E125" i="3" s="1"/>
  <c r="D28" i="6"/>
  <c r="J6" i="7" s="1"/>
  <c r="K6" i="7" s="1"/>
  <c r="L6" i="7" s="1"/>
  <c r="G28" i="6"/>
  <c r="J9" i="7" s="1"/>
  <c r="K9" i="7" s="1"/>
  <c r="L9" i="7" s="1"/>
  <c r="C28" i="6"/>
  <c r="G8" i="7" l="1"/>
  <c r="F11" i="7"/>
  <c r="F25" i="4"/>
  <c r="F36" i="4" s="1"/>
  <c r="G25" i="4"/>
  <c r="G36" i="4" s="1"/>
  <c r="C30" i="6"/>
  <c r="J5" i="7"/>
  <c r="D30" i="6"/>
  <c r="L8" i="7" l="1"/>
  <c r="G11" i="7"/>
  <c r="J11" i="7"/>
  <c r="M19" i="7" s="1"/>
  <c r="K5" i="7"/>
  <c r="K11" i="7" l="1"/>
  <c r="L5" i="7"/>
  <c r="L11" i="7" l="1"/>
  <c r="D15" i="7"/>
  <c r="M5" i="7"/>
  <c r="M6" i="7" s="1"/>
  <c r="M7" i="7" s="1"/>
  <c r="D14" i="7" l="1"/>
  <c r="M8" i="7"/>
  <c r="M9" i="7" s="1"/>
  <c r="D13" i="7" s="1"/>
  <c r="M21" i="7" l="1"/>
</calcChain>
</file>

<file path=xl/sharedStrings.xml><?xml version="1.0" encoding="utf-8"?>
<sst xmlns="http://schemas.openxmlformats.org/spreadsheetml/2006/main" count="1270" uniqueCount="741">
  <si>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</si>
  <si>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</si>
  <si>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</si>
  <si>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</si>
  <si>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</si>
  <si>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</si>
  <si>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</si>
  <si>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</si>
  <si>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</si>
  <si>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</si>
  <si>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</si>
  <si>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</si>
  <si>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</si>
  <si>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</si>
  <si>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</si>
  <si>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</si>
  <si>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</si>
  <si>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</si>
  <si>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</si>
  <si>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</si>
  <si>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</si>
  <si>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</si>
  <si>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</si>
  <si>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</si>
  <si>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</si>
  <si>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</si>
  <si>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</si>
  <si>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</si>
  <si>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</si>
  <si>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</si>
  <si>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</si>
  <si>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</si>
  <si>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</si>
  <si>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</si>
  <si>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</si>
  <si>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</si>
  <si>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</si>
  <si>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</si>
  <si>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</si>
  <si>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</si>
  <si>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</si>
  <si>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</si>
  <si>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</si>
  <si>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</si>
  <si>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</si>
  <si>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</si>
  <si>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</si>
  <si>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</si>
  <si>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BaseDeDatos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</si>
  <si>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</si>
  <si>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</si>
  <si>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</si>
  <si>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</si>
  <si>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</si>
  <si>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</si>
  <si>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</si>
  <si>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</si>
  <si>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</si>
  <si>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</si>
  <si>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</si>
  <si>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</si>
  <si>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</si>
  <si>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</si>
  <si>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</si>
  <si>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</si>
  <si>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</si>
  <si>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</si>
  <si>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</si>
  <si>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</si>
  <si>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</si>
  <si>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</si>
  <si>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</si>
  <si>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</si>
  <si>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</si>
  <si>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</si>
  <si>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</si>
  <si>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</si>
  <si>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</si>
  <si>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</si>
  <si>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</si>
  <si>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</si>
  <si>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</si>
  <si>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</si>
  <si>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</si>
  <si>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</si>
  <si>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</si>
  <si>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</si>
  <si>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</si>
  <si>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</si>
  <si>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</si>
  <si>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</si>
  <si>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</si>
  <si>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</si>
  <si>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</si>
  <si>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</si>
  <si>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</si>
  <si>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</si>
  <si>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</si>
  <si>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</si>
  <si>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</si>
  <si>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</si>
  <si>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</si>
  <si>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</si>
  <si>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</si>
  <si>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</si>
  <si>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</si>
  <si>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</si>
  <si>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</si>
  <si>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</si>
  <si>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</si>
  <si>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</si>
  <si>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</si>
  <si>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</si>
  <si>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</si>
  <si>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</si>
  <si>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</si>
  <si>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</si>
  <si>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</si>
  <si>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</si>
  <si>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</si>
  <si>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</si>
  <si>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</si>
  <si>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</si>
  <si>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</si>
  <si>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</si>
  <si>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</si>
  <si>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</si>
  <si>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</si>
  <si>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</si>
  <si>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</si>
  <si>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</si>
  <si>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</si>
  <si>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</si>
  <si>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</si>
  <si>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</si>
  <si>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</si>
  <si>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</si>
  <si>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</si>
  <si>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</si>
  <si>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</si>
  <si>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</si>
  <si>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</si>
  <si>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</si>
  <si>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</si>
  <si>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</si>
  <si>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</si>
  <si>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</si>
  <si>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</si>
  <si>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</si>
  <si>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</si>
  <si>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</si>
  <si>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</si>
  <si>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</si>
  <si>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</si>
  <si>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</si>
  <si>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</si>
  <si>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</si>
  <si>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</si>
  <si>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</si>
  <si>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</si>
  <si>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</si>
  <si>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</si>
  <si>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</si>
  <si>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</si>
  <si>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</si>
  <si>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</si>
  <si>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</si>
  <si>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</si>
  <si>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</si>
  <si>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</si>
  <si>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</si>
  <si>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</si>
  <si>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</si>
  <si>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</si>
  <si>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</si>
  <si>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</si>
  <si>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</si>
  <si>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</si>
  <si>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</si>
  <si>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</si>
  <si>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</si>
  <si>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</si>
  <si>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</si>
  <si>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</si>
  <si>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</si>
  <si>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</si>
  <si>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</si>
  <si>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</si>
  <si>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</si>
  <si>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</si>
  <si>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</si>
  <si>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</si>
  <si>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</si>
  <si>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</si>
  <si>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</si>
  <si>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</si>
  <si>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</si>
  <si>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</si>
  <si>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</si>
  <si>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</si>
  <si>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</si>
  <si>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</si>
  <si>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</si>
  <si>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</si>
  <si>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</si>
  <si>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</si>
  <si>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</si>
  <si>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</si>
  <si>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</si>
  <si>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</si>
  <si>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</si>
  <si>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</si>
  <si>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</si>
  <si>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</si>
  <si>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</si>
  <si>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</si>
  <si>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</si>
  <si>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</si>
  <si>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</si>
  <si>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Energía eléctrica</t>
  </si>
  <si>
    <t>Seguros</t>
  </si>
  <si>
    <t>Menos: Puesta en marcha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</si>
  <si>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</si>
  <si>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</si>
  <si>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</si>
  <si>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</si>
  <si>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</si>
  <si>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</si>
  <si>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</si>
  <si>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</si>
  <si>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</si>
  <si>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</si>
  <si>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</si>
  <si>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</si>
  <si>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</si>
  <si>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</si>
  <si>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</si>
  <si>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</si>
  <si>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</si>
  <si>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</si>
  <si>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</si>
  <si>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</si>
  <si>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</si>
  <si>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</si>
  <si>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</si>
  <si>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</si>
  <si>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</si>
  <si>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</si>
  <si>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</si>
  <si>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</si>
  <si>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</si>
  <si>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</si>
  <si>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</si>
  <si>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</si>
  <si>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</si>
  <si>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</si>
  <si>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</si>
  <si>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</si>
  <si>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</si>
  <si>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</si>
  <si>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</si>
  <si>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</si>
  <si>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</si>
  <si>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</si>
  <si>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</si>
  <si>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</si>
  <si>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</si>
  <si>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</si>
  <si>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</si>
  <si>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</si>
  <si>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</si>
  <si>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</si>
  <si>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</si>
  <si>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</si>
  <si>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</si>
  <si>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</si>
  <si>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</si>
  <si>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</si>
  <si>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</si>
  <si>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</si>
  <si>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</si>
  <si>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</si>
  <si>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</si>
  <si>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</si>
  <si>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</si>
  <si>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</si>
  <si>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</si>
  <si>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</si>
  <si>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</si>
  <si>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</si>
  <si>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</si>
  <si>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</si>
  <si>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</si>
  <si>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</si>
  <si>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</si>
  <si>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</si>
  <si>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</si>
  <si>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</si>
  <si>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</si>
  <si>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</si>
  <si>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</si>
  <si>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</si>
  <si>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</si>
  <si>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</si>
  <si>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</si>
  <si>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</si>
  <si>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</si>
  <si>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</si>
  <si>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</si>
  <si>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</si>
  <si>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</si>
  <si>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</si>
  <si>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</si>
  <si>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</si>
  <si>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</si>
  <si>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</si>
  <si>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</si>
  <si>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</si>
  <si>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</si>
  <si>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</si>
  <si>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</si>
  <si>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</si>
  <si>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</si>
  <si>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</si>
  <si>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</si>
  <si>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</si>
  <si>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</si>
  <si>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</si>
  <si>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</si>
  <si>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</si>
  <si>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</si>
  <si>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</si>
  <si>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</si>
  <si>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</si>
  <si>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</si>
  <si>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</si>
  <si>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</si>
  <si>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</si>
  <si>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</si>
  <si>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</si>
  <si>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</si>
  <si>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</si>
  <si>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</si>
  <si>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</si>
  <si>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</si>
  <si>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</si>
  <si>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</si>
  <si>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</si>
  <si>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</si>
  <si>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</si>
  <si>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</si>
  <si>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</si>
  <si>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</si>
  <si>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</si>
  <si>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</si>
  <si>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</si>
  <si>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</si>
  <si>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</si>
  <si>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</si>
  <si>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</si>
  <si>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</si>
  <si>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</si>
  <si>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</si>
  <si>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</si>
  <si>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</si>
  <si>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</si>
  <si>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</si>
  <si>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</si>
  <si>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</si>
  <si>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</si>
  <si>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</si>
  <si>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</si>
  <si>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</si>
  <si>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</si>
  <si>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</si>
  <si>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</si>
  <si>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</si>
  <si>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</si>
  <si>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</si>
  <si>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</si>
  <si>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</si>
  <si>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</si>
  <si>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</si>
  <si>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</si>
  <si>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</si>
  <si>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</si>
  <si>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</si>
  <si>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</si>
  <si>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</si>
  <si>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</si>
  <si>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</si>
  <si>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</si>
  <si>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</si>
  <si>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</si>
  <si>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</si>
  <si>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</si>
  <si>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</si>
  <si>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</si>
  <si>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</si>
  <si>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</si>
  <si>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TERMOS GABC</t>
  </si>
  <si>
    <t>https://www.argenprop.com/Propiedades/Detalles/9541073--Terreno-en-Venta-en-Pdo.-de-General-San-Martin</t>
  </si>
  <si>
    <t>https://martinbonari.com/costo-de-la-construccion-en-2018/</t>
  </si>
  <si>
    <t>Está así en la guía</t>
  </si>
  <si>
    <t>http://www.hidric.fr/productdisplay/dr-18x3038-72lh-pompe-doseuse-%C3%A0-piston-72-144lh</t>
  </si>
  <si>
    <t>Bomba a pistón</t>
  </si>
  <si>
    <t>https://articulo.mercadolibre.com.ar/MLA-633298014-bomba-vacio-dosivac-dvp-1-alto-vacio-60-lmin-2-etapas-_JM</t>
  </si>
  <si>
    <t>Nacional</t>
  </si>
  <si>
    <t>Bomba de vacío</t>
  </si>
  <si>
    <t>https://www.alibaba.com/product-detail/alibaba-china-dongguan-glass-plastic-bottle_60527410094.html?spm=a2700.7724857.normalList.105.3fd22e80Ryf0qP</t>
  </si>
  <si>
    <t>Serigrafiadora</t>
  </si>
  <si>
    <t>https://articulo.mercadolibre.com.ar/MLA-614145145-quemador-para-calderas-industriales-_JM</t>
  </si>
  <si>
    <t>Quemadores</t>
  </si>
  <si>
    <t>Transportadora</t>
  </si>
  <si>
    <t>https://articulo.mercadolibre.com.ar/MLA-742377548-cinta-transportadora-a-rodillos-motorizada-americana-_JM</t>
  </si>
  <si>
    <t>http://www.mitrexpress.com.ar/tarifas.html</t>
  </si>
  <si>
    <t>PRECIO m2 EN DÓLARES</t>
  </si>
  <si>
    <t>% DEL EDIFICIO Y OBRAS</t>
  </si>
  <si>
    <t>MONTAJE</t>
  </si>
  <si>
    <t>Importado</t>
  </si>
  <si>
    <t>TRANSPORTE</t>
  </si>
  <si>
    <t>% DE LA MAQ IMPORTADA</t>
  </si>
  <si>
    <t>% Interno</t>
  </si>
  <si>
    <t>% Externo</t>
  </si>
  <si>
    <t>Fletes/maquina (salvo quemadores que vienen todos juntos)</t>
  </si>
  <si>
    <t>Precio</t>
  </si>
  <si>
    <t>VALOR</t>
  </si>
  <si>
    <t>Euros/peso</t>
  </si>
  <si>
    <t>Dólares</t>
  </si>
  <si>
    <t>Pesos</t>
  </si>
  <si>
    <t>Euros</t>
  </si>
  <si>
    <t>AÑO 0</t>
  </si>
  <si>
    <t>AÑO 1</t>
  </si>
  <si>
    <t>REFERENCIAS</t>
  </si>
  <si>
    <t>https://articulo.mercadolibre.com.ar/MLA-603877434-zorra-hidraulica-p-palets-3000-kg-ancha-nueva-reforzada-_JM</t>
  </si>
  <si>
    <t>Zorra hidráulica</t>
  </si>
  <si>
    <t>Cantidad</t>
  </si>
  <si>
    <t>Computadora</t>
  </si>
  <si>
    <t>Impresora</t>
  </si>
  <si>
    <t>Hojas A4</t>
  </si>
  <si>
    <t>Hojas Oficio</t>
  </si>
  <si>
    <t>Kit de utiles</t>
  </si>
  <si>
    <t>Escritorio</t>
  </si>
  <si>
    <t>Silla ergonómica</t>
  </si>
  <si>
    <t>Sillas comunes</t>
  </si>
  <si>
    <t>Mesa de reuniones</t>
  </si>
  <si>
    <t>Cortinas</t>
  </si>
  <si>
    <t>Teléfono</t>
  </si>
  <si>
    <t>Celular</t>
  </si>
  <si>
    <t>Aire acondicionado</t>
  </si>
  <si>
    <t>Cafetera</t>
  </si>
  <si>
    <t>Armario</t>
  </si>
  <si>
    <t>Calculadora</t>
  </si>
  <si>
    <t>Escobillón</t>
  </si>
  <si>
    <t>Escoba</t>
  </si>
  <si>
    <t>Aspiradora</t>
  </si>
  <si>
    <t>Kit de productos de limpieza</t>
  </si>
  <si>
    <t>Balde</t>
  </si>
  <si>
    <t>Palangana</t>
  </si>
  <si>
    <t>Carro de limpieza</t>
  </si>
  <si>
    <t>Jabón líquido</t>
  </si>
  <si>
    <t>Estantería Metálica</t>
  </si>
  <si>
    <t>Mesa comedor</t>
  </si>
  <si>
    <t>Horno eléctrico</t>
  </si>
  <si>
    <t>Heladera</t>
  </si>
  <si>
    <t>Proyector</t>
  </si>
  <si>
    <t>https://articulo.mercadolibre.com.ar/MLA-737841356-notebook-hp-156-core-i5-ram-4gb-15-da0060la-_JM</t>
  </si>
  <si>
    <t>https://articulo.mercadolibre.com.ar/MLA-652607111-impresora-multifuncion-epson-xp241-inalambrica-wifi-_JM</t>
  </si>
  <si>
    <t>https://articulo.mercadolibre.com.ar/MLA-606369218-resma-papel-multifuncion-staples-a4-75-grs-250-hojas-mate-_JM</t>
  </si>
  <si>
    <t>https://articulo.mercadolibre.com.ar/MLA-685446602-resmas-oficio-75-gr-ledesma-autor-500-hojas-_JM</t>
  </si>
  <si>
    <t>https://articulo.mercadolibre.com.ar/MLA-656039046-kit-set-utiles-escolares-secundaria-18-productos-excelente-_JM</t>
  </si>
  <si>
    <t>https://articulo.mercadolibre.com.ar/MLA-617582701-escritorio-mesa-pc-2-cajones-ccerradura-melamina-envio-sc-_JM</t>
  </si>
  <si>
    <t>https://articulo.mercadolibre.com.ar/MLA-731557927-silla-de-oficina-comfortable-espalda-ergonomico-pc-sillon-_JM</t>
  </si>
  <si>
    <t>https://articulo.mercadolibre.com.ar/MLA-619710770-promo-silla-directo-de-fabrica-cano-apilable-la-mejor-_JM</t>
  </si>
  <si>
    <t>https://articulo.mercadolibre.com.ar/MLA-666718099-mesa-de-reunion-bote-de-200x100x74-de-altura-_JM</t>
  </si>
  <si>
    <t>https://articulo.mercadolibre.com.ar/MLA-719683889-cortina-americana-veneciana-ideal-oficina-casa-departamento-_JM</t>
  </si>
  <si>
    <t>https://articulo.mercadolibre.com.ar/MLA-696821102-telefono-philips-crd150b77-_JM</t>
  </si>
  <si>
    <t>https://articulo.mercadolibre.com.ar/MLA-688107539-samsung-galaxy-s8-64gb-libres-nuevosvidriofunda-_JM</t>
  </si>
  <si>
    <t>https://articulo.mercadolibre.com.ar/MLA-724567923-aire-acondicionado-split-frio-calor-sigma-sgs52wcq-4500f-520-_JM</t>
  </si>
  <si>
    <t>https://articulo.mercadolibre.com.ar/MLA-636673967-cafetera-nespresso-inissia-red-c40ar-_JM</t>
  </si>
  <si>
    <t>https://articulo.mercadolibre.com.ar/MLA-595445710-set-2-cestos-tacho-de-basura-residuo-extraible-pedal-100000v-_JM</t>
  </si>
  <si>
    <t>Cestos de basura (set de 2)</t>
  </si>
  <si>
    <t>https://articulo.mercadolibre.com.ar/MLA-729115602-armario-metalico-de-180-x-090-x-045-puertas-batientes-_JM</t>
  </si>
  <si>
    <t>https://articulo.mercadolibre.com.ar/MLA-652582550-calculadora-cientifica-classwiz-casio-fx-991lax-552-tienda-_JM</t>
  </si>
  <si>
    <t>https://articulo.mercadolibre.com.ar/MLA-689252810-escobillon-bigote-cordon-cerda-pura-_JM</t>
  </si>
  <si>
    <t>https://articulo.mercadolibre.com.ar/MLA-748584810-escoba-exteriores-virulana-_JM</t>
  </si>
  <si>
    <t>https://articulo.mercadolibre.com.ar/MLA-724193809-kit-limpieza-procenex-harpic-balde-de-regalo-_JM</t>
  </si>
  <si>
    <t>https://articulo.mercadolibre.com.ar/MLA-659300879-aspiradora-industrial-25lts-polvo-y-agua-lusqtoff-la2501-m-m-_JM</t>
  </si>
  <si>
    <t>Trapo (pack 24u)</t>
  </si>
  <si>
    <t>https://articulo.mercadolibre.com.ar/MLA-615542962-trapos-rejilla-pabilo-super-mr-trapo-42x42cm-pack-24un-_JM</t>
  </si>
  <si>
    <t>https://articulo.mercadolibre.com.ar/MLA-729831369-franela-grande-la-nacional-50-x-60-cm-x-docena-_JM</t>
  </si>
  <si>
    <t>Franela (pack 12u)</t>
  </si>
  <si>
    <t>https://articulo.mercadolibre.com.ar/MLA-747702853-balde-10-lts-plastico-precio-mayorista-_JM</t>
  </si>
  <si>
    <t>https://articulo.mercadolibre.com.ar/MLA-667581863-palangana-de-aluminio-de-5-litros-america-cod-4347-_JM</t>
  </si>
  <si>
    <t>https://articulo.mercadolibre.com.ar/MLA-628848433-carro-para-limpieza-cprensamopas-20-lts-movrycarmin20-_JM</t>
  </si>
  <si>
    <t>Papel higiénico (pack 8u)</t>
  </si>
  <si>
    <t>https://articulo.mercadolibre.com.ar/MLA-614361764-papel-higienico-codigo-300-pack-por-8-rollos-_JM</t>
  </si>
  <si>
    <t>Papel secador de manos (2500u)</t>
  </si>
  <si>
    <t>https://articulo.mercadolibre.com.ar/MLA-614760794-toallas-de-papel-intercaladas-para-manos-caja-2500-blancas-_JM</t>
  </si>
  <si>
    <t>https://articulo.mercadolibre.com.ar/MLA-697900990-espadol-dettol-jabon-liquido-manos-cremoso-antibac-250ml-_JM</t>
  </si>
  <si>
    <t>Guantes de protección personal</t>
  </si>
  <si>
    <t>https://articulo.mercadolibre.com.ar/MLA-679747409-guantes-de-cuero-descarne-reforzados-puno-corto-_JM</t>
  </si>
  <si>
    <t>https://articulo.mercadolibre.com.ar/MLA-691957343-lockers-metal-16-puertas-unico-52cm-prof-entrega-gratis-72hs-_JM</t>
  </si>
  <si>
    <t>Locker 16 puertas</t>
  </si>
  <si>
    <t>https://articulo.mercadolibre.com.ar/MLA-725606793-estanteria-metalica-30x90x2mt-con-5-estantes-para-40kg-x-est-_JM</t>
  </si>
  <si>
    <t>https://articulo.mercadolibre.com.ar/MLA-661507745-mesa-larga-3-metros-x120-quincho-galerias-_JM</t>
  </si>
  <si>
    <t>https://articulo.mercadolibre.com.ar/MLA-611413210-hornito-electrico-atma-hg-2010e-20lts-_JM</t>
  </si>
  <si>
    <t>https://articulo.mercadolibre.com.ar/MLA-662707523-heladera-con-freezer-philco-phct290b-285-lts-blanca-clase-a-_JM</t>
  </si>
  <si>
    <t>https://articulo.mercadolibre.com.ar/MLA-646719639-proyector-portatil-gadnic-60-lumens-100-hdmi-usb-mundial-_JM</t>
  </si>
  <si>
    <t>Sueldo mensual</t>
  </si>
  <si>
    <t>Carga Social
%</t>
  </si>
  <si>
    <t>Cantidad 
Imputada</t>
  </si>
  <si>
    <t>Gasto Total</t>
  </si>
  <si>
    <t>Gerente General</t>
  </si>
  <si>
    <t>Director Administrativo</t>
  </si>
  <si>
    <t>Gerente de Logística</t>
  </si>
  <si>
    <t>Gerente de Mantenimiento</t>
  </si>
  <si>
    <t>Limpieza</t>
  </si>
  <si>
    <t xml:space="preserve">Total (2-5) </t>
  </si>
  <si>
    <t>En el Año 1 es el 70%</t>
  </si>
  <si>
    <t>Total (1)</t>
  </si>
  <si>
    <t>Tipo de personal ADM</t>
  </si>
  <si>
    <t>Director Comercial</t>
  </si>
  <si>
    <t>Director de Marketing</t>
  </si>
  <si>
    <t>Total (2-5)</t>
  </si>
  <si>
    <t>Tipo de personal COMER</t>
  </si>
  <si>
    <t>https://www.argentina.gob.ar/trabajo/buscastrabajo/salario#aportes</t>
  </si>
  <si>
    <t>http://www.som.org.ar/escalas_2018/Expediente1797313_2018.pdf</t>
  </si>
  <si>
    <t>Es el 10%</t>
  </si>
  <si>
    <t>PROD 80%</t>
  </si>
  <si>
    <t>COMER 10%</t>
  </si>
  <si>
    <t>ADMIN 10%</t>
  </si>
  <si>
    <t>Gerente de producción</t>
  </si>
  <si>
    <t>Producción</t>
  </si>
  <si>
    <t>Mantenimiento</t>
  </si>
  <si>
    <t>Respuestos</t>
  </si>
  <si>
    <t>Materiales PRODU</t>
  </si>
  <si>
    <t xml:space="preserve"> Repuestos 100%</t>
  </si>
  <si>
    <t>Ítem</t>
  </si>
  <si>
    <t>Bs de Uso</t>
  </si>
  <si>
    <t>Gasto MP</t>
  </si>
  <si>
    <t>Gasto personal</t>
  </si>
  <si>
    <t>Materiales ADMIN</t>
  </si>
  <si>
    <t>Útiles</t>
  </si>
  <si>
    <t>Art. De Limpieza</t>
  </si>
  <si>
    <t>Costo Prod Anual</t>
  </si>
  <si>
    <t>Sueldos</t>
  </si>
  <si>
    <t>Materiales COMER</t>
  </si>
  <si>
    <t>Electricidad PRODU</t>
  </si>
  <si>
    <t>90% del total</t>
  </si>
  <si>
    <t xml:space="preserve">Año 1 </t>
  </si>
  <si>
    <t>Consumo mensual eléctrico</t>
  </si>
  <si>
    <t>Kwh</t>
  </si>
  <si>
    <t>Cargo fijo</t>
  </si>
  <si>
    <t>Cargo x Potencia</t>
  </si>
  <si>
    <t>Cargo Var</t>
  </si>
  <si>
    <t>Potencia instalada</t>
  </si>
  <si>
    <t>$/mes</t>
  </si>
  <si>
    <t>$/kw</t>
  </si>
  <si>
    <t>$/kwh</t>
  </si>
  <si>
    <t>Kw</t>
  </si>
  <si>
    <t xml:space="preserve">Electricidad ADMIN </t>
  </si>
  <si>
    <t>5% del total</t>
  </si>
  <si>
    <t>Electricidad COMER</t>
  </si>
  <si>
    <t>http://www.edenor.com.ar/cms/files/SP/CuadroTarifario.pdf</t>
  </si>
  <si>
    <t>Tipo de personal IND PRODU</t>
  </si>
  <si>
    <t>Mano de Obra PRODU</t>
  </si>
  <si>
    <t>Operario de fundido</t>
  </si>
  <si>
    <t>Operario de bañado</t>
  </si>
  <si>
    <t>Operario de despresurizado</t>
  </si>
  <si>
    <t>Operario de armado</t>
  </si>
  <si>
    <t xml:space="preserve">Operario de serigrafiado </t>
  </si>
  <si>
    <t>Jornal ($/h)</t>
  </si>
  <si>
    <t>Hs. Anuales (h)</t>
  </si>
  <si>
    <t>Carga Social (%)</t>
  </si>
  <si>
    <t>Año 1 70%</t>
  </si>
  <si>
    <t>-</t>
  </si>
  <si>
    <t>Electricidad total</t>
  </si>
  <si>
    <t>Disponibilidad min CyB</t>
  </si>
  <si>
    <t xml:space="preserve"> </t>
  </si>
  <si>
    <t>Plazo de financiación</t>
  </si>
  <si>
    <t>30 días</t>
  </si>
  <si>
    <t>Canidad de mp por unidad</t>
  </si>
  <si>
    <t>Precio ($/u)</t>
  </si>
  <si>
    <t>Fuente</t>
  </si>
  <si>
    <t>Nitrato de plata</t>
  </si>
  <si>
    <t>0,03 litros/unidad</t>
  </si>
  <si>
    <t>https://www.quiminet.com/productos/nitrato-de-plata-solucion-0-1n-3371842817/precios.htm</t>
  </si>
  <si>
    <t>Polipropileno</t>
  </si>
  <si>
    <t>250 gramos/unidad</t>
  </si>
  <si>
    <t>https://spanish.alibaba.com/product-detail/plastic-virgin-grade-brush-base-talc-filled-polypropylene-pp-grey-earth-brush-9--60499271041.html?spm=a2700.8699010.normalList.11.272e7776TLpqNq&amp;s=p</t>
  </si>
  <si>
    <t>Doble botella de vidrio</t>
  </si>
  <si>
    <t>https://articulo.mercadolibre.com.ar/MLA-730468272-botellas-de-vidrio-_JM</t>
  </si>
  <si>
    <t>AÑO 2</t>
  </si>
  <si>
    <t>Ventas</t>
  </si>
  <si>
    <t>Stock promedio de PT</t>
  </si>
  <si>
    <t>Desperdicios no recuperables</t>
  </si>
  <si>
    <t>En curso y semielaborada</t>
  </si>
  <si>
    <t>Consumo de MP</t>
  </si>
  <si>
    <t>Stock de MP</t>
  </si>
  <si>
    <t>Compra de MP</t>
  </si>
  <si>
    <t>Area</t>
  </si>
  <si>
    <t xml:space="preserve">Stock equivalente al consumo de </t>
  </si>
  <si>
    <t>Administración</t>
  </si>
  <si>
    <t>Comercialización</t>
  </si>
  <si>
    <t xml:space="preserve">Consumo MP </t>
  </si>
  <si>
    <t>2 al 5</t>
  </si>
  <si>
    <t>Datos del tecnólogo</t>
  </si>
  <si>
    <t>Los años 4 y 5 se incrementan los gastos de MTM y consumo de repuestos un 10%</t>
  </si>
  <si>
    <t>Año 4 y 5</t>
  </si>
  <si>
    <t>% Afectado de los bienes de uso en producción</t>
  </si>
  <si>
    <t>(así en la guía)</t>
  </si>
  <si>
    <t>Años 4 y 5</t>
  </si>
  <si>
    <t>sumatoria de maquinas nacionales e importadas (sin incluir repuestos) con los gastos conexos a la importación  con transporte y montaje más rodados y equipos auxiliares</t>
  </si>
  <si>
    <t>Valor FOB del gasto anual en repuestos importados</t>
  </si>
  <si>
    <t>Gastos repuestos FOB</t>
  </si>
  <si>
    <t>otros %</t>
  </si>
  <si>
    <t>del total anual de bienes de uso</t>
  </si>
  <si>
    <t>del total anual del gasto de MP</t>
  </si>
  <si>
    <t>del total anual de Personal</t>
  </si>
  <si>
    <t>TOTAL</t>
  </si>
  <si>
    <t>Flete y derecho de importación</t>
  </si>
  <si>
    <t>Correspondencia del %</t>
  </si>
  <si>
    <t>Año 2 y 3</t>
  </si>
  <si>
    <t>MATERIALES</t>
  </si>
  <si>
    <t>Gasto específico</t>
  </si>
  <si>
    <t>Volumen de producción año 2 a 5</t>
  </si>
  <si>
    <t>(dim tecnico)</t>
  </si>
  <si>
    <t>CALCULOS AUXILIARES</t>
  </si>
  <si>
    <t>Gasto en la mercadería en proceso</t>
  </si>
  <si>
    <t>COMBUSTIBLES</t>
  </si>
  <si>
    <t>Tipo de combustible</t>
  </si>
  <si>
    <t>Unidad</t>
  </si>
  <si>
    <t>En el año 1 este gasto es equivalente al 95% del año 2</t>
  </si>
  <si>
    <t xml:space="preserve">Gasto en PT </t>
  </si>
  <si>
    <t>Volumen de producción año 1</t>
  </si>
  <si>
    <t>Exceso de gasto de materiales en la puesta en marcha</t>
  </si>
  <si>
    <t>GAS</t>
  </si>
  <si>
    <t>Consumo mensual</t>
  </si>
  <si>
    <t>$/m3</t>
  </si>
  <si>
    <t>m3</t>
  </si>
  <si>
    <t>Días activos del año</t>
  </si>
  <si>
    <t>Consumo horario individual en m3/h</t>
  </si>
  <si>
    <t>Horas diarias de funcionamiento en hs</t>
  </si>
  <si>
    <t>Cantidad de quemadores :</t>
  </si>
  <si>
    <t>Consumo Anual año 2 al 5</t>
  </si>
  <si>
    <t>Consumo año 1</t>
  </si>
  <si>
    <t>Gasto combustible de la mercadería en proceso año 2 al 5</t>
  </si>
  <si>
    <t>Gasto por producción</t>
  </si>
  <si>
    <t>Gasto combustible de la mercadería en proceso año 1</t>
  </si>
  <si>
    <t>Exceso de gasto de combustible en la puesta en marcha</t>
  </si>
  <si>
    <t>TASAS E IMPUESTOS</t>
  </si>
  <si>
    <t>Tasa municipal</t>
  </si>
  <si>
    <t>Impuesto inmobiliairio</t>
  </si>
  <si>
    <t>del valor del inmueble</t>
  </si>
  <si>
    <t>es lo que corresponde a producción</t>
  </si>
  <si>
    <t>Valor del terreno + Valor del edificio</t>
  </si>
  <si>
    <t>Año 2 a 5</t>
  </si>
  <si>
    <t>$/u</t>
  </si>
  <si>
    <t>Gasto especifico del combustible</t>
  </si>
  <si>
    <t>SE CONSIDERA UN GASTO 100% VARIABLE</t>
  </si>
  <si>
    <t>Gasto por tasas e impuestos en la la mercadería en proceso año 2 al 5</t>
  </si>
  <si>
    <t>Gasto por tasas e impuestos en la la mercadería en proceso año 1</t>
  </si>
  <si>
    <t>Gasto específico año 2 a 5</t>
  </si>
  <si>
    <t xml:space="preserve">Gasto específico año 1 </t>
  </si>
  <si>
    <t>IMPREVISTOS</t>
  </si>
  <si>
    <t>Se tomará un porcentaje de imprevistos del</t>
  </si>
  <si>
    <t>Año 2 al 5</t>
  </si>
  <si>
    <t>Valores acumulados</t>
  </si>
  <si>
    <t xml:space="preserve">ES UN GASTO FIJO </t>
  </si>
  <si>
    <t>GASTO 100% VARIABLE</t>
  </si>
  <si>
    <t>MATERIA PRIMA</t>
  </si>
  <si>
    <t>Consumo específico</t>
  </si>
  <si>
    <t>Gasto anual</t>
  </si>
  <si>
    <t>$</t>
  </si>
  <si>
    <t>Costo de la MP incorporada en la mercadería en curso y SE</t>
  </si>
  <si>
    <t>Costo del exeso de la MP en la puesta en marcha</t>
  </si>
  <si>
    <t>Consumo Total de la materia prima</t>
  </si>
  <si>
    <t>Consumo de MP en curso y SE</t>
  </si>
  <si>
    <t>Exceso en el consumo debido a la puesta en marcha</t>
  </si>
  <si>
    <t>MP en proceso</t>
  </si>
  <si>
    <t>SON GASTOS VARIABLES</t>
  </si>
  <si>
    <t>Consumo de mP por producto terminado</t>
  </si>
  <si>
    <t>Varios ADMIN (semifijo)</t>
  </si>
  <si>
    <t>Año 1 (90%)</t>
  </si>
  <si>
    <t>(dan 0 porque estan en funcion del costo anual de produccion aun no calculado)</t>
  </si>
  <si>
    <t>Año 1-N</t>
  </si>
  <si>
    <t>Tasas e Impuestos ADMIN (semifijo)</t>
  </si>
  <si>
    <t>Honorarios profesionales</t>
  </si>
  <si>
    <t>Impuesto Automotor</t>
  </si>
  <si>
    <t>Gastos de representacion</t>
  </si>
  <si>
    <t>(2500 por mes)</t>
  </si>
  <si>
    <t>Impuesto a los sellos</t>
  </si>
  <si>
    <t>Viajes</t>
  </si>
  <si>
    <t>Impuesto a debitos/creditos</t>
  </si>
  <si>
    <t>Gastos de oficina</t>
  </si>
  <si>
    <t>Varios COMER (semifijo)</t>
  </si>
  <si>
    <t>Tasas e Impuestos COMER (semifijo)</t>
  </si>
  <si>
    <t>Ingreso Brutos</t>
  </si>
  <si>
    <t>Publicidad especializada</t>
  </si>
  <si>
    <t>Año 2-5</t>
  </si>
  <si>
    <t>Produccion</t>
  </si>
  <si>
    <t>Consumo MC en régimen</t>
  </si>
  <si>
    <t>(Dim técnico)</t>
  </si>
  <si>
    <t>Gasto MC y Se (2-5)</t>
  </si>
  <si>
    <t>Gasto MC y Se (1)</t>
  </si>
  <si>
    <t>Imputación del AF (Amortizaciones)</t>
  </si>
  <si>
    <t>Amortizaciones MC y SE</t>
  </si>
  <si>
    <t>Alícuota anual</t>
  </si>
  <si>
    <t>Imputación esp.</t>
  </si>
  <si>
    <t>Incide en un 50%</t>
  </si>
  <si>
    <t>MOD MC y SE</t>
  </si>
  <si>
    <t>Gasto MOD</t>
  </si>
  <si>
    <t xml:space="preserve">Se incorporará la mitad del consumo de MOD específico correspondiente </t>
  </si>
  <si>
    <t>MOI MC y SE</t>
  </si>
  <si>
    <t>Gasto MOI</t>
  </si>
  <si>
    <t>Consumo MC régimen</t>
  </si>
  <si>
    <t xml:space="preserve">Se incorporará la mitad del consumo de MOI específico correspondiente </t>
  </si>
  <si>
    <t>Gasto PM</t>
  </si>
  <si>
    <t>Gasto PT</t>
  </si>
  <si>
    <t>Stock elaborado al final +</t>
  </si>
  <si>
    <t>Stock elaborado al final-</t>
  </si>
  <si>
    <t>Stock promedio PT</t>
  </si>
  <si>
    <t>Variación</t>
  </si>
  <si>
    <t> - </t>
  </si>
  <si>
    <t>   (s/mano de obra directa)</t>
  </si>
  <si>
    <t>    Pago al Fisco por IVA</t>
  </si>
  <si>
    <t>Porcentaje de ventas</t>
  </si>
  <si>
    <t>de los otros años</t>
  </si>
  <si>
    <t>meses</t>
  </si>
  <si>
    <t xml:space="preserve">   Stock de materias prima:</t>
  </si>
  <si>
    <t>AÑO 3</t>
  </si>
  <si>
    <t>AÑO 4</t>
  </si>
  <si>
    <t>AÑO 5</t>
  </si>
  <si>
    <t>Stock de elaborado - incremento IVA inv.</t>
  </si>
  <si>
    <t>Incremento</t>
  </si>
  <si>
    <t>unid</t>
  </si>
  <si>
    <t>cv</t>
  </si>
  <si>
    <t>cf</t>
  </si>
  <si>
    <t>ct</t>
  </si>
  <si>
    <t>IxV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</si>
</sst>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\ #,##0_);[Red]\(&quot;$&quot;\ #,##0\)"/>
    <numFmt numFmtId="7" formatCode="&quot;$&quot;\ #,##0.00_);\(&quot;$&quot;\ #,##0.00\)"/>
    <numFmt numFmtId="43" formatCode="_(* #,##0.00_);_(* \(#,##0.00\);_(* &quot;-&quot;??_);_(@_)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[$€-2]\ #,##0;[Red]\-[$€-2]\ #,##0"/>
    <numFmt numFmtId="171" formatCode="&quot;$&quot;\ #,##0.00"/>
    <numFmt numFmtId="172" formatCode="&quot;$&quot;\ #,##0.0"/>
    <numFmt numFmtId="173" formatCode="&quot;$&quot;\ #,##0"/>
    <numFmt numFmtId="174" formatCode="_(\$* #,##0_);_(\$* \(#,##0\);_(\$* \-??_);_(@_)"/>
  </numFmts>
  <fonts count="24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4"/>
      <color rgb="FF00000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59"/>
      </bottom>
      <diagonal/>
    </border>
    <border>
      <left/>
      <right/>
      <top style="medium">
        <color indexed="64"/>
      </top>
      <bottom style="hair">
        <color indexed="59"/>
      </bottom>
      <diagonal/>
    </border>
    <border>
      <left/>
      <right style="medium">
        <color indexed="64"/>
      </right>
      <top style="medium">
        <color indexed="64"/>
      </top>
      <bottom style="hair">
        <color indexed="59"/>
      </bottom>
      <diagonal/>
    </border>
    <border>
      <left style="medium">
        <color indexed="64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 style="double">
        <color indexed="59"/>
      </bottom>
      <diagonal/>
    </border>
    <border>
      <left style="medium">
        <color indexed="64"/>
      </left>
      <right/>
      <top style="hair">
        <color indexed="59"/>
      </top>
      <bottom style="hair">
        <color indexed="59"/>
      </bottom>
      <diagonal/>
    </border>
    <border>
      <left style="thin">
        <color indexed="59"/>
      </left>
      <right style="medium">
        <color indexed="64"/>
      </right>
      <top/>
      <bottom style="hair">
        <color indexed="59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/>
      <diagonal/>
    </border>
    <border>
      <left style="medium">
        <color indexed="64"/>
      </left>
      <right/>
      <top style="hair">
        <color indexed="59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medium">
        <color indexed="64"/>
      </bottom>
      <diagonal/>
    </border>
    <border>
      <left style="thin">
        <color indexed="59"/>
      </left>
      <right style="medium">
        <color indexed="64"/>
      </right>
      <top style="hair">
        <color indexed="59"/>
      </top>
      <bottom style="medium">
        <color indexed="64"/>
      </bottom>
      <diagonal/>
    </border>
  </borders>
  <cellStyleXfs count="2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8" fontId="20" fillId="0" borderId="0" applyFill="0" applyBorder="0" applyAlignment="0" applyProtection="0"/>
    <xf numFmtId="165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2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10" fontId="14" fillId="7" borderId="2" xfId="16" applyNumberFormat="1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5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65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65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5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6" fontId="0" fillId="0" borderId="0" xfId="0" applyNumberFormat="1" applyFill="1"/>
    <xf numFmtId="165" fontId="0" fillId="0" borderId="13" xfId="13" applyFont="1" applyFill="1" applyBorder="1" applyAlignment="1" applyProtection="1">
      <protection locked="0"/>
    </xf>
    <xf numFmtId="166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5" fontId="0" fillId="0" borderId="15" xfId="13" applyFont="1" applyFill="1" applyBorder="1" applyAlignment="1" applyProtection="1">
      <alignment horizontal="center"/>
      <protection locked="0"/>
    </xf>
    <xf numFmtId="165" fontId="0" fillId="0" borderId="18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  <protection locked="0"/>
    </xf>
    <xf numFmtId="165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4" fillId="0" borderId="23" xfId="0" applyFont="1" applyFill="1" applyBorder="1"/>
    <xf numFmtId="165" fontId="0" fillId="0" borderId="12" xfId="13" applyFont="1" applyFill="1" applyBorder="1" applyAlignment="1" applyProtection="1">
      <alignment horizontal="center"/>
      <protection locked="0"/>
    </xf>
    <xf numFmtId="165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 applyFill="1" applyAlignment="1">
      <alignment horizontal="center"/>
    </xf>
    <xf numFmtId="167" fontId="14" fillId="0" borderId="9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center"/>
    </xf>
    <xf numFmtId="165" fontId="0" fillId="0" borderId="24" xfId="13" applyFont="1" applyFill="1" applyBorder="1" applyAlignment="1" applyProtection="1">
      <alignment horizontal="center"/>
      <protection locked="0"/>
    </xf>
    <xf numFmtId="165" fontId="0" fillId="0" borderId="25" xfId="13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5" fontId="0" fillId="0" borderId="9" xfId="13" applyFont="1" applyFill="1" applyBorder="1" applyAlignment="1" applyProtection="1">
      <alignment horizontal="center"/>
      <protection locked="0"/>
    </xf>
    <xf numFmtId="165" fontId="0" fillId="0" borderId="10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</xf>
    <xf numFmtId="165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8" fontId="0" fillId="0" borderId="17" xfId="12" applyFont="1" applyFill="1" applyBorder="1" applyAlignment="1" applyProtection="1">
      <alignment horizontal="center"/>
      <protection locked="0"/>
    </xf>
    <xf numFmtId="168" fontId="0" fillId="0" borderId="19" xfId="12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  <protection locked="0"/>
    </xf>
    <xf numFmtId="165" fontId="14" fillId="0" borderId="19" xfId="13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</xf>
    <xf numFmtId="165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5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5" fontId="0" fillId="0" borderId="15" xfId="13" applyFont="1" applyFill="1" applyBorder="1" applyAlignment="1" applyProtection="1">
      <alignment horizontal="center"/>
    </xf>
    <xf numFmtId="165" fontId="0" fillId="0" borderId="18" xfId="13" applyFont="1" applyFill="1" applyBorder="1" applyAlignment="1" applyProtection="1">
      <alignment horizontal="center"/>
    </xf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5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13" applyFont="1" applyFill="1" applyBorder="1" applyAlignment="1" applyProtection="1">
      <alignment horizontal="center"/>
      <protection locked="0"/>
    </xf>
    <xf numFmtId="165" fontId="0" fillId="0" borderId="30" xfId="13" applyFont="1" applyFill="1" applyBorder="1" applyAlignment="1" applyProtection="1">
      <alignment horizontal="center"/>
    </xf>
    <xf numFmtId="165" fontId="0" fillId="0" borderId="28" xfId="13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/>
    </xf>
    <xf numFmtId="165" fontId="0" fillId="0" borderId="31" xfId="13" applyFont="1" applyFill="1" applyBorder="1" applyAlignment="1" applyProtection="1">
      <alignment horizontal="center"/>
    </xf>
    <xf numFmtId="165" fontId="0" fillId="0" borderId="32" xfId="13" applyFont="1" applyFill="1" applyBorder="1" applyAlignment="1" applyProtection="1">
      <alignment horizontal="center"/>
      <protection locked="0"/>
    </xf>
    <xf numFmtId="165" fontId="0" fillId="0" borderId="32" xfId="13" applyFont="1" applyFill="1" applyBorder="1" applyAlignment="1" applyProtection="1">
      <alignment horizontal="center"/>
    </xf>
    <xf numFmtId="165" fontId="0" fillId="0" borderId="33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4" xfId="0" applyFont="1" applyFill="1" applyBorder="1" applyAlignment="1">
      <alignment horizontal="center"/>
    </xf>
    <xf numFmtId="165" fontId="0" fillId="0" borderId="31" xfId="13" applyFont="1" applyFill="1" applyBorder="1" applyAlignment="1" applyProtection="1">
      <alignment horizontal="center"/>
      <protection locked="0"/>
    </xf>
    <xf numFmtId="165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7" xfId="0" applyFont="1" applyFill="1" applyBorder="1" applyProtection="1"/>
    <xf numFmtId="0" fontId="0" fillId="0" borderId="37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5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9" fontId="14" fillId="0" borderId="13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38" xfId="0" applyFont="1" applyFill="1" applyBorder="1" applyAlignment="1">
      <alignment horizontal="left"/>
    </xf>
    <xf numFmtId="0" fontId="18" fillId="0" borderId="39" xfId="0" applyFont="1" applyFill="1" applyBorder="1" applyAlignment="1">
      <alignment horizontal="left"/>
    </xf>
    <xf numFmtId="0" fontId="18" fillId="0" borderId="40" xfId="0" applyFont="1" applyFill="1" applyBorder="1" applyAlignment="1">
      <alignment horizontal="left"/>
    </xf>
    <xf numFmtId="0" fontId="14" fillId="0" borderId="41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center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13" applyFont="1" applyFill="1" applyBorder="1" applyAlignment="1" applyProtection="1">
      <protection locked="0"/>
    </xf>
    <xf numFmtId="9" fontId="0" fillId="0" borderId="9" xfId="16" applyFont="1" applyFill="1" applyBorder="1" applyAlignment="1" applyProtection="1"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right"/>
    </xf>
    <xf numFmtId="165" fontId="14" fillId="0" borderId="0" xfId="13" applyFont="1" applyFill="1" applyBorder="1" applyAlignment="1" applyProtection="1">
      <alignment horizontal="center"/>
    </xf>
    <xf numFmtId="165" fontId="14" fillId="0" borderId="2" xfId="13" applyFont="1" applyFill="1" applyBorder="1" applyAlignment="1" applyProtection="1">
      <alignment horizontal="center"/>
      <protection locked="0"/>
    </xf>
    <xf numFmtId="165" fontId="14" fillId="0" borderId="0" xfId="13" applyFont="1" applyFill="1" applyBorder="1" applyAlignment="1" applyProtection="1"/>
    <xf numFmtId="9" fontId="0" fillId="0" borderId="0" xfId="16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4" fillId="0" borderId="12" xfId="13" applyFont="1" applyFill="1" applyBorder="1" applyAlignment="1" applyProtection="1"/>
    <xf numFmtId="9" fontId="14" fillId="0" borderId="12" xfId="16" applyFont="1" applyFill="1" applyBorder="1" applyAlignment="1" applyProtection="1"/>
    <xf numFmtId="165" fontId="14" fillId="0" borderId="13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7" xfId="0" applyFill="1" applyBorder="1" applyProtection="1"/>
    <xf numFmtId="165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48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49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4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6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8" fontId="0" fillId="0" borderId="3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protection locked="0"/>
    </xf>
    <xf numFmtId="168" fontId="0" fillId="0" borderId="30" xfId="12" applyFont="1" applyFill="1" applyBorder="1" applyAlignment="1" applyProtection="1">
      <protection locked="0"/>
    </xf>
    <xf numFmtId="168" fontId="0" fillId="0" borderId="19" xfId="12" applyFont="1" applyFill="1" applyBorder="1" applyAlignment="1" applyProtection="1">
      <protection locked="0"/>
    </xf>
    <xf numFmtId="165" fontId="14" fillId="0" borderId="30" xfId="13" applyFont="1" applyFill="1" applyBorder="1" applyAlignment="1" applyProtection="1">
      <alignment horizontal="center"/>
      <protection locked="0"/>
    </xf>
    <xf numFmtId="165" fontId="0" fillId="0" borderId="28" xfId="1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8" fontId="0" fillId="0" borderId="9" xfId="12" applyFont="1" applyFill="1" applyBorder="1" applyAlignment="1" applyProtection="1">
      <alignment horizontal="center"/>
      <protection locked="0"/>
    </xf>
    <xf numFmtId="168" fontId="0" fillId="0" borderId="1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alignment horizontal="center"/>
    </xf>
    <xf numFmtId="168" fontId="0" fillId="0" borderId="19" xfId="12" applyFont="1" applyFill="1" applyBorder="1" applyAlignment="1" applyProtection="1">
      <alignment horizontal="center"/>
    </xf>
    <xf numFmtId="0" fontId="5" fillId="12" borderId="37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4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6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5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10" fontId="0" fillId="0" borderId="0" xfId="0" applyNumberFormat="1" applyFill="1"/>
    <xf numFmtId="9" fontId="0" fillId="0" borderId="0" xfId="0" applyNumberFormat="1" applyFill="1"/>
    <xf numFmtId="170" fontId="0" fillId="0" borderId="0" xfId="0" applyNumberFormat="1" applyFill="1"/>
    <xf numFmtId="6" fontId="0" fillId="0" borderId="0" xfId="0" applyNumberFormat="1" applyFill="1"/>
    <xf numFmtId="0" fontId="0" fillId="0" borderId="17" xfId="13" applyNumberFormat="1" applyFont="1" applyFill="1" applyBorder="1" applyAlignment="1" applyProtection="1"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NumberFormat="1" applyFill="1" applyBorder="1"/>
    <xf numFmtId="43" fontId="0" fillId="0" borderId="17" xfId="13" applyNumberFormat="1" applyFont="1" applyFill="1" applyBorder="1" applyAlignment="1" applyProtection="1">
      <protection locked="0"/>
    </xf>
    <xf numFmtId="0" fontId="18" fillId="0" borderId="0" xfId="0" applyFont="1" applyFill="1" applyBorder="1"/>
    <xf numFmtId="0" fontId="0" fillId="0" borderId="0" xfId="0" applyFill="1" applyBorder="1"/>
    <xf numFmtId="0" fontId="14" fillId="0" borderId="0" xfId="0" applyFont="1" applyFill="1" applyBorder="1"/>
    <xf numFmtId="9" fontId="0" fillId="0" borderId="0" xfId="0" applyNumberFormat="1" applyBorder="1"/>
    <xf numFmtId="170" fontId="0" fillId="0" borderId="0" xfId="0" applyNumberFormat="1" applyFill="1" applyBorder="1"/>
    <xf numFmtId="9" fontId="0" fillId="0" borderId="0" xfId="0" applyNumberFormat="1" applyFill="1" applyBorder="1"/>
    <xf numFmtId="171" fontId="0" fillId="0" borderId="0" xfId="0" applyNumberFormat="1" applyFill="1" applyBorder="1"/>
    <xf numFmtId="6" fontId="0" fillId="0" borderId="0" xfId="0" applyNumberFormat="1" applyFill="1" applyBorder="1"/>
    <xf numFmtId="0" fontId="0" fillId="0" borderId="0" xfId="0" applyFont="1" applyFill="1" applyBorder="1" applyAlignment="1">
      <alignment horizontal="left"/>
    </xf>
    <xf numFmtId="165" fontId="0" fillId="0" borderId="0" xfId="13" applyFont="1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0" fillId="0" borderId="0" xfId="0" applyNumberFormat="1"/>
    <xf numFmtId="0" fontId="0" fillId="0" borderId="51" xfId="0" applyBorder="1"/>
    <xf numFmtId="0" fontId="0" fillId="0" borderId="51" xfId="0" applyBorder="1" applyAlignment="1">
      <alignment horizontal="center"/>
    </xf>
    <xf numFmtId="2" fontId="0" fillId="0" borderId="0" xfId="0" applyNumberFormat="1"/>
    <xf numFmtId="0" fontId="0" fillId="13" borderId="0" xfId="0" applyFill="1"/>
    <xf numFmtId="0" fontId="14" fillId="0" borderId="52" xfId="0" applyFont="1" applyFill="1" applyBorder="1"/>
    <xf numFmtId="0" fontId="14" fillId="0" borderId="53" xfId="0" applyFont="1" applyFill="1" applyBorder="1"/>
    <xf numFmtId="0" fontId="14" fillId="0" borderId="54" xfId="0" applyFont="1" applyFill="1" applyBorder="1"/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58" xfId="0" applyFill="1" applyBorder="1"/>
    <xf numFmtId="0" fontId="0" fillId="0" borderId="59" xfId="0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Fill="1" applyBorder="1"/>
    <xf numFmtId="0" fontId="21" fillId="0" borderId="55" xfId="0" applyFont="1" applyBorder="1"/>
    <xf numFmtId="0" fontId="21" fillId="0" borderId="0" xfId="0" applyFont="1" applyBorder="1"/>
    <xf numFmtId="3" fontId="21" fillId="0" borderId="0" xfId="0" applyNumberFormat="1" applyFont="1" applyBorder="1"/>
    <xf numFmtId="3" fontId="21" fillId="0" borderId="56" xfId="0" applyNumberFormat="1" applyFont="1" applyBorder="1"/>
    <xf numFmtId="0" fontId="21" fillId="0" borderId="56" xfId="0" applyFont="1" applyBorder="1"/>
    <xf numFmtId="0" fontId="21" fillId="0" borderId="57" xfId="0" applyFont="1" applyBorder="1"/>
    <xf numFmtId="3" fontId="21" fillId="0" borderId="58" xfId="0" applyNumberFormat="1" applyFont="1" applyBorder="1"/>
    <xf numFmtId="3" fontId="21" fillId="0" borderId="59" xfId="0" applyNumberFormat="1" applyFont="1" applyBorder="1"/>
    <xf numFmtId="16" fontId="0" fillId="0" borderId="0" xfId="0" applyNumberFormat="1" applyFill="1"/>
    <xf numFmtId="0" fontId="0" fillId="0" borderId="0" xfId="0" applyFill="1" applyAlignment="1">
      <alignment horizontal="left"/>
    </xf>
    <xf numFmtId="10" fontId="0" fillId="0" borderId="0" xfId="0" applyNumberFormat="1"/>
    <xf numFmtId="10" fontId="0" fillId="0" borderId="0" xfId="0" applyNumberFormat="1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22" fillId="0" borderId="52" xfId="0" applyFont="1" applyBorder="1"/>
    <xf numFmtId="0" fontId="22" fillId="0" borderId="53" xfId="0" applyFont="1" applyBorder="1"/>
    <xf numFmtId="0" fontId="22" fillId="0" borderId="54" xfId="0" applyFont="1" applyBorder="1"/>
    <xf numFmtId="0" fontId="0" fillId="0" borderId="60" xfId="0" applyBorder="1"/>
    <xf numFmtId="0" fontId="0" fillId="0" borderId="61" xfId="0" applyBorder="1"/>
    <xf numFmtId="3" fontId="0" fillId="0" borderId="0" xfId="0" applyNumberFormat="1"/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9" fontId="0" fillId="0" borderId="58" xfId="0" applyNumberFormat="1" applyBorder="1"/>
    <xf numFmtId="0" fontId="0" fillId="14" borderId="0" xfId="0" applyFill="1"/>
    <xf numFmtId="0" fontId="0" fillId="14" borderId="0" xfId="0" applyFill="1" applyBorder="1"/>
    <xf numFmtId="165" fontId="0" fillId="0" borderId="17" xfId="13" quotePrefix="1" applyFont="1" applyFill="1" applyBorder="1" applyAlignment="1" applyProtection="1">
      <alignment horizontal="center"/>
      <protection locked="0"/>
    </xf>
    <xf numFmtId="171" fontId="0" fillId="0" borderId="17" xfId="13" applyNumberFormat="1" applyFont="1" applyFill="1" applyBorder="1" applyAlignment="1" applyProtection="1">
      <alignment horizontal="center"/>
      <protection locked="0"/>
    </xf>
    <xf numFmtId="0" fontId="14" fillId="0" borderId="17" xfId="13" applyNumberFormat="1" applyFont="1" applyFill="1" applyBorder="1" applyAlignment="1" applyProtection="1">
      <alignment horizontal="center"/>
      <protection locked="0"/>
    </xf>
    <xf numFmtId="0" fontId="14" fillId="0" borderId="19" xfId="13" applyNumberFormat="1" applyFont="1" applyFill="1" applyBorder="1" applyAlignment="1" applyProtection="1">
      <alignment horizontal="center"/>
      <protection locked="0"/>
    </xf>
    <xf numFmtId="0" fontId="20" fillId="0" borderId="51" xfId="0" applyFont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0" xfId="0" applyFont="1" applyAlignment="1"/>
    <xf numFmtId="3" fontId="20" fillId="0" borderId="62" xfId="0" applyNumberFormat="1" applyFont="1" applyBorder="1" applyAlignment="1">
      <alignment horizontal="center"/>
    </xf>
    <xf numFmtId="0" fontId="20" fillId="0" borderId="62" xfId="0" applyFont="1" applyBorder="1" applyAlignment="1"/>
    <xf numFmtId="9" fontId="0" fillId="0" borderId="0" xfId="0" applyNumberFormat="1" applyAlignment="1">
      <alignment horizontal="center"/>
    </xf>
    <xf numFmtId="0" fontId="0" fillId="13" borderId="0" xfId="0" applyFill="1" applyAlignment="1">
      <alignment horizontal="center"/>
    </xf>
    <xf numFmtId="0" fontId="0" fillId="15" borderId="0" xfId="0" applyFill="1"/>
    <xf numFmtId="0" fontId="0" fillId="0" borderId="0" xfId="0" applyFont="1" applyFill="1" applyBorder="1" applyAlignment="1">
      <alignment horizontal="center"/>
    </xf>
    <xf numFmtId="172" fontId="0" fillId="0" borderId="17" xfId="0" applyNumberFormat="1" applyFill="1" applyBorder="1" applyAlignment="1" applyProtection="1">
      <alignment horizontal="center"/>
      <protection locked="0"/>
    </xf>
    <xf numFmtId="165" fontId="0" fillId="0" borderId="17" xfId="16" applyNumberFormat="1" applyFont="1" applyFill="1" applyBorder="1" applyAlignment="1" applyProtection="1">
      <protection locked="0"/>
    </xf>
    <xf numFmtId="43" fontId="0" fillId="0" borderId="0" xfId="0" applyNumberFormat="1" applyFill="1"/>
    <xf numFmtId="173" fontId="0" fillId="0" borderId="17" xfId="16" applyNumberFormat="1" applyFont="1" applyFill="1" applyBorder="1" applyAlignment="1" applyProtection="1">
      <protection locked="0"/>
    </xf>
    <xf numFmtId="10" fontId="0" fillId="0" borderId="12" xfId="13" applyNumberFormat="1" applyFont="1" applyFill="1" applyBorder="1" applyAlignment="1" applyProtection="1">
      <alignment horizontal="center"/>
      <protection locked="0"/>
    </xf>
    <xf numFmtId="10" fontId="0" fillId="0" borderId="24" xfId="0" applyNumberFormat="1" applyFill="1" applyBorder="1" applyAlignment="1" applyProtection="1">
      <alignment horizontal="center"/>
      <protection locked="0"/>
    </xf>
    <xf numFmtId="10" fontId="0" fillId="0" borderId="24" xfId="16" applyNumberFormat="1" applyFont="1" applyFill="1" applyBorder="1" applyAlignment="1" applyProtection="1">
      <alignment horizontal="center"/>
      <protection locked="0"/>
    </xf>
    <xf numFmtId="10" fontId="0" fillId="0" borderId="12" xfId="16" applyNumberFormat="1" applyFont="1" applyFill="1" applyBorder="1" applyAlignment="1" applyProtection="1">
      <alignment horizontal="center"/>
      <protection locked="0"/>
    </xf>
    <xf numFmtId="10" fontId="0" fillId="0" borderId="17" xfId="16" applyNumberFormat="1" applyFont="1" applyFill="1" applyBorder="1" applyAlignment="1" applyProtection="1">
      <alignment horizontal="center"/>
      <protection locked="0"/>
    </xf>
    <xf numFmtId="9" fontId="14" fillId="0" borderId="0" xfId="0" applyNumberFormat="1" applyFont="1"/>
    <xf numFmtId="0" fontId="18" fillId="0" borderId="0" xfId="0" applyFont="1" applyBorder="1"/>
    <xf numFmtId="0" fontId="14" fillId="0" borderId="0" xfId="0" applyFont="1" applyBorder="1"/>
    <xf numFmtId="0" fontId="0" fillId="0" borderId="0" xfId="0" applyFont="1" applyFill="1"/>
    <xf numFmtId="7" fontId="0" fillId="0" borderId="17" xfId="0" applyNumberFormat="1" applyFill="1" applyBorder="1" applyAlignment="1" applyProtection="1">
      <alignment horizontal="right"/>
      <protection locked="0"/>
    </xf>
    <xf numFmtId="7" fontId="0" fillId="0" borderId="24" xfId="0" applyNumberFormat="1" applyFill="1" applyBorder="1" applyAlignment="1" applyProtection="1">
      <alignment horizontal="right"/>
      <protection locked="0"/>
    </xf>
    <xf numFmtId="7" fontId="0" fillId="0" borderId="24" xfId="0" applyNumberFormat="1" applyFill="1" applyBorder="1" applyAlignment="1">
      <alignment horizontal="right"/>
    </xf>
    <xf numFmtId="171" fontId="0" fillId="0" borderId="0" xfId="0" applyNumberFormat="1"/>
    <xf numFmtId="39" fontId="0" fillId="0" borderId="0" xfId="0" applyNumberFormat="1" applyBorder="1"/>
    <xf numFmtId="39" fontId="0" fillId="0" borderId="0" xfId="0" applyNumberFormat="1"/>
    <xf numFmtId="39" fontId="0" fillId="0" borderId="0" xfId="0" applyNumberFormat="1" applyFill="1" applyBorder="1"/>
    <xf numFmtId="39" fontId="0" fillId="0" borderId="0" xfId="0" applyNumberFormat="1" applyFill="1"/>
    <xf numFmtId="43" fontId="0" fillId="0" borderId="2" xfId="0" applyNumberFormat="1" applyFill="1" applyBorder="1" applyProtection="1">
      <protection locked="0"/>
    </xf>
    <xf numFmtId="0" fontId="1" fillId="0" borderId="66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0" fillId="0" borderId="51" xfId="0" applyFill="1" applyBorder="1"/>
    <xf numFmtId="165" fontId="0" fillId="0" borderId="51" xfId="0" applyNumberFormat="1" applyFill="1" applyBorder="1"/>
    <xf numFmtId="43" fontId="0" fillId="0" borderId="51" xfId="0" applyNumberFormat="1" applyFill="1" applyBorder="1"/>
    <xf numFmtId="165" fontId="20" fillId="0" borderId="51" xfId="13" applyFill="1" applyBorder="1"/>
    <xf numFmtId="168" fontId="0" fillId="0" borderId="51" xfId="0" applyNumberFormat="1" applyFill="1" applyBorder="1"/>
    <xf numFmtId="174" fontId="0" fillId="0" borderId="51" xfId="0" applyNumberFormat="1" applyFill="1" applyBorder="1"/>
    <xf numFmtId="165" fontId="23" fillId="0" borderId="51" xfId="0" applyNumberFormat="1" applyFont="1" applyFill="1" applyBorder="1"/>
    <xf numFmtId="0" fontId="0" fillId="11" borderId="2" xfId="0" applyFill="1" applyBorder="1" applyAlignment="1" applyProtection="1">
      <alignment horizontal="center"/>
      <protection locked="0"/>
    </xf>
    <xf numFmtId="0" fontId="15" fillId="12" borderId="37" xfId="0" applyFont="1" applyFill="1" applyBorder="1" applyAlignment="1">
      <alignment horizontal="center"/>
    </xf>
    <xf numFmtId="0" fontId="2" fillId="12" borderId="37" xfId="0" applyFont="1" applyFill="1" applyBorder="1" applyAlignment="1">
      <alignment horizontal="left" vertical="center" wrapText="1"/>
    </xf>
    <xf numFmtId="0" fontId="16" fillId="12" borderId="37" xfId="0" applyFont="1" applyFill="1" applyBorder="1" applyAlignment="1">
      <alignment horizontal="left" vertical="center" wrapText="1"/>
    </xf>
    <xf numFmtId="0" fontId="16" fillId="12" borderId="37" xfId="0" applyFont="1" applyFill="1" applyBorder="1" applyAlignment="1">
      <alignment horizontal="left" vertical="center"/>
    </xf>
    <xf numFmtId="0" fontId="5" fillId="12" borderId="37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" fillId="0" borderId="63" xfId="0" applyFont="1" applyBorder="1" applyAlignment="1">
      <alignment horizontal="center"/>
    </xf>
    <xf numFmtId="0" fontId="1" fillId="0" borderId="64" xfId="0" applyFont="1" applyBorder="1"/>
    <xf numFmtId="0" fontId="1" fillId="0" borderId="65" xfId="0" applyFont="1" applyBorder="1"/>
    <xf numFmtId="0" fontId="0" fillId="0" borderId="51" xfId="0" applyBorder="1" applyAlignment="1">
      <alignment horizontal="center"/>
    </xf>
    <xf numFmtId="0" fontId="1" fillId="0" borderId="51" xfId="0" applyFont="1" applyBorder="1"/>
    <xf numFmtId="0" fontId="0" fillId="0" borderId="0" xfId="0" applyAlignment="1">
      <alignment horizontal="center"/>
    </xf>
    <xf numFmtId="0" fontId="16" fillId="12" borderId="37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6" fillId="12" borderId="37" xfId="0" applyFont="1" applyFill="1" applyBorder="1" applyAlignment="1" applyProtection="1">
      <alignment horizontal="center"/>
    </xf>
    <xf numFmtId="165" fontId="0" fillId="16" borderId="17" xfId="13" applyFont="1" applyFill="1" applyBorder="1" applyAlignment="1" applyProtection="1">
      <alignment horizontal="center"/>
      <protection locked="0"/>
    </xf>
    <xf numFmtId="0" fontId="0" fillId="0" borderId="55" xfId="0" applyFill="1" applyBorder="1" applyAlignment="1">
      <alignment horizontal="left"/>
    </xf>
    <xf numFmtId="16" fontId="0" fillId="0" borderId="57" xfId="0" applyNumberFormat="1" applyFill="1" applyBorder="1"/>
    <xf numFmtId="43" fontId="0" fillId="0" borderId="0" xfId="0" applyNumberFormat="1" applyFill="1" applyBorder="1"/>
    <xf numFmtId="43" fontId="0" fillId="0" borderId="56" xfId="0" applyNumberFormat="1" applyFill="1" applyBorder="1"/>
    <xf numFmtId="0" fontId="14" fillId="0" borderId="67" xfId="0" applyFont="1" applyFill="1" applyBorder="1"/>
    <xf numFmtId="0" fontId="14" fillId="0" borderId="68" xfId="0" applyFont="1" applyFill="1" applyBorder="1"/>
    <xf numFmtId="0" fontId="14" fillId="0" borderId="69" xfId="0" applyFont="1" applyFill="1" applyBorder="1"/>
    <xf numFmtId="0" fontId="0" fillId="0" borderId="67" xfId="0" applyFill="1" applyBorder="1"/>
    <xf numFmtId="0" fontId="0" fillId="0" borderId="69" xfId="0" applyFill="1" applyBorder="1"/>
    <xf numFmtId="0" fontId="0" fillId="0" borderId="60" xfId="0" applyFill="1" applyBorder="1"/>
    <xf numFmtId="0" fontId="0" fillId="0" borderId="61" xfId="0" applyFill="1" applyBorder="1"/>
    <xf numFmtId="0" fontId="13" fillId="0" borderId="52" xfId="0" applyFont="1" applyBorder="1"/>
    <xf numFmtId="0" fontId="14" fillId="0" borderId="53" xfId="0" applyFont="1" applyBorder="1"/>
    <xf numFmtId="0" fontId="18" fillId="0" borderId="55" xfId="0" applyFont="1" applyBorder="1"/>
    <xf numFmtId="0" fontId="14" fillId="0" borderId="55" xfId="0" applyFont="1" applyBorder="1"/>
    <xf numFmtId="0" fontId="14" fillId="0" borderId="56" xfId="0" applyFont="1" applyBorder="1"/>
    <xf numFmtId="39" fontId="0" fillId="0" borderId="56" xfId="0" applyNumberFormat="1" applyBorder="1"/>
    <xf numFmtId="39" fontId="0" fillId="0" borderId="56" xfId="0" applyNumberFormat="1" applyFill="1" applyBorder="1"/>
    <xf numFmtId="0" fontId="14" fillId="0" borderId="57" xfId="0" applyFont="1" applyBorder="1"/>
    <xf numFmtId="39" fontId="0" fillId="0" borderId="58" xfId="0" applyNumberFormat="1" applyBorder="1"/>
    <xf numFmtId="39" fontId="0" fillId="0" borderId="59" xfId="0" applyNumberFormat="1" applyBorder="1"/>
    <xf numFmtId="0" fontId="18" fillId="0" borderId="70" xfId="0" applyFont="1" applyFill="1" applyBorder="1" applyAlignment="1">
      <alignment horizontal="center"/>
    </xf>
    <xf numFmtId="0" fontId="18" fillId="0" borderId="71" xfId="0" applyFont="1" applyFill="1" applyBorder="1" applyAlignment="1">
      <alignment horizontal="center"/>
    </xf>
    <xf numFmtId="0" fontId="18" fillId="0" borderId="72" xfId="0" applyFont="1" applyFill="1" applyBorder="1" applyAlignment="1">
      <alignment horizontal="center"/>
    </xf>
    <xf numFmtId="0" fontId="14" fillId="0" borderId="73" xfId="0" applyFont="1" applyFill="1" applyBorder="1" applyAlignment="1">
      <alignment horizontal="center"/>
    </xf>
    <xf numFmtId="0" fontId="14" fillId="0" borderId="74" xfId="0" applyFont="1" applyFill="1" applyBorder="1" applyAlignment="1">
      <alignment horizontal="center"/>
    </xf>
    <xf numFmtId="0" fontId="14" fillId="0" borderId="75" xfId="0" applyFont="1" applyFill="1" applyBorder="1"/>
    <xf numFmtId="165" fontId="0" fillId="0" borderId="76" xfId="13" applyFont="1" applyFill="1" applyBorder="1" applyAlignment="1" applyProtection="1">
      <alignment horizontal="center"/>
    </xf>
    <xf numFmtId="165" fontId="0" fillId="0" borderId="77" xfId="13" applyFont="1" applyFill="1" applyBorder="1" applyAlignment="1" applyProtection="1">
      <alignment horizontal="center"/>
      <protection locked="0"/>
    </xf>
    <xf numFmtId="0" fontId="0" fillId="0" borderId="75" xfId="0" applyFill="1" applyBorder="1"/>
    <xf numFmtId="165" fontId="0" fillId="0" borderId="77" xfId="13" applyFont="1" applyFill="1" applyBorder="1" applyAlignment="1" applyProtection="1">
      <alignment horizontal="center"/>
    </xf>
    <xf numFmtId="7" fontId="0" fillId="0" borderId="77" xfId="0" applyNumberFormat="1" applyFill="1" applyBorder="1" applyAlignment="1" applyProtection="1">
      <alignment horizontal="right"/>
      <protection locked="0"/>
    </xf>
    <xf numFmtId="7" fontId="0" fillId="0" borderId="78" xfId="0" applyNumberFormat="1" applyFill="1" applyBorder="1" applyAlignment="1" applyProtection="1">
      <alignment horizontal="right"/>
      <protection locked="0"/>
    </xf>
    <xf numFmtId="7" fontId="0" fillId="0" borderId="78" xfId="0" applyNumberFormat="1" applyFill="1" applyBorder="1" applyAlignment="1">
      <alignment horizontal="right"/>
    </xf>
    <xf numFmtId="0" fontId="14" fillId="0" borderId="79" xfId="0" applyFont="1" applyFill="1" applyBorder="1"/>
    <xf numFmtId="7" fontId="0" fillId="0" borderId="80" xfId="13" applyNumberFormat="1" applyFont="1" applyFill="1" applyBorder="1" applyAlignment="1" applyProtection="1">
      <alignment horizontal="right"/>
      <protection locked="0"/>
    </xf>
    <xf numFmtId="7" fontId="0" fillId="0" borderId="81" xfId="13" applyNumberFormat="1" applyFont="1" applyFill="1" applyBorder="1" applyAlignment="1" applyProtection="1">
      <alignment horizontal="right"/>
      <protection locked="0"/>
    </xf>
  </cellXfs>
  <cellStyles count="22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Bad 1" xfId="5" xr:uid="{00000000-0005-0000-0000-000004000000}"/>
    <cellStyle name="Error 1" xfId="6" xr:uid="{00000000-0005-0000-0000-000005000000}"/>
    <cellStyle name="Footnote 1" xfId="7" xr:uid="{00000000-0005-0000-0000-000006000000}"/>
    <cellStyle name="Good 1" xfId="8" xr:uid="{00000000-0005-0000-0000-000007000000}"/>
    <cellStyle name="Heading 1 1" xfId="9" xr:uid="{00000000-0005-0000-0000-000008000000}"/>
    <cellStyle name="Heading 2 1" xfId="10" xr:uid="{00000000-0005-0000-0000-000009000000}"/>
    <cellStyle name="Heading 3" xfId="11" xr:uid="{00000000-0005-0000-0000-00000A000000}"/>
    <cellStyle name="Millares" xfId="12" builtinId="3"/>
    <cellStyle name="Moneda" xfId="13" builtinId="4"/>
    <cellStyle name="Neutral 1" xfId="14" xr:uid="{00000000-0005-0000-0000-00000D000000}"/>
    <cellStyle name="Normal" xfId="0" builtinId="0"/>
    <cellStyle name="Note 1" xfId="15" xr:uid="{00000000-0005-0000-0000-00000F000000}"/>
    <cellStyle name="Porcentaje" xfId="16" builtinId="5"/>
    <cellStyle name="Sin título1" xfId="17" xr:uid="{00000000-0005-0000-0000-000011000000}"/>
    <cellStyle name="Sin título2" xfId="18" xr:uid="{00000000-0005-0000-0000-000012000000}"/>
    <cellStyle name="Status 1" xfId="19" xr:uid="{00000000-0005-0000-0000-000013000000}"/>
    <cellStyle name="Text 1" xfId="20" xr:uid="{00000000-0005-0000-0000-000014000000}"/>
    <cellStyle name="Warning 1" xfId="21" xr:uid="{00000000-0005-0000-0000-000015000000}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Punto</a:t>
            </a:r>
            <a:r>
              <a:rPr lang="es-ES_tradnl" baseline="0"/>
              <a:t> de equilibrio año 1</a:t>
            </a:r>
          </a:p>
          <a:p>
            <a:pPr>
              <a:defRPr/>
            </a:pP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'E-Costos'!$A$141:$A$142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78256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E-5546-A9A7-4A4B7F6814BA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'E-Costos'!$B$140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6E-5546-A9A7-4A4B7F6814B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'E-Costos'!$C$140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6E-5546-A9A7-4A4B7F6814B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'E-Costos'!$D$140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6E-5546-A9A7-4A4B7F6814BA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'E-Costos'!$E$140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6E-5546-A9A7-4A4B7F6814BA}"/>
            </c:ext>
          </c:extLst>
        </c:ser>
        <c:ser>
          <c:idx val="5"/>
          <c:order val="5"/>
          <c:tx>
            <c:v>Costo variable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'E-Costos'!$B$141:$B$142</c:f>
              <c:numCache>
                <c:formatCode>_(* #,##0.00_);_(* \(#,##0.00\);_(* "-"??_);_(@_)</c:formatCode>
                <c:ptCount val="2"/>
                <c:pt idx="0" formatCode="General">
                  <c:v>0</c:v>
                </c:pt>
                <c:pt idx="1">
                  <c:v>16205481.742030255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D6E-5546-A9A7-4A4B7F6814BA}"/>
            </c:ext>
          </c:extLst>
        </c:ser>
        <c:ser>
          <c:idx val="6"/>
          <c:order val="6"/>
          <c:tx>
            <c:v>Costo fijo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'E-Costos'!$C$141:$C$142</c:f>
              <c:numCache>
                <c:formatCode>_(\$* #,##0.00_);_(\$* \(#,##0.00\);_(\$* \-??_);_(@_)</c:formatCode>
                <c:ptCount val="2"/>
                <c:pt idx="0">
                  <c:v>9705501.942901209</c:v>
                </c:pt>
                <c:pt idx="1">
                  <c:v>9705501.942901209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6E-5546-A9A7-4A4B7F6814BA}"/>
            </c:ext>
          </c:extLst>
        </c:ser>
        <c:ser>
          <c:idx val="7"/>
          <c:order val="7"/>
          <c:tx>
            <c:v>Costo total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'E-Costos'!$D$141:$D$142</c:f>
              <c:numCache>
                <c:formatCode>_(\$* #,##0.00_);_(\$* \(#,##0.00\);_(\$* \-??_);_(@_)</c:formatCode>
                <c:ptCount val="2"/>
                <c:pt idx="0">
                  <c:v>9705501.942901209</c:v>
                </c:pt>
                <c:pt idx="1">
                  <c:v>25910983.684931464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D6E-5546-A9A7-4A4B7F6814BA}"/>
            </c:ext>
          </c:extLst>
        </c:ser>
        <c:ser>
          <c:idx val="8"/>
          <c:order val="8"/>
          <c:tx>
            <c:v>Ingresos por ventas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Lit>
              <c:ptCount val="1"/>
              <c:pt idx="0">
                <c:v>Costo variable</c:v>
              </c:pt>
            </c:strLit>
          </c:cat>
          <c:val>
            <c:numRef>
              <c:f>'E-Costos'!$E$141:$E$142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31302400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6E-5546-A9A7-4A4B7F681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527487"/>
        <c:axId val="2029529183"/>
      </c:lineChart>
      <c:catAx>
        <c:axId val="202952748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9529183"/>
        <c:crosses val="autoZero"/>
        <c:auto val="1"/>
        <c:lblAlgn val="ctr"/>
        <c:lblOffset val="100"/>
        <c:noMultiLvlLbl val="0"/>
      </c:catAx>
      <c:valAx>
        <c:axId val="202952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29527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5.0000025523065449E-2"/>
          <c:y val="0.91706388913075443"/>
          <c:w val="0.91110282273193111"/>
          <c:h val="6.1182489190990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Punto de equilibrio año 5</a:t>
            </a:r>
          </a:p>
          <a:p>
            <a:pPr>
              <a:defRPr/>
            </a:pP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Costo variable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'E-Costos'!$H$141:$H$142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D-FD47-B1FB-C66585DCC5A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'E-Costos'!$I$140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CD-FD47-B1FB-C66585DCC5A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'E-Costos'!$J$140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CD-FD47-B1FB-C66585DCC5A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'E-Costos'!$K$140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CD-FD47-B1FB-C66585DCC5A4}"/>
            </c:ext>
          </c:extLst>
        </c:ser>
        <c:ser>
          <c:idx val="4"/>
          <c:order val="4"/>
          <c:tx>
            <c:v>Unidades vendidas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'E-Costos'!$L$140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CD-FD47-B1FB-C66585DCC5A4}"/>
            </c:ext>
          </c:extLst>
        </c:ser>
        <c:ser>
          <c:idx val="5"/>
          <c:order val="5"/>
          <c:tx>
            <c:v>Costo variable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'E-Costos'!$I$141:$I$142</c:f>
              <c:numCache>
                <c:formatCode>_(\$* #,##0.00_);_(\$* \(#,##0.00\);_(\$* \-??_);_(@_)</c:formatCode>
                <c:ptCount val="2"/>
                <c:pt idx="0" formatCode="_(* #,##0.00_);_(* \(#,##0.00\);_(* &quot;-&quot;??_);_(@_)">
                  <c:v>0</c:v>
                </c:pt>
                <c:pt idx="1">
                  <c:v>23663088.317518171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CD-FD47-B1FB-C66585DCC5A4}"/>
            </c:ext>
          </c:extLst>
        </c:ser>
        <c:ser>
          <c:idx val="6"/>
          <c:order val="6"/>
          <c:tx>
            <c:v>Costo fijo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'[1]E-Costos'!$J$141:$J$142</c:f>
              <c:numCache>
                <c:formatCode>General</c:formatCode>
                <c:ptCount val="2"/>
                <c:pt idx="0">
                  <c:v>11480534.558575269</c:v>
                </c:pt>
                <c:pt idx="1">
                  <c:v>11480534.558575269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CD-FD47-B1FB-C66585DCC5A4}"/>
            </c:ext>
          </c:extLst>
        </c:ser>
        <c:ser>
          <c:idx val="7"/>
          <c:order val="7"/>
          <c:tx>
            <c:v>Costo total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'[1]E-Costos'!$K$141:$K$142</c:f>
              <c:numCache>
                <c:formatCode>General</c:formatCode>
                <c:ptCount val="2"/>
                <c:pt idx="0">
                  <c:v>11480534.558575269</c:v>
                </c:pt>
                <c:pt idx="1">
                  <c:v>35143622.87609344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CD-FD47-B1FB-C66585DCC5A4}"/>
            </c:ext>
          </c:extLst>
        </c:ser>
        <c:ser>
          <c:idx val="8"/>
          <c:order val="8"/>
          <c:tx>
            <c:v>Ingresos por ventas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'[1]E-Costos'!$L$141:$L$142</c:f>
              <c:numCache>
                <c:formatCode>General</c:formatCode>
                <c:ptCount val="2"/>
                <c:pt idx="0">
                  <c:v>0</c:v>
                </c:pt>
                <c:pt idx="1">
                  <c:v>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CD-FD47-B1FB-C66585DCC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2710719"/>
        <c:axId val="2050365087"/>
      </c:lineChart>
      <c:catAx>
        <c:axId val="1962710719"/>
        <c:scaling>
          <c:orientation val="minMax"/>
        </c:scaling>
        <c:delete val="1"/>
        <c:axPos val="b"/>
        <c:majorTickMark val="none"/>
        <c:minorTickMark val="none"/>
        <c:tickLblPos val="nextTo"/>
        <c:crossAx val="2050365087"/>
        <c:crosses val="autoZero"/>
        <c:auto val="1"/>
        <c:lblAlgn val="ctr"/>
        <c:lblOffset val="100"/>
        <c:noMultiLvlLbl val="0"/>
      </c:catAx>
      <c:valAx>
        <c:axId val="20503650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962710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1985288</xdr:colOff>
      <xdr:row>145</xdr:row>
      <xdr:rowOff>0</xdr:rowOff>
    </xdr:from>
    <xdr:to>
      <xdr:col>3</xdr:col>
      <xdr:colOff>636463</xdr:colOff>
      <xdr:row>166</xdr:row>
      <xdr:rowOff>130796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4328F2-2C94-E140-91DA-61E8E7A85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1124023</xdr:colOff>
      <xdr:row>145</xdr:row>
      <xdr:rowOff>0</xdr:rowOff>
    </xdr:from>
    <xdr:to>
      <xdr:col>12</xdr:col>
      <xdr:colOff>169334</xdr:colOff>
      <xdr:row>166</xdr:row>
      <xdr:rowOff>43209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CA47D7-BB59-F644-937F-BAEF4C022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4000500</xdr:colOff>
      <xdr:row>144</xdr:row>
      <xdr:rowOff>50800</xdr:rowOff>
    </xdr:from>
    <xdr:to>
      <xdr:col>12</xdr:col>
      <xdr:colOff>3238500</xdr:colOff>
      <xdr:row>144</xdr:row>
      <xdr:rowOff>76200</xdr:rowOff>
    </xdr:to>
    <xdr:cxnSp macro="">
      <xdr:nvCxnSpPr>
        <xdr:cNvPr id="3223" name="Conector recto 4">
          <a:extLst>
            <a:ext uri="{FF2B5EF4-FFF2-40B4-BE49-F238E27FC236}">
              <a16:creationId xmlns:a16="http://schemas.microsoft.com/office/drawing/2014/main" id="{7812DEFD-EC14-6348-8509-B7FFE46D0DDE}"/>
            </a:ext>
          </a:extLst>
        </xdr:cNvPr>
        <xdr:cNvCxnSpPr>
          <a:cxnSpLocks noChangeShapeType="1"/>
        </xdr:cNvCxnSpPr>
      </xdr:nvCxnSpPr>
      <xdr:spPr bwMode="auto">
        <a:xfrm flipV="1">
          <a:off x="4000500" y="23850600"/>
          <a:ext cx="22529800" cy="254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4292600</xdr:colOff>
      <xdr:row>164</xdr:row>
      <xdr:rowOff>38100</xdr:rowOff>
    </xdr:from>
    <xdr:to>
      <xdr:col>12</xdr:col>
      <xdr:colOff>3543300</xdr:colOff>
      <xdr:row>164</xdr:row>
      <xdr:rowOff>63500</xdr:rowOff>
    </xdr:to>
    <xdr:cxnSp macro="">
      <xdr:nvCxnSpPr>
        <xdr:cNvPr id="3224" name="Conector recto 5">
          <a:extLst>
            <a:ext uri="{FF2B5EF4-FFF2-40B4-BE49-F238E27FC236}">
              <a16:creationId xmlns:a16="http://schemas.microsoft.com/office/drawing/2014/main" id="{9B013AC5-1285-CC4A-B27E-320C50024A5D}"/>
            </a:ext>
          </a:extLst>
        </xdr:cNvPr>
        <xdr:cNvCxnSpPr>
          <a:cxnSpLocks noChangeShapeType="1"/>
        </xdr:cNvCxnSpPr>
      </xdr:nvCxnSpPr>
      <xdr:spPr bwMode="auto">
        <a:xfrm flipV="1">
          <a:off x="4292600" y="27165300"/>
          <a:ext cx="22542500" cy="254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0</xdr:colOff>
      <xdr:row>181</xdr:row>
      <xdr:rowOff>38100</xdr:rowOff>
    </xdr:from>
    <xdr:to>
      <xdr:col>20</xdr:col>
      <xdr:colOff>25400</xdr:colOff>
      <xdr:row>182</xdr:row>
      <xdr:rowOff>50800</xdr:rowOff>
    </xdr:to>
    <xdr:cxnSp macro="">
      <xdr:nvCxnSpPr>
        <xdr:cNvPr id="3225" name="Conector recto 6">
          <a:extLst>
            <a:ext uri="{FF2B5EF4-FFF2-40B4-BE49-F238E27FC236}">
              <a16:creationId xmlns:a16="http://schemas.microsoft.com/office/drawing/2014/main" id="{059CDCDA-1339-3348-BD7C-820770F098EC}"/>
            </a:ext>
          </a:extLst>
        </xdr:cNvPr>
        <xdr:cNvCxnSpPr>
          <a:cxnSpLocks noChangeShapeType="1"/>
        </xdr:cNvCxnSpPr>
      </xdr:nvCxnSpPr>
      <xdr:spPr bwMode="auto">
        <a:xfrm>
          <a:off x="0" y="30022800"/>
          <a:ext cx="33286700" cy="1778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1244600</xdr:colOff>
      <xdr:row>127</xdr:row>
      <xdr:rowOff>76200</xdr:rowOff>
    </xdr:from>
    <xdr:to>
      <xdr:col>15</xdr:col>
      <xdr:colOff>355600</xdr:colOff>
      <xdr:row>127</xdr:row>
      <xdr:rowOff>88900</xdr:rowOff>
    </xdr:to>
    <xdr:cxnSp macro="">
      <xdr:nvCxnSpPr>
        <xdr:cNvPr id="3226" name="Conector recto 10">
          <a:extLst>
            <a:ext uri="{FF2B5EF4-FFF2-40B4-BE49-F238E27FC236}">
              <a16:creationId xmlns:a16="http://schemas.microsoft.com/office/drawing/2014/main" id="{E93743A8-049F-534D-9202-D57210C99DD3}"/>
            </a:ext>
          </a:extLst>
        </xdr:cNvPr>
        <xdr:cNvCxnSpPr>
          <a:cxnSpLocks noChangeShapeType="1"/>
        </xdr:cNvCxnSpPr>
      </xdr:nvCxnSpPr>
      <xdr:spPr bwMode="auto">
        <a:xfrm flipV="1">
          <a:off x="22796500" y="21056600"/>
          <a:ext cx="6692900" cy="127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TO%20DE%20EQUILIB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im%20Economico%20Financiero_5_grupo_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"/>
      <sheetName val="E-Inv AF y Am Datos y links"/>
      <sheetName val="E-Costos"/>
      <sheetName val="E-Costos Datos y links"/>
      <sheetName val="E-InvAT"/>
      <sheetName val="E-InvAT Datos y links"/>
      <sheetName val="E-Cal Inv."/>
      <sheetName val="E-IVA "/>
      <sheetName val="E-Form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/>
      <sheetData sheetId="1"/>
      <sheetData sheetId="2"/>
      <sheetData sheetId="3">
        <row r="141">
          <cell r="J141">
            <v>11480534.558575269</v>
          </cell>
          <cell r="K141">
            <v>11480534.558575269</v>
          </cell>
          <cell r="L141">
            <v>0</v>
          </cell>
        </row>
        <row r="142">
          <cell r="J142">
            <v>11480534.558575269</v>
          </cell>
          <cell r="K142">
            <v>35143622.87609344</v>
          </cell>
          <cell r="L142">
            <v>50000000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 (13 y 14)"/>
      <sheetName val="Hoja1"/>
      <sheetName val="E-Costos"/>
      <sheetName val="E-InvAT (44)"/>
      <sheetName val="E-Cal Inv. (46)"/>
      <sheetName val="E-IVA (47)"/>
      <sheetName val="E-Form (48)"/>
      <sheetName val="F-Cred"/>
      <sheetName val="F-CRes"/>
      <sheetName val="F-2 Estructura"/>
      <sheetName val="F-IVA"/>
      <sheetName val="F- CFyU"/>
      <sheetName val="F-Balance"/>
      <sheetName val="F- Form"/>
      <sheetName val="E-Inv AF y Am"/>
      <sheetName val="E-InvAT"/>
      <sheetName val="E-Cal Inv."/>
      <sheetName val="E-IVA "/>
      <sheetName val="E-Form"/>
    </sheetNames>
    <sheetDataSet>
      <sheetData sheetId="0">
        <row r="1">
          <cell r="E1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89"/>
  <sheetViews>
    <sheetView topLeftCell="A13" zoomScale="114" zoomScaleNormal="90" workbookViewId="0">
      <selection activeCell="B3" sqref="B3"/>
    </sheetView>
  </sheetViews>
  <sheetFormatPr baseColWidth="10" defaultColWidth="11" defaultRowHeight="13"/>
  <cols>
    <col min="1" max="1" width="42.1640625" customWidth="1"/>
    <col min="2" max="3" width="11" customWidth="1"/>
    <col min="4" max="4" width="17.33203125" customWidth="1"/>
    <col min="5" max="5" width="11" customWidth="1"/>
    <col min="6" max="6" width="6.83203125" customWidth="1"/>
    <col min="7" max="12" width="11" customWidth="1"/>
    <col min="13" max="13" width="17" customWidth="1"/>
  </cols>
  <sheetData>
    <row r="1" spans="1:13">
      <c r="A1" s="1" t="s">
        <v>0</v>
      </c>
      <c r="E1" s="2">
        <v>14</v>
      </c>
    </row>
    <row r="2" spans="1:13" ht="14">
      <c r="G2" s="357" t="s">
        <v>1</v>
      </c>
      <c r="H2" s="357"/>
      <c r="I2" s="357"/>
      <c r="J2" s="357"/>
      <c r="K2" s="357"/>
      <c r="L2" s="357"/>
      <c r="M2" s="357"/>
    </row>
    <row r="3" spans="1:13" ht="14.75" customHeight="1">
      <c r="A3" s="3" t="s">
        <v>2</v>
      </c>
      <c r="B3" s="4">
        <v>0.21</v>
      </c>
      <c r="G3" s="358" t="s">
        <v>3</v>
      </c>
      <c r="H3" s="358"/>
      <c r="I3" s="358"/>
      <c r="J3" s="358"/>
      <c r="K3" s="358"/>
      <c r="L3" s="358"/>
      <c r="M3" s="358"/>
    </row>
    <row r="4" spans="1:13">
      <c r="A4" s="3" t="s">
        <v>4</v>
      </c>
      <c r="B4" s="4">
        <v>0.35</v>
      </c>
      <c r="G4" s="358"/>
      <c r="H4" s="358"/>
      <c r="I4" s="358"/>
      <c r="J4" s="358"/>
      <c r="K4" s="358"/>
      <c r="L4" s="358"/>
      <c r="M4" s="358"/>
    </row>
    <row r="5" spans="1:13">
      <c r="A5" s="3" t="s">
        <v>5</v>
      </c>
      <c r="B5" s="5">
        <v>3.5000000000000003E-2</v>
      </c>
      <c r="C5" t="s">
        <v>6</v>
      </c>
      <c r="G5" s="358"/>
      <c r="H5" s="358"/>
      <c r="I5" s="358"/>
      <c r="J5" s="358"/>
      <c r="K5" s="358"/>
      <c r="L5" s="358"/>
      <c r="M5" s="358"/>
    </row>
    <row r="6" spans="1:13">
      <c r="G6" s="358"/>
      <c r="H6" s="358"/>
      <c r="I6" s="358"/>
      <c r="J6" s="358"/>
      <c r="K6" s="358"/>
      <c r="L6" s="358"/>
      <c r="M6" s="358"/>
    </row>
    <row r="7" spans="1:13" ht="14.75" customHeight="1">
      <c r="A7" s="3" t="s">
        <v>7</v>
      </c>
      <c r="B7" t="s">
        <v>8</v>
      </c>
      <c r="G7" s="359" t="s">
        <v>9</v>
      </c>
      <c r="H7" s="359"/>
      <c r="I7" s="359"/>
      <c r="J7" s="359"/>
      <c r="K7" s="359"/>
      <c r="L7" s="359"/>
      <c r="M7" s="359"/>
    </row>
    <row r="8" spans="1:13">
      <c r="A8" s="6" t="s">
        <v>10</v>
      </c>
      <c r="B8" s="7">
        <v>30</v>
      </c>
      <c r="C8" t="s">
        <v>11</v>
      </c>
      <c r="G8" s="359"/>
      <c r="H8" s="359"/>
      <c r="I8" s="359"/>
      <c r="J8" s="359"/>
      <c r="K8" s="359"/>
      <c r="L8" s="359"/>
      <c r="M8" s="359"/>
    </row>
    <row r="9" spans="1:13">
      <c r="A9" s="6" t="s">
        <v>12</v>
      </c>
      <c r="B9" s="7">
        <v>10</v>
      </c>
      <c r="C9" t="s">
        <v>11</v>
      </c>
      <c r="G9" s="360" t="s">
        <v>13</v>
      </c>
      <c r="H9" s="360"/>
      <c r="I9" s="360"/>
      <c r="J9" s="360"/>
      <c r="K9" s="360"/>
      <c r="L9" s="360"/>
      <c r="M9" s="360"/>
    </row>
    <row r="10" spans="1:13" ht="14.75" customHeight="1">
      <c r="A10" s="6" t="s">
        <v>14</v>
      </c>
      <c r="B10" s="7">
        <v>10</v>
      </c>
      <c r="C10" t="s">
        <v>11</v>
      </c>
      <c r="G10" s="361" t="s">
        <v>15</v>
      </c>
      <c r="H10" s="361"/>
      <c r="I10" s="361"/>
      <c r="J10" s="361"/>
      <c r="K10" s="361"/>
      <c r="L10" s="361"/>
      <c r="M10" s="361"/>
    </row>
    <row r="11" spans="1:13">
      <c r="A11" s="6" t="s">
        <v>16</v>
      </c>
      <c r="B11" s="7">
        <v>5</v>
      </c>
      <c r="C11" t="s">
        <v>11</v>
      </c>
      <c r="G11" s="361"/>
      <c r="H11" s="361"/>
      <c r="I11" s="361"/>
      <c r="J11" s="361"/>
      <c r="K11" s="361"/>
      <c r="L11" s="361"/>
      <c r="M11" s="361"/>
    </row>
    <row r="12" spans="1:13" ht="14.75" customHeight="1">
      <c r="A12" s="6" t="s">
        <v>17</v>
      </c>
      <c r="B12" s="7">
        <v>5</v>
      </c>
      <c r="C12" t="s">
        <v>11</v>
      </c>
      <c r="G12" s="361" t="s">
        <v>18</v>
      </c>
      <c r="H12" s="361"/>
      <c r="I12" s="361"/>
      <c r="J12" s="361"/>
      <c r="K12" s="361"/>
      <c r="L12" s="361"/>
      <c r="M12" s="361"/>
    </row>
    <row r="13" spans="1:13">
      <c r="A13" s="6" t="s">
        <v>19</v>
      </c>
      <c r="B13" s="7">
        <v>3</v>
      </c>
      <c r="C13" t="s">
        <v>11</v>
      </c>
      <c r="G13" s="361"/>
      <c r="H13" s="361"/>
      <c r="I13" s="361"/>
      <c r="J13" s="361"/>
      <c r="K13" s="361"/>
      <c r="L13" s="361"/>
      <c r="M13" s="361"/>
    </row>
    <row r="14" spans="1:13">
      <c r="A14" s="6" t="s">
        <v>20</v>
      </c>
      <c r="B14" s="7">
        <v>5</v>
      </c>
      <c r="C14" t="s">
        <v>11</v>
      </c>
    </row>
    <row r="15" spans="1:13">
      <c r="A15" s="6" t="s">
        <v>21</v>
      </c>
      <c r="B15" s="8">
        <v>3.5000000000000003E-2</v>
      </c>
    </row>
    <row r="17" spans="1:7">
      <c r="A17" s="3" t="s">
        <v>22</v>
      </c>
      <c r="B17" s="9" t="s">
        <v>400</v>
      </c>
      <c r="C17" s="10"/>
      <c r="D17" s="10"/>
      <c r="E17" s="10"/>
      <c r="F17" s="10"/>
      <c r="G17" s="11"/>
    </row>
    <row r="19" spans="1:7">
      <c r="A19" s="3" t="s">
        <v>23</v>
      </c>
      <c r="B19" s="12">
        <v>125000</v>
      </c>
      <c r="C19" t="s">
        <v>24</v>
      </c>
    </row>
    <row r="20" spans="1:7">
      <c r="A20" s="3" t="s">
        <v>25</v>
      </c>
      <c r="B20" s="12">
        <v>400</v>
      </c>
      <c r="C20" t="s">
        <v>26</v>
      </c>
    </row>
    <row r="22" spans="1:7">
      <c r="A22" s="3" t="s">
        <v>27</v>
      </c>
    </row>
    <row r="23" spans="1:7">
      <c r="A23" s="3" t="s">
        <v>28</v>
      </c>
      <c r="B23" s="12">
        <v>15</v>
      </c>
      <c r="C23" t="s">
        <v>29</v>
      </c>
    </row>
    <row r="24" spans="1:7">
      <c r="A24" s="3" t="s">
        <v>30</v>
      </c>
      <c r="B24" s="12">
        <v>2</v>
      </c>
      <c r="C24" t="s">
        <v>29</v>
      </c>
    </row>
    <row r="25" spans="1:7">
      <c r="A25" s="3" t="s">
        <v>31</v>
      </c>
      <c r="B25" s="12">
        <v>5</v>
      </c>
      <c r="C25" t="s">
        <v>29</v>
      </c>
    </row>
    <row r="27" spans="1:7">
      <c r="A27" s="3" t="s">
        <v>32</v>
      </c>
      <c r="B27" s="12">
        <v>537.5</v>
      </c>
      <c r="C27" t="s">
        <v>33</v>
      </c>
    </row>
    <row r="28" spans="1:7">
      <c r="A28" s="3" t="s">
        <v>34</v>
      </c>
      <c r="B28" s="12">
        <v>12</v>
      </c>
      <c r="C28" t="s">
        <v>35</v>
      </c>
    </row>
    <row r="29" spans="1:7">
      <c r="A29" s="3" t="s">
        <v>36</v>
      </c>
      <c r="B29" s="12">
        <v>12</v>
      </c>
      <c r="C29" t="s">
        <v>35</v>
      </c>
    </row>
    <row r="32" spans="1:7">
      <c r="A32" s="3" t="s">
        <v>37</v>
      </c>
      <c r="B32" s="12">
        <v>40</v>
      </c>
      <c r="C32" t="s">
        <v>38</v>
      </c>
      <c r="D32" s="12">
        <v>1</v>
      </c>
      <c r="E32" t="s">
        <v>39</v>
      </c>
    </row>
    <row r="33" spans="1:7">
      <c r="A33" s="13"/>
    </row>
    <row r="34" spans="1:7">
      <c r="A34" s="13"/>
    </row>
    <row r="35" spans="1:7">
      <c r="A35" s="3" t="s">
        <v>40</v>
      </c>
      <c r="B35" s="14"/>
      <c r="C35" t="s">
        <v>41</v>
      </c>
      <c r="G35" s="15" t="s">
        <v>42</v>
      </c>
    </row>
    <row r="36" spans="1:7">
      <c r="A36" s="3" t="s">
        <v>43</v>
      </c>
      <c r="B36" s="356"/>
      <c r="C36" s="356"/>
      <c r="D36" s="356"/>
    </row>
    <row r="37" spans="1:7">
      <c r="A37" s="3" t="s">
        <v>44</v>
      </c>
      <c r="B37" s="16"/>
    </row>
    <row r="38" spans="1:7">
      <c r="A38" s="3"/>
    </row>
    <row r="39" spans="1:7">
      <c r="A39" s="3" t="s">
        <v>45</v>
      </c>
      <c r="B39" s="12"/>
    </row>
    <row r="40" spans="1:7">
      <c r="A40" s="3" t="s">
        <v>46</v>
      </c>
      <c r="B40" s="12"/>
    </row>
    <row r="41" spans="1:7">
      <c r="A41" s="3" t="s">
        <v>47</v>
      </c>
      <c r="B41" s="12"/>
      <c r="C41" t="s">
        <v>41</v>
      </c>
    </row>
    <row r="689" spans="24:24">
      <c r="X689" s="15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1"/>
  <sheetViews>
    <sheetView zoomScale="90" zoomScaleNormal="90" workbookViewId="0">
      <selection activeCell="E8" sqref="E8"/>
    </sheetView>
  </sheetViews>
  <sheetFormatPr baseColWidth="10" defaultColWidth="11.33203125" defaultRowHeight="13"/>
  <cols>
    <col min="1" max="1" width="7.83203125" style="17" customWidth="1"/>
    <col min="2" max="13" width="14.83203125" style="17" customWidth="1"/>
    <col min="14" max="14" width="17.33203125" style="17" customWidth="1"/>
    <col min="15" max="16384" width="11.33203125" style="17"/>
  </cols>
  <sheetData>
    <row r="1" spans="1:13">
      <c r="A1" s="1" t="s">
        <v>0</v>
      </c>
      <c r="B1"/>
      <c r="C1"/>
      <c r="D1"/>
      <c r="G1" s="17">
        <f>InfoInicial!E1</f>
        <v>14</v>
      </c>
      <c r="H1" s="2"/>
    </row>
    <row r="2" spans="1:13" ht="16">
      <c r="A2" s="117" t="s">
        <v>235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ht="39">
      <c r="A3" s="118" t="s">
        <v>236</v>
      </c>
      <c r="B3" s="110" t="s">
        <v>237</v>
      </c>
      <c r="C3" s="110" t="s">
        <v>238</v>
      </c>
      <c r="D3" s="110" t="s">
        <v>239</v>
      </c>
      <c r="E3" s="110" t="s">
        <v>5</v>
      </c>
      <c r="F3" s="110" t="s">
        <v>240</v>
      </c>
      <c r="G3" s="110" t="s">
        <v>241</v>
      </c>
      <c r="H3" s="110" t="s">
        <v>242</v>
      </c>
      <c r="I3" s="110" t="s">
        <v>102</v>
      </c>
      <c r="J3" s="110" t="s">
        <v>243</v>
      </c>
      <c r="K3" s="110" t="s">
        <v>244</v>
      </c>
      <c r="L3" s="123" t="s">
        <v>245</v>
      </c>
      <c r="M3" s="124" t="s">
        <v>246</v>
      </c>
    </row>
    <row r="4" spans="1:13">
      <c r="A4" s="125">
        <v>0</v>
      </c>
      <c r="B4" s="126">
        <f>'E-Cal Inv.'!B8+'E-Cal Inv.'!C8</f>
        <v>35776483.831574999</v>
      </c>
      <c r="C4" s="63">
        <f>'E-Cal Inv.'!B18+'E-Cal Inv.'!C18</f>
        <v>12856442.143041447</v>
      </c>
      <c r="D4" s="63">
        <f>'E-IVA '!B26</f>
        <v>10212914.454669453</v>
      </c>
      <c r="E4" s="63">
        <v>0</v>
      </c>
      <c r="F4" s="63">
        <v>0</v>
      </c>
      <c r="G4" s="63">
        <f>SUM(B4:F4)</f>
        <v>58845840.429285899</v>
      </c>
      <c r="H4" s="63">
        <v>0</v>
      </c>
      <c r="I4" s="63">
        <v>0</v>
      </c>
      <c r="J4" s="63">
        <v>0</v>
      </c>
      <c r="K4" s="63">
        <v>0</v>
      </c>
      <c r="L4" s="127">
        <f>K4-G4</f>
        <v>-58845840.429285899</v>
      </c>
      <c r="M4" s="64">
        <f>L4</f>
        <v>-58845840.429285899</v>
      </c>
    </row>
    <row r="5" spans="1:13">
      <c r="A5" s="128">
        <v>1</v>
      </c>
      <c r="B5" s="120">
        <f>'E-Cal Inv.'!D8</f>
        <v>155250</v>
      </c>
      <c r="C5" s="65">
        <f>'E-Cal Inv.'!D18</f>
        <v>-9458549.4642396383</v>
      </c>
      <c r="D5" s="65">
        <f>'E-IVA '!C26</f>
        <v>-1953692.887490324</v>
      </c>
      <c r="E5" s="65">
        <f>'E-Costos'!B116</f>
        <v>237694.76770010954</v>
      </c>
      <c r="F5" s="65">
        <f>(H5-E5)*InfoInicial!$B$4</f>
        <v>2293754.5083060567</v>
      </c>
      <c r="G5" s="63">
        <f t="shared" ref="G5:G9" si="0">SUM(B5:F5)</f>
        <v>-8725543.0757237971</v>
      </c>
      <c r="H5" s="65">
        <f>'E-Costos'!B115</f>
        <v>6791279.0771459863</v>
      </c>
      <c r="I5" s="65">
        <f>'E-Inv AF y Am'!D56</f>
        <v>2515489.5784816667</v>
      </c>
      <c r="J5" s="65">
        <f>'E-IVA '!C28</f>
        <v>4170583.783549339</v>
      </c>
      <c r="K5" s="65">
        <f>SUM(H5:J5)</f>
        <v>13477352.439176992</v>
      </c>
      <c r="L5" s="127">
        <f t="shared" ref="L5:L9" si="1">K5-G5</f>
        <v>22202895.514900789</v>
      </c>
      <c r="M5" s="66">
        <f>M4+L5</f>
        <v>-36642944.91438511</v>
      </c>
    </row>
    <row r="6" spans="1:13">
      <c r="A6" s="128">
        <v>2</v>
      </c>
      <c r="B6" s="120">
        <f>'E-Cal Inv.'!E8</f>
        <v>0</v>
      </c>
      <c r="C6" s="65">
        <f>'E-Cal Inv.'!E18</f>
        <v>24505.853200201032</v>
      </c>
      <c r="D6" s="63">
        <f>'E-IVA '!D26</f>
        <v>5146.2291720422163</v>
      </c>
      <c r="E6" s="65">
        <f>'E-Costos'!C116</f>
        <v>520140.75863903284</v>
      </c>
      <c r="F6" s="65">
        <f>(H6-E6)*InfoInicial!$B$4</f>
        <v>5019358.3208666658</v>
      </c>
      <c r="G6" s="63">
        <f t="shared" si="0"/>
        <v>5569151.1618779423</v>
      </c>
      <c r="H6" s="65">
        <f>'E-Costos'!C115</f>
        <v>14861164.532543793</v>
      </c>
      <c r="I6" s="65">
        <f>'E-Inv AF y Am'!D56</f>
        <v>2515489.5784816667</v>
      </c>
      <c r="J6" s="65">
        <f>'E-IVA '!D28</f>
        <v>4093784.0128018325</v>
      </c>
      <c r="K6" s="65">
        <f t="shared" ref="K6:K9" si="2">SUM(H6:J6)</f>
        <v>21470438.123827294</v>
      </c>
      <c r="L6" s="127">
        <f t="shared" si="1"/>
        <v>15901286.961949352</v>
      </c>
      <c r="M6" s="66">
        <f t="shared" ref="M6:M9" si="3">M5+L6</f>
        <v>-20741657.952435758</v>
      </c>
    </row>
    <row r="7" spans="1:13">
      <c r="A7" s="128">
        <v>3</v>
      </c>
      <c r="B7" s="120">
        <f>'E-Cal Inv.'!F8</f>
        <v>0</v>
      </c>
      <c r="C7" s="65">
        <f>'E-Cal Inv.'!F18</f>
        <v>0</v>
      </c>
      <c r="D7" s="65">
        <f>'E-IVA '!E26</f>
        <v>0</v>
      </c>
      <c r="E7" s="65">
        <f>'E-Costos'!D116</f>
        <v>521225.10210034571</v>
      </c>
      <c r="F7" s="65">
        <f>(H7-E7)*InfoInicial!$B$4</f>
        <v>5029822.2352683349</v>
      </c>
      <c r="G7" s="63">
        <f t="shared" si="0"/>
        <v>5551047.3373686802</v>
      </c>
      <c r="H7" s="65">
        <f>'E-Costos'!D115</f>
        <v>14892145.774295591</v>
      </c>
      <c r="I7" s="65">
        <f>'E-Inv AF y Am'!D56</f>
        <v>2515489.5784816667</v>
      </c>
      <c r="J7" s="65">
        <f>'E-IVA '!E28</f>
        <v>0</v>
      </c>
      <c r="K7" s="65">
        <f t="shared" si="2"/>
        <v>17407635.352777258</v>
      </c>
      <c r="L7" s="127">
        <f t="shared" si="1"/>
        <v>11856588.015408577</v>
      </c>
      <c r="M7" s="66">
        <f t="shared" si="3"/>
        <v>-8885069.9370271806</v>
      </c>
    </row>
    <row r="8" spans="1:13">
      <c r="A8" s="128">
        <v>4</v>
      </c>
      <c r="B8" s="120">
        <f>'E-Cal Inv.'!G8</f>
        <v>0</v>
      </c>
      <c r="C8" s="65">
        <f>'E-Cal Inv.'!G18</f>
        <v>2012.2903200000292</v>
      </c>
      <c r="D8" s="63">
        <f>'E-IVA '!F26</f>
        <v>422.58096720000611</v>
      </c>
      <c r="E8" s="65">
        <f>'E-Costos'!E116</f>
        <v>521180.33461774967</v>
      </c>
      <c r="F8" s="65">
        <f>(H8-E8)*InfoInicial!$B$4</f>
        <v>5029390.2290612841</v>
      </c>
      <c r="G8" s="63">
        <f t="shared" si="0"/>
        <v>5553005.4349662336</v>
      </c>
      <c r="H8" s="65">
        <f>'E-Costos'!E115</f>
        <v>14890866.703364275</v>
      </c>
      <c r="I8" s="65">
        <f>'E-Inv AF y Am'!E56</f>
        <v>2512767.0784816667</v>
      </c>
      <c r="J8" s="65">
        <f>'E-IVA '!F28</f>
        <v>422.58096720000611</v>
      </c>
      <c r="K8" s="65">
        <f t="shared" si="2"/>
        <v>17404056.362813141</v>
      </c>
      <c r="L8" s="127">
        <f t="shared" si="1"/>
        <v>11851050.927846909</v>
      </c>
      <c r="M8" s="66">
        <f t="shared" si="3"/>
        <v>2965980.990819728</v>
      </c>
    </row>
    <row r="9" spans="1:13">
      <c r="A9" s="128">
        <v>5</v>
      </c>
      <c r="B9" s="120">
        <f>-'E-Inv AF y Am'!G56</f>
        <v>-23359730.939166665</v>
      </c>
      <c r="C9" s="65">
        <f>-'E-Cal Inv.'!I18</f>
        <v>-3424410.8223220096</v>
      </c>
      <c r="D9" s="65">
        <f>'E-IVA '!G26</f>
        <v>0</v>
      </c>
      <c r="E9" s="65">
        <f>'E-Costos'!F116</f>
        <v>521179.45676669275</v>
      </c>
      <c r="F9" s="65">
        <f>(H9-E9)*InfoInicial!$B$4</f>
        <v>5029381.7577985842</v>
      </c>
      <c r="G9" s="63">
        <f t="shared" si="0"/>
        <v>-21233580.546923399</v>
      </c>
      <c r="H9" s="65">
        <f>'E-Costos'!F115</f>
        <v>14890841.621905506</v>
      </c>
      <c r="I9" s="65">
        <f>'E-Inv AF y Am'!E56</f>
        <v>2512767.0784816667</v>
      </c>
      <c r="J9" s="65">
        <f>'E-IVA '!G28</f>
        <v>0</v>
      </c>
      <c r="K9" s="65">
        <f t="shared" si="2"/>
        <v>17403608.700387172</v>
      </c>
      <c r="L9" s="127">
        <f t="shared" si="1"/>
        <v>38637189.247310571</v>
      </c>
      <c r="M9" s="66">
        <f t="shared" si="3"/>
        <v>41603170.238130301</v>
      </c>
    </row>
    <row r="10" spans="1:13">
      <c r="A10" s="128"/>
      <c r="B10" s="121"/>
      <c r="C10" s="86"/>
      <c r="D10" s="86"/>
      <c r="E10" s="86"/>
      <c r="F10" s="86"/>
      <c r="G10" s="86"/>
      <c r="H10" s="86"/>
      <c r="I10" s="86"/>
      <c r="J10" s="86"/>
      <c r="K10" s="86"/>
      <c r="L10" s="115"/>
      <c r="M10" s="87"/>
    </row>
    <row r="11" spans="1:13">
      <c r="A11" s="129" t="s">
        <v>247</v>
      </c>
      <c r="B11" s="122">
        <f>SUM(B4:B9)</f>
        <v>12572002.892408334</v>
      </c>
      <c r="C11" s="122">
        <f t="shared" ref="C11:L11" si="4">SUM(C4:C9)</f>
        <v>0</v>
      </c>
      <c r="D11" s="122">
        <f t="shared" si="4"/>
        <v>8264790.377318372</v>
      </c>
      <c r="E11" s="122">
        <f t="shared" si="4"/>
        <v>2321420.4198239306</v>
      </c>
      <c r="F11" s="122">
        <f t="shared" si="4"/>
        <v>22401707.051300928</v>
      </c>
      <c r="G11" s="122">
        <f t="shared" si="4"/>
        <v>45559920.740851566</v>
      </c>
      <c r="H11" s="122">
        <f t="shared" si="4"/>
        <v>66326297.709255151</v>
      </c>
      <c r="I11" s="122">
        <f t="shared" si="4"/>
        <v>12572002.892408334</v>
      </c>
      <c r="J11" s="122">
        <f t="shared" si="4"/>
        <v>8264790.377318372</v>
      </c>
      <c r="K11" s="122">
        <f t="shared" si="4"/>
        <v>87163090.978981853</v>
      </c>
      <c r="L11" s="122">
        <f t="shared" si="4"/>
        <v>41603170.238130301</v>
      </c>
      <c r="M11" s="122"/>
    </row>
    <row r="13" spans="1:13">
      <c r="C13" s="130" t="s">
        <v>248</v>
      </c>
      <c r="D13" s="131">
        <f>M9</f>
        <v>41603170.238130301</v>
      </c>
    </row>
    <row r="14" spans="1:13">
      <c r="A14" s="76"/>
      <c r="C14" s="130" t="s">
        <v>249</v>
      </c>
      <c r="D14" s="346">
        <f>3+-M7/L8</f>
        <v>3.7497284410574561</v>
      </c>
      <c r="E14" s="17" t="s">
        <v>250</v>
      </c>
      <c r="F14" s="327"/>
    </row>
    <row r="15" spans="1:13">
      <c r="C15" s="130" t="s">
        <v>251</v>
      </c>
      <c r="D15" s="133">
        <f>IRR(L4:L9)</f>
        <v>0.19126949117449077</v>
      </c>
    </row>
    <row r="16" spans="1:13">
      <c r="L16" s="370" t="s">
        <v>252</v>
      </c>
      <c r="M16" s="370"/>
    </row>
    <row r="17" spans="10:13">
      <c r="J17" s="134"/>
      <c r="L17" s="370" t="s">
        <v>253</v>
      </c>
      <c r="M17" s="370"/>
    </row>
    <row r="18" spans="10:13">
      <c r="L18" s="135" t="s">
        <v>102</v>
      </c>
      <c r="M18" s="136" t="str">
        <f>IF(B11=I11,"OK","MAL")</f>
        <v>OK</v>
      </c>
    </row>
    <row r="19" spans="10:13">
      <c r="L19" s="135" t="s">
        <v>254</v>
      </c>
      <c r="M19" s="136" t="str">
        <f>IF(D11=J11,"OK","MAL")</f>
        <v>OK</v>
      </c>
    </row>
    <row r="20" spans="10:13">
      <c r="L20" s="135" t="s">
        <v>255</v>
      </c>
      <c r="M20" s="136" t="str">
        <f>IF(C11=0,"OK","MAL")</f>
        <v>OK</v>
      </c>
    </row>
    <row r="21" spans="10:13">
      <c r="L21" s="135" t="s">
        <v>256</v>
      </c>
      <c r="M21" s="136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54"/>
  <sheetViews>
    <sheetView zoomScale="90" zoomScaleNormal="90" workbookViewId="0">
      <selection activeCell="F1" sqref="F1"/>
    </sheetView>
  </sheetViews>
  <sheetFormatPr baseColWidth="10" defaultColWidth="11.33203125" defaultRowHeight="13"/>
  <cols>
    <col min="1" max="1" width="27.1640625" style="17" customWidth="1"/>
    <col min="2" max="9" width="15" style="17" customWidth="1"/>
    <col min="10" max="16384" width="11.33203125" style="17"/>
  </cols>
  <sheetData>
    <row r="1" spans="1:9">
      <c r="A1" s="1" t="s">
        <v>0</v>
      </c>
      <c r="B1"/>
      <c r="C1"/>
      <c r="D1"/>
      <c r="F1" s="137">
        <f>InfoInicial!E1</f>
        <v>14</v>
      </c>
      <c r="G1" s="2"/>
    </row>
    <row r="2" spans="1:9" ht="16">
      <c r="A2" s="138" t="s">
        <v>257</v>
      </c>
      <c r="B2" s="91"/>
      <c r="C2" s="91"/>
      <c r="D2" s="91"/>
      <c r="E2" s="91"/>
      <c r="F2" s="91"/>
      <c r="G2" s="92"/>
    </row>
    <row r="3" spans="1:9">
      <c r="A3" s="60" t="s">
        <v>94</v>
      </c>
      <c r="B3" s="371" t="s">
        <v>258</v>
      </c>
      <c r="C3" s="371"/>
      <c r="D3" s="371" t="s">
        <v>259</v>
      </c>
      <c r="E3" s="371"/>
      <c r="F3" s="372" t="s">
        <v>260</v>
      </c>
      <c r="G3" s="372"/>
    </row>
    <row r="4" spans="1:9">
      <c r="A4" s="60" t="s">
        <v>80</v>
      </c>
      <c r="B4" s="139" t="s">
        <v>261</v>
      </c>
      <c r="C4" s="139" t="s">
        <v>262</v>
      </c>
      <c r="D4" s="139" t="s">
        <v>261</v>
      </c>
      <c r="E4" s="139" t="s">
        <v>262</v>
      </c>
      <c r="F4" s="139" t="s">
        <v>261</v>
      </c>
      <c r="G4" s="140" t="s">
        <v>262</v>
      </c>
    </row>
    <row r="5" spans="1:9">
      <c r="A5" s="30" t="s">
        <v>263</v>
      </c>
      <c r="B5" s="65"/>
      <c r="C5" s="88"/>
      <c r="D5" s="65"/>
      <c r="E5" s="88"/>
      <c r="F5" s="65"/>
      <c r="G5" s="89"/>
    </row>
    <row r="6" spans="1:9">
      <c r="A6" s="28" t="s">
        <v>264</v>
      </c>
      <c r="B6" s="65"/>
      <c r="C6" s="88"/>
      <c r="D6" s="65"/>
      <c r="E6" s="88"/>
      <c r="F6" s="65"/>
      <c r="G6" s="89"/>
    </row>
    <row r="7" spans="1:9">
      <c r="A7" s="28" t="s">
        <v>265</v>
      </c>
      <c r="B7" s="65"/>
      <c r="C7" s="88"/>
      <c r="D7" s="65"/>
      <c r="E7" s="99"/>
      <c r="F7" s="65"/>
      <c r="G7" s="89"/>
    </row>
    <row r="8" spans="1:9">
      <c r="A8" s="36" t="s">
        <v>196</v>
      </c>
      <c r="B8" s="141"/>
      <c r="C8" s="142"/>
      <c r="D8" s="141"/>
      <c r="E8" s="142"/>
      <c r="F8" s="141"/>
      <c r="G8" s="143"/>
    </row>
    <row r="9" spans="1:9">
      <c r="A9" s="76"/>
      <c r="B9" s="56"/>
      <c r="C9" s="144"/>
      <c r="D9" s="56"/>
      <c r="E9" s="56"/>
      <c r="F9" s="56"/>
      <c r="G9" s="56"/>
    </row>
    <row r="10" spans="1:9" ht="16">
      <c r="A10" s="145" t="s">
        <v>266</v>
      </c>
      <c r="B10" s="146"/>
      <c r="C10" s="146"/>
      <c r="D10" s="146"/>
      <c r="E10" s="146"/>
      <c r="F10" s="146"/>
      <c r="G10" s="146"/>
      <c r="H10" s="146"/>
      <c r="I10" s="147"/>
    </row>
    <row r="11" spans="1:9">
      <c r="A11" s="148" t="s">
        <v>267</v>
      </c>
      <c r="B11" s="149" t="s">
        <v>268</v>
      </c>
      <c r="C11" s="149" t="s">
        <v>269</v>
      </c>
      <c r="D11" s="149" t="s">
        <v>270</v>
      </c>
      <c r="E11" s="149" t="s">
        <v>269</v>
      </c>
      <c r="F11" s="149" t="s">
        <v>271</v>
      </c>
      <c r="G11" s="149" t="s">
        <v>270</v>
      </c>
      <c r="H11" s="149"/>
      <c r="I11" s="150" t="s">
        <v>272</v>
      </c>
    </row>
    <row r="12" spans="1:9">
      <c r="A12" s="151"/>
      <c r="B12" s="152"/>
      <c r="C12" s="152" t="s">
        <v>273</v>
      </c>
      <c r="D12" s="152" t="s">
        <v>273</v>
      </c>
      <c r="E12" s="152" t="s">
        <v>41</v>
      </c>
      <c r="F12" s="152" t="s">
        <v>274</v>
      </c>
      <c r="G12" s="152" t="s">
        <v>41</v>
      </c>
      <c r="H12" s="152" t="s">
        <v>275</v>
      </c>
      <c r="I12" s="153" t="s">
        <v>276</v>
      </c>
    </row>
    <row r="13" spans="1:9">
      <c r="A13" s="154"/>
      <c r="B13" s="84"/>
      <c r="C13" s="84"/>
      <c r="D13" s="84"/>
      <c r="E13" s="84"/>
      <c r="F13" s="155"/>
      <c r="G13" s="84"/>
      <c r="H13" s="156"/>
      <c r="I13" s="85"/>
    </row>
    <row r="14" spans="1:9">
      <c r="A14" s="157"/>
      <c r="B14" s="65"/>
      <c r="C14" s="65"/>
      <c r="D14" s="65"/>
      <c r="E14" s="65"/>
      <c r="F14" s="29"/>
      <c r="G14" s="65"/>
      <c r="H14" s="99"/>
      <c r="I14" s="66"/>
    </row>
    <row r="15" spans="1:9">
      <c r="A15" s="157"/>
      <c r="B15" s="65"/>
      <c r="C15" s="65"/>
      <c r="D15" s="65"/>
      <c r="E15" s="65"/>
      <c r="F15" s="29"/>
      <c r="G15" s="65"/>
      <c r="H15" s="99"/>
      <c r="I15" s="66"/>
    </row>
    <row r="16" spans="1:9">
      <c r="A16" s="157"/>
      <c r="B16" s="65"/>
      <c r="C16" s="65"/>
      <c r="D16" s="65"/>
      <c r="E16" s="65"/>
      <c r="F16" s="29"/>
      <c r="G16" s="65"/>
      <c r="H16" s="99"/>
      <c r="I16" s="66"/>
    </row>
    <row r="17" spans="1:9">
      <c r="A17" s="157"/>
      <c r="B17" s="65"/>
      <c r="C17" s="65"/>
      <c r="D17" s="65"/>
      <c r="E17" s="65"/>
      <c r="F17" s="29"/>
      <c r="G17" s="65"/>
      <c r="H17" s="99"/>
      <c r="I17" s="66"/>
    </row>
    <row r="18" spans="1:9">
      <c r="A18" s="157"/>
      <c r="B18" s="65"/>
      <c r="C18" s="65"/>
      <c r="D18" s="65"/>
      <c r="E18" s="65"/>
      <c r="F18" s="29"/>
      <c r="G18" s="65"/>
      <c r="H18" s="99"/>
      <c r="I18" s="66"/>
    </row>
    <row r="19" spans="1:9">
      <c r="A19" s="157"/>
      <c r="B19" s="65"/>
      <c r="C19" s="65"/>
      <c r="D19" s="65"/>
      <c r="E19" s="65"/>
      <c r="F19" s="29"/>
      <c r="G19" s="65"/>
      <c r="H19" s="99"/>
      <c r="I19" s="66"/>
    </row>
    <row r="20" spans="1:9">
      <c r="A20" s="158"/>
      <c r="B20" s="71"/>
      <c r="C20" s="71"/>
      <c r="D20" s="80"/>
      <c r="E20" s="71"/>
      <c r="F20" s="33"/>
      <c r="G20" s="80"/>
      <c r="H20" s="159"/>
      <c r="I20" s="81"/>
    </row>
    <row r="21" spans="1:9">
      <c r="A21" s="160" t="s">
        <v>277</v>
      </c>
      <c r="B21" s="161"/>
      <c r="C21" s="161"/>
      <c r="D21" s="162"/>
      <c r="E21" s="161"/>
      <c r="F21" s="163"/>
      <c r="G21" s="162"/>
      <c r="H21" s="164"/>
      <c r="I21" s="162"/>
    </row>
    <row r="22" spans="1:9">
      <c r="A22" s="154"/>
      <c r="B22" s="84"/>
      <c r="C22" s="84"/>
      <c r="D22" s="63"/>
      <c r="E22" s="84"/>
      <c r="F22" s="155"/>
      <c r="G22" s="63"/>
      <c r="H22" s="156"/>
      <c r="I22" s="64"/>
    </row>
    <row r="23" spans="1:9">
      <c r="A23" s="157"/>
      <c r="B23" s="65"/>
      <c r="C23" s="65"/>
      <c r="D23" s="65"/>
      <c r="E23" s="65"/>
      <c r="F23" s="29"/>
      <c r="G23" s="65"/>
      <c r="H23" s="99"/>
      <c r="I23" s="66"/>
    </row>
    <row r="24" spans="1:9">
      <c r="A24" s="165"/>
      <c r="B24" s="65"/>
      <c r="C24" s="65"/>
      <c r="D24" s="65"/>
      <c r="E24" s="65"/>
      <c r="F24" s="65"/>
      <c r="G24" s="65"/>
      <c r="H24" s="88"/>
      <c r="I24" s="66"/>
    </row>
    <row r="25" spans="1:9">
      <c r="A25" s="165"/>
      <c r="B25" s="65"/>
      <c r="C25" s="65"/>
      <c r="D25" s="65"/>
      <c r="E25" s="65"/>
      <c r="F25" s="65"/>
      <c r="G25" s="65"/>
      <c r="H25" s="88"/>
      <c r="I25" s="66"/>
    </row>
    <row r="26" spans="1:9">
      <c r="A26" s="165"/>
      <c r="B26" s="65"/>
      <c r="C26" s="65"/>
      <c r="D26" s="65"/>
      <c r="E26" s="65"/>
      <c r="F26" s="65"/>
      <c r="G26" s="65"/>
      <c r="H26" s="88"/>
      <c r="I26" s="66"/>
    </row>
    <row r="27" spans="1:9">
      <c r="A27" s="165"/>
      <c r="B27" s="65"/>
      <c r="C27" s="65"/>
      <c r="D27" s="65"/>
      <c r="E27" s="65"/>
      <c r="F27" s="65"/>
      <c r="G27" s="65"/>
      <c r="H27" s="88"/>
      <c r="I27" s="66"/>
    </row>
    <row r="28" spans="1:9">
      <c r="A28" s="165"/>
      <c r="B28" s="65"/>
      <c r="C28" s="65"/>
      <c r="D28" s="65"/>
      <c r="E28" s="65"/>
      <c r="F28" s="65"/>
      <c r="G28" s="65"/>
      <c r="H28" s="88"/>
      <c r="I28" s="66"/>
    </row>
    <row r="29" spans="1:9">
      <c r="A29" s="165"/>
      <c r="B29" s="65"/>
      <c r="C29" s="65"/>
      <c r="D29" s="65"/>
      <c r="E29" s="65"/>
      <c r="F29" s="65"/>
      <c r="G29" s="65"/>
      <c r="H29" s="88"/>
      <c r="I29" s="66"/>
    </row>
    <row r="30" spans="1:9">
      <c r="A30" s="165"/>
      <c r="B30" s="65"/>
      <c r="C30" s="65"/>
      <c r="D30" s="65"/>
      <c r="E30" s="65"/>
      <c r="F30" s="65"/>
      <c r="G30" s="65"/>
      <c r="H30" s="88"/>
      <c r="I30" s="66"/>
    </row>
    <row r="31" spans="1:9">
      <c r="A31" s="165"/>
      <c r="B31" s="65"/>
      <c r="C31" s="65"/>
      <c r="D31" s="65"/>
      <c r="E31" s="65"/>
      <c r="F31" s="65"/>
      <c r="G31" s="65"/>
      <c r="H31" s="88"/>
      <c r="I31" s="66"/>
    </row>
    <row r="32" spans="1:9">
      <c r="A32" s="165"/>
      <c r="B32" s="65"/>
      <c r="C32" s="65"/>
      <c r="D32" s="65"/>
      <c r="E32" s="65"/>
      <c r="F32" s="65"/>
      <c r="G32" s="65"/>
      <c r="H32" s="88"/>
      <c r="I32" s="66"/>
    </row>
    <row r="33" spans="1:9">
      <c r="A33" s="165"/>
      <c r="B33" s="65"/>
      <c r="C33" s="65"/>
      <c r="D33" s="65"/>
      <c r="E33" s="65"/>
      <c r="F33" s="65"/>
      <c r="G33" s="65"/>
      <c r="H33" s="88"/>
      <c r="I33" s="66"/>
    </row>
    <row r="34" spans="1:9">
      <c r="A34" s="165"/>
      <c r="B34" s="65"/>
      <c r="C34" s="65"/>
      <c r="D34" s="65"/>
      <c r="E34" s="65"/>
      <c r="F34" s="65"/>
      <c r="G34" s="65"/>
      <c r="H34" s="88"/>
      <c r="I34" s="66"/>
    </row>
    <row r="35" spans="1:9">
      <c r="A35" s="165"/>
      <c r="B35" s="65"/>
      <c r="C35" s="65"/>
      <c r="D35" s="65"/>
      <c r="E35" s="65"/>
      <c r="F35" s="29"/>
      <c r="G35" s="65"/>
      <c r="H35" s="99"/>
      <c r="I35" s="66"/>
    </row>
    <row r="36" spans="1:9">
      <c r="A36" s="165"/>
      <c r="B36" s="65"/>
      <c r="C36" s="65"/>
      <c r="D36" s="65"/>
      <c r="E36" s="65"/>
      <c r="F36" s="65"/>
      <c r="G36" s="65"/>
      <c r="H36" s="88"/>
      <c r="I36" s="66"/>
    </row>
    <row r="37" spans="1:9">
      <c r="A37" s="165"/>
      <c r="B37" s="65"/>
      <c r="C37" s="65"/>
      <c r="D37" s="65"/>
      <c r="E37" s="65"/>
      <c r="F37" s="29"/>
      <c r="G37" s="65"/>
      <c r="H37" s="99"/>
      <c r="I37" s="66"/>
    </row>
    <row r="38" spans="1:9">
      <c r="A38" s="165"/>
      <c r="B38" s="65"/>
      <c r="C38" s="65"/>
      <c r="D38" s="65"/>
      <c r="E38" s="65"/>
      <c r="F38" s="65"/>
      <c r="G38" s="65"/>
      <c r="H38" s="88"/>
      <c r="I38" s="66"/>
    </row>
    <row r="39" spans="1:9">
      <c r="A39" s="165"/>
      <c r="B39" s="65"/>
      <c r="C39" s="65"/>
      <c r="D39" s="65"/>
      <c r="E39" s="65"/>
      <c r="F39" s="29"/>
      <c r="G39" s="65"/>
      <c r="H39" s="99"/>
      <c r="I39" s="66"/>
    </row>
    <row r="40" spans="1:9">
      <c r="A40" s="165"/>
      <c r="B40" s="65"/>
      <c r="C40" s="65"/>
      <c r="D40" s="65"/>
      <c r="E40" s="65"/>
      <c r="F40" s="65"/>
      <c r="G40" s="65"/>
      <c r="H40" s="88"/>
      <c r="I40" s="66"/>
    </row>
    <row r="41" spans="1:9">
      <c r="A41" s="165"/>
      <c r="B41" s="65"/>
      <c r="C41" s="65"/>
      <c r="D41" s="65"/>
      <c r="E41" s="65"/>
      <c r="F41" s="29"/>
      <c r="G41" s="65"/>
      <c r="H41" s="99"/>
      <c r="I41" s="66"/>
    </row>
    <row r="42" spans="1:9">
      <c r="A42" s="165"/>
      <c r="B42" s="65"/>
      <c r="C42" s="65"/>
      <c r="D42" s="65"/>
      <c r="E42" s="65"/>
      <c r="F42" s="65"/>
      <c r="G42" s="65"/>
      <c r="H42" s="88"/>
      <c r="I42" s="66"/>
    </row>
    <row r="43" spans="1:9">
      <c r="A43" s="165"/>
      <c r="B43" s="65"/>
      <c r="C43" s="65"/>
      <c r="D43" s="65"/>
      <c r="E43" s="65"/>
      <c r="F43" s="29"/>
      <c r="G43" s="65"/>
      <c r="H43" s="99"/>
      <c r="I43" s="66"/>
    </row>
    <row r="44" spans="1:9">
      <c r="A44" s="165"/>
      <c r="B44" s="65"/>
      <c r="C44" s="65"/>
      <c r="D44" s="65"/>
      <c r="E44" s="65"/>
      <c r="F44" s="65"/>
      <c r="G44" s="65"/>
      <c r="H44" s="88"/>
      <c r="I44" s="66"/>
    </row>
    <row r="45" spans="1:9">
      <c r="A45" s="165"/>
      <c r="B45" s="65"/>
      <c r="C45" s="65"/>
      <c r="D45" s="65"/>
      <c r="E45" s="65"/>
      <c r="F45" s="29"/>
      <c r="G45" s="65"/>
      <c r="H45" s="99"/>
      <c r="I45" s="66"/>
    </row>
    <row r="46" spans="1:9">
      <c r="A46" s="165"/>
      <c r="B46" s="65"/>
      <c r="C46" s="65"/>
      <c r="D46" s="65"/>
      <c r="E46" s="65"/>
      <c r="F46" s="65"/>
      <c r="G46" s="65"/>
      <c r="H46" s="88"/>
      <c r="I46" s="66"/>
    </row>
    <row r="47" spans="1:9">
      <c r="A47" s="165"/>
      <c r="B47" s="65"/>
      <c r="C47" s="65"/>
      <c r="D47" s="65"/>
      <c r="E47" s="65"/>
      <c r="F47" s="29"/>
      <c r="G47" s="65"/>
      <c r="H47" s="99"/>
      <c r="I47" s="66"/>
    </row>
    <row r="48" spans="1:9">
      <c r="A48" s="165"/>
      <c r="B48" s="65"/>
      <c r="C48" s="65"/>
      <c r="D48" s="65"/>
      <c r="E48" s="65"/>
      <c r="F48" s="65"/>
      <c r="G48" s="65"/>
      <c r="H48" s="88"/>
      <c r="I48" s="66"/>
    </row>
    <row r="49" spans="1:9">
      <c r="A49" s="165"/>
      <c r="B49" s="65"/>
      <c r="C49" s="65"/>
      <c r="D49" s="65"/>
      <c r="E49" s="65"/>
      <c r="F49" s="29"/>
      <c r="G49" s="65"/>
      <c r="H49" s="99"/>
      <c r="I49" s="66"/>
    </row>
    <row r="50" spans="1:9">
      <c r="A50" s="165"/>
      <c r="B50" s="65"/>
      <c r="C50" s="65"/>
      <c r="D50" s="65"/>
      <c r="E50" s="65"/>
      <c r="F50" s="65"/>
      <c r="G50" s="65"/>
      <c r="H50" s="88"/>
      <c r="I50" s="66"/>
    </row>
    <row r="51" spans="1:9">
      <c r="A51" s="165"/>
      <c r="B51" s="65"/>
      <c r="C51" s="65"/>
      <c r="D51" s="65"/>
      <c r="E51" s="65"/>
      <c r="F51" s="29"/>
      <c r="G51" s="65"/>
      <c r="H51" s="99"/>
      <c r="I51" s="66"/>
    </row>
    <row r="52" spans="1:9">
      <c r="A52" s="165"/>
      <c r="B52" s="65"/>
      <c r="C52" s="65"/>
      <c r="D52" s="65"/>
      <c r="E52" s="65"/>
      <c r="F52" s="65"/>
      <c r="G52" s="65"/>
      <c r="H52" s="88"/>
      <c r="I52" s="66"/>
    </row>
    <row r="53" spans="1:9">
      <c r="A53" s="157"/>
      <c r="B53" s="65"/>
      <c r="C53" s="65"/>
      <c r="D53" s="65"/>
      <c r="E53" s="65"/>
      <c r="F53" s="29"/>
      <c r="G53" s="65"/>
      <c r="H53" s="99"/>
      <c r="I53" s="66"/>
    </row>
    <row r="54" spans="1:9">
      <c r="A54" s="83" t="s">
        <v>278</v>
      </c>
      <c r="B54" s="141"/>
      <c r="C54" s="141"/>
      <c r="D54" s="141"/>
      <c r="E54" s="141"/>
      <c r="F54" s="166"/>
      <c r="G54" s="141"/>
      <c r="H54" s="167"/>
      <c r="I54" s="168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4"/>
  <sheetViews>
    <sheetView zoomScale="90" zoomScaleNormal="90" workbookViewId="0">
      <selection activeCell="B4" sqref="B4"/>
    </sheetView>
  </sheetViews>
  <sheetFormatPr baseColWidth="10" defaultColWidth="11.33203125" defaultRowHeight="13"/>
  <cols>
    <col min="1" max="1" width="32" style="169" customWidth="1"/>
    <col min="2" max="7" width="13.83203125" style="169" customWidth="1"/>
    <col min="8" max="8" width="17.33203125" style="169" customWidth="1"/>
    <col min="9" max="16384" width="11.33203125" style="169"/>
  </cols>
  <sheetData>
    <row r="1" spans="1:7">
      <c r="A1" s="1" t="s">
        <v>0</v>
      </c>
      <c r="B1"/>
      <c r="C1"/>
      <c r="D1"/>
      <c r="E1" s="137"/>
      <c r="F1" s="2">
        <f>InfoInicial!E1</f>
        <v>14</v>
      </c>
    </row>
    <row r="2" spans="1:7" ht="16">
      <c r="A2" s="170" t="s">
        <v>279</v>
      </c>
      <c r="B2" s="171"/>
      <c r="C2" s="171"/>
      <c r="D2" s="171"/>
      <c r="E2" s="171"/>
      <c r="F2" s="171"/>
      <c r="G2" s="172"/>
    </row>
    <row r="3" spans="1:7">
      <c r="A3" s="173" t="s">
        <v>94</v>
      </c>
      <c r="B3" s="174" t="s">
        <v>54</v>
      </c>
      <c r="C3" s="174" t="s">
        <v>95</v>
      </c>
      <c r="D3" s="174" t="s">
        <v>96</v>
      </c>
      <c r="E3" s="174" t="s">
        <v>97</v>
      </c>
      <c r="F3" s="175" t="s">
        <v>98</v>
      </c>
      <c r="G3" s="176" t="s">
        <v>196</v>
      </c>
    </row>
    <row r="4" spans="1:7">
      <c r="A4" s="169" t="s">
        <v>280</v>
      </c>
      <c r="B4" s="65"/>
      <c r="C4" s="65"/>
      <c r="D4" s="65"/>
      <c r="E4" s="65"/>
      <c r="F4" s="114"/>
      <c r="G4" s="66"/>
    </row>
    <row r="5" spans="1:7">
      <c r="A5" s="169" t="s">
        <v>281</v>
      </c>
      <c r="B5" s="65"/>
      <c r="C5" s="65"/>
      <c r="D5" s="65"/>
      <c r="E5" s="65"/>
      <c r="F5" s="114"/>
      <c r="G5" s="66"/>
    </row>
    <row r="6" spans="1:7">
      <c r="A6" s="169" t="s">
        <v>282</v>
      </c>
      <c r="B6" s="65"/>
      <c r="C6" s="65"/>
      <c r="D6" s="65"/>
      <c r="E6" s="65"/>
      <c r="F6" s="114"/>
      <c r="G6" s="66"/>
    </row>
    <row r="7" spans="1:7">
      <c r="A7" s="169" t="s">
        <v>119</v>
      </c>
      <c r="B7" s="86"/>
      <c r="C7" s="86"/>
      <c r="D7" s="86"/>
      <c r="E7" s="86"/>
      <c r="F7" s="115"/>
      <c r="G7" s="87"/>
    </row>
    <row r="8" spans="1:7">
      <c r="A8" s="169" t="s">
        <v>283</v>
      </c>
      <c r="B8" s="65"/>
      <c r="C8" s="65"/>
      <c r="D8" s="65"/>
      <c r="E8" s="65"/>
      <c r="F8" s="114"/>
      <c r="G8" s="66"/>
    </row>
    <row r="9" spans="1:7">
      <c r="A9" s="169" t="s">
        <v>284</v>
      </c>
      <c r="B9" s="65"/>
      <c r="C9" s="65"/>
      <c r="D9" s="65"/>
      <c r="E9" s="65"/>
      <c r="F9" s="114"/>
      <c r="G9" s="66"/>
    </row>
    <row r="10" spans="1:7">
      <c r="A10" s="169" t="s">
        <v>285</v>
      </c>
      <c r="B10" s="65"/>
      <c r="C10" s="65"/>
      <c r="D10" s="65"/>
      <c r="E10" s="65"/>
      <c r="F10" s="114"/>
      <c r="G10" s="66"/>
    </row>
    <row r="11" spans="1:7">
      <c r="A11" s="177" t="s">
        <v>286</v>
      </c>
      <c r="B11" s="65"/>
      <c r="C11" s="65"/>
      <c r="D11" s="65"/>
      <c r="E11" s="65"/>
      <c r="F11" s="114"/>
      <c r="G11" s="66"/>
    </row>
    <row r="12" spans="1:7">
      <c r="A12" s="169" t="s">
        <v>287</v>
      </c>
      <c r="B12" s="65"/>
      <c r="C12" s="65"/>
      <c r="D12" s="65"/>
      <c r="E12" s="65"/>
      <c r="F12" s="114"/>
      <c r="G12" s="66"/>
    </row>
    <row r="13" spans="1:7">
      <c r="A13" s="178" t="s">
        <v>288</v>
      </c>
      <c r="B13" s="65"/>
      <c r="C13" s="65"/>
      <c r="D13" s="65"/>
      <c r="E13" s="65"/>
      <c r="F13" s="114"/>
      <c r="G13" s="66"/>
    </row>
    <row r="14" spans="1:7">
      <c r="A14" s="179" t="s">
        <v>289</v>
      </c>
      <c r="B14" s="71"/>
      <c r="C14" s="71"/>
      <c r="D14" s="71"/>
      <c r="E14" s="71"/>
      <c r="F14" s="116"/>
      <c r="G14" s="72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P45"/>
  <sheetViews>
    <sheetView zoomScale="90" zoomScaleNormal="90" workbookViewId="0">
      <selection activeCell="D1" sqref="D1"/>
    </sheetView>
  </sheetViews>
  <sheetFormatPr baseColWidth="10" defaultColWidth="11.33203125" defaultRowHeight="13"/>
  <cols>
    <col min="1" max="1" width="54.33203125" style="169" customWidth="1"/>
    <col min="2" max="4" width="13.83203125" style="169" customWidth="1"/>
    <col min="5" max="250" width="11.33203125" style="169" customWidth="1"/>
  </cols>
  <sheetData>
    <row r="1" spans="1:5">
      <c r="A1" s="1" t="s">
        <v>0</v>
      </c>
      <c r="B1"/>
      <c r="C1"/>
      <c r="D1">
        <f>InfoInicial!E1</f>
        <v>14</v>
      </c>
      <c r="E1" s="2"/>
    </row>
    <row r="2" spans="1:5" ht="16">
      <c r="A2" s="170" t="s">
        <v>290</v>
      </c>
      <c r="B2" s="171"/>
      <c r="C2" s="171"/>
      <c r="D2" s="172"/>
    </row>
    <row r="3" spans="1:5">
      <c r="A3" s="173" t="s">
        <v>94</v>
      </c>
      <c r="B3" s="180" t="s">
        <v>53</v>
      </c>
      <c r="C3" s="180" t="s">
        <v>54</v>
      </c>
      <c r="D3" s="176" t="s">
        <v>196</v>
      </c>
    </row>
    <row r="4" spans="1:5">
      <c r="A4" s="177" t="s">
        <v>291</v>
      </c>
      <c r="B4" s="86"/>
      <c r="C4" s="86"/>
      <c r="D4" s="87"/>
    </row>
    <row r="5" spans="1:5">
      <c r="B5" s="65"/>
      <c r="C5" s="65"/>
      <c r="D5" s="66"/>
    </row>
    <row r="6" spans="1:5">
      <c r="A6" s="169" t="s">
        <v>292</v>
      </c>
      <c r="B6" s="65"/>
      <c r="C6" s="65"/>
      <c r="D6" s="66"/>
    </row>
    <row r="7" spans="1:5">
      <c r="A7" s="169" t="s">
        <v>293</v>
      </c>
      <c r="B7" s="65"/>
      <c r="C7" s="65"/>
      <c r="D7" s="66"/>
    </row>
    <row r="8" spans="1:5">
      <c r="A8" s="177" t="s">
        <v>294</v>
      </c>
      <c r="B8" s="65"/>
      <c r="C8" s="65"/>
      <c r="D8" s="66"/>
    </row>
    <row r="9" spans="1:5">
      <c r="A9" s="178" t="s">
        <v>295</v>
      </c>
      <c r="B9" s="65"/>
      <c r="C9" s="65"/>
      <c r="D9" s="66"/>
    </row>
    <row r="10" spans="1:5">
      <c r="A10" s="177" t="s">
        <v>296</v>
      </c>
      <c r="B10" s="65"/>
      <c r="C10" s="65"/>
      <c r="D10" s="66"/>
    </row>
    <row r="11" spans="1:5">
      <c r="A11" s="177" t="s">
        <v>297</v>
      </c>
      <c r="B11" s="86"/>
      <c r="C11" s="86"/>
      <c r="D11" s="87"/>
    </row>
    <row r="12" spans="1:5">
      <c r="A12" s="178" t="s">
        <v>298</v>
      </c>
      <c r="B12" s="65"/>
      <c r="C12" s="65"/>
      <c r="D12" s="66"/>
    </row>
    <row r="13" spans="1:5">
      <c r="A13" s="169" t="s">
        <v>299</v>
      </c>
      <c r="B13" s="65"/>
      <c r="C13" s="65"/>
      <c r="D13" s="66"/>
    </row>
    <row r="14" spans="1:5">
      <c r="A14" s="169" t="s">
        <v>300</v>
      </c>
      <c r="B14" s="65"/>
      <c r="C14" s="65"/>
      <c r="D14" s="66"/>
    </row>
    <row r="15" spans="1:5">
      <c r="A15" s="177" t="s">
        <v>301</v>
      </c>
      <c r="B15" s="65"/>
      <c r="C15" s="65"/>
      <c r="D15" s="66"/>
    </row>
    <row r="16" spans="1:5">
      <c r="A16" s="169" t="s">
        <v>119</v>
      </c>
      <c r="B16" s="86"/>
      <c r="C16" s="86"/>
      <c r="D16" s="87"/>
    </row>
    <row r="17" spans="1:5">
      <c r="A17" s="169" t="s">
        <v>302</v>
      </c>
      <c r="B17" s="65"/>
      <c r="C17" s="65"/>
      <c r="D17" s="66"/>
    </row>
    <row r="18" spans="1:5">
      <c r="A18" s="169" t="s">
        <v>303</v>
      </c>
      <c r="B18" s="65"/>
      <c r="C18" s="65"/>
      <c r="D18" s="66"/>
    </row>
    <row r="19" spans="1:5">
      <c r="A19" s="169" t="s">
        <v>304</v>
      </c>
      <c r="B19" s="65"/>
      <c r="C19" s="65"/>
      <c r="D19" s="66"/>
    </row>
    <row r="20" spans="1:5">
      <c r="A20" s="177" t="s">
        <v>305</v>
      </c>
      <c r="B20" s="65"/>
      <c r="C20" s="65"/>
      <c r="D20" s="66"/>
    </row>
    <row r="21" spans="1:5">
      <c r="A21" s="169" t="s">
        <v>254</v>
      </c>
      <c r="B21" s="65"/>
      <c r="C21" s="65"/>
      <c r="D21" s="66"/>
    </row>
    <row r="22" spans="1:5">
      <c r="A22" s="177" t="s">
        <v>306</v>
      </c>
      <c r="B22" s="65"/>
      <c r="C22" s="65"/>
      <c r="D22" s="66"/>
    </row>
    <row r="23" spans="1:5">
      <c r="A23" s="177" t="s">
        <v>307</v>
      </c>
      <c r="B23" s="65"/>
      <c r="C23" s="65"/>
      <c r="D23" s="66"/>
    </row>
    <row r="24" spans="1:5">
      <c r="A24" s="177" t="s">
        <v>308</v>
      </c>
      <c r="B24" s="86"/>
      <c r="C24" s="86"/>
      <c r="D24" s="87"/>
    </row>
    <row r="25" spans="1:5">
      <c r="A25" s="169" t="s">
        <v>309</v>
      </c>
      <c r="B25" s="65"/>
      <c r="C25" s="65"/>
      <c r="D25" s="66"/>
    </row>
    <row r="26" spans="1:5">
      <c r="A26" s="169" t="s">
        <v>310</v>
      </c>
      <c r="B26" s="65"/>
      <c r="C26" s="65"/>
      <c r="D26" s="66"/>
    </row>
    <row r="27" spans="1:5">
      <c r="A27" s="177" t="s">
        <v>311</v>
      </c>
      <c r="B27" s="65"/>
      <c r="C27" s="65"/>
      <c r="D27" s="66"/>
      <c r="E27" s="181"/>
    </row>
    <row r="28" spans="1:5">
      <c r="A28" s="177" t="s">
        <v>312</v>
      </c>
      <c r="B28" s="86"/>
      <c r="C28" s="86"/>
      <c r="D28" s="115"/>
      <c r="E28" s="182" t="s">
        <v>313</v>
      </c>
    </row>
    <row r="29" spans="1:5">
      <c r="A29" s="177" t="s">
        <v>314</v>
      </c>
      <c r="B29" s="65"/>
      <c r="C29" s="65"/>
      <c r="D29" s="114"/>
      <c r="E29" s="89"/>
    </row>
    <row r="30" spans="1:5">
      <c r="A30" s="177" t="s">
        <v>315</v>
      </c>
      <c r="B30" s="65"/>
      <c r="C30" s="65"/>
      <c r="D30" s="114"/>
      <c r="E30" s="89"/>
    </row>
    <row r="31" spans="1:5">
      <c r="A31" s="177" t="s">
        <v>316</v>
      </c>
      <c r="B31" s="65"/>
      <c r="C31" s="65"/>
      <c r="D31" s="114"/>
      <c r="E31" s="89"/>
    </row>
    <row r="32" spans="1:5">
      <c r="A32" s="179" t="s">
        <v>196</v>
      </c>
      <c r="B32" s="71"/>
      <c r="C32" s="71"/>
      <c r="D32" s="116"/>
      <c r="E32" s="82"/>
    </row>
    <row r="34" spans="1:6" ht="16">
      <c r="A34" s="170" t="s">
        <v>317</v>
      </c>
      <c r="B34" s="171"/>
      <c r="C34" s="171"/>
      <c r="D34" s="171"/>
      <c r="E34" s="171"/>
      <c r="F34" s="171"/>
    </row>
    <row r="35" spans="1:6">
      <c r="A35" s="173" t="s">
        <v>94</v>
      </c>
      <c r="B35" s="174" t="s">
        <v>54</v>
      </c>
      <c r="C35" s="174" t="s">
        <v>95</v>
      </c>
      <c r="D35" s="174" t="s">
        <v>96</v>
      </c>
      <c r="E35" s="174" t="s">
        <v>97</v>
      </c>
      <c r="F35" s="174" t="s">
        <v>98</v>
      </c>
    </row>
    <row r="36" spans="1:6">
      <c r="A36" s="183" t="s">
        <v>159</v>
      </c>
      <c r="B36" s="29"/>
      <c r="C36" s="29"/>
      <c r="D36" s="29"/>
      <c r="E36" s="29"/>
      <c r="F36" s="29"/>
    </row>
    <row r="37" spans="1:6">
      <c r="A37" s="184" t="s">
        <v>158</v>
      </c>
      <c r="B37" s="29"/>
      <c r="C37" s="29"/>
      <c r="D37" s="29"/>
      <c r="E37" s="29"/>
      <c r="F37" s="29"/>
    </row>
    <row r="38" spans="1:6">
      <c r="A38" s="183" t="s">
        <v>161</v>
      </c>
      <c r="B38" s="29"/>
      <c r="C38" s="29"/>
      <c r="D38" s="29"/>
      <c r="E38" s="29"/>
      <c r="F38" s="29"/>
    </row>
    <row r="39" spans="1:6">
      <c r="A39" s="184" t="s">
        <v>160</v>
      </c>
      <c r="B39" s="29"/>
      <c r="C39" s="29"/>
      <c r="D39" s="29"/>
      <c r="E39" s="29"/>
      <c r="F39" s="29"/>
    </row>
    <row r="40" spans="1:6">
      <c r="A40" s="183" t="s">
        <v>163</v>
      </c>
      <c r="B40" s="29"/>
      <c r="C40" s="29"/>
      <c r="D40" s="29"/>
      <c r="E40" s="29"/>
      <c r="F40" s="29"/>
    </row>
    <row r="41" spans="1:6">
      <c r="A41" s="184" t="s">
        <v>162</v>
      </c>
      <c r="B41" s="29"/>
      <c r="C41" s="29"/>
      <c r="D41" s="29"/>
      <c r="E41" s="29"/>
      <c r="F41" s="29"/>
    </row>
    <row r="42" spans="1:6">
      <c r="A42" s="184" t="s">
        <v>318</v>
      </c>
      <c r="B42" s="29"/>
      <c r="C42" s="29"/>
      <c r="D42" s="29"/>
      <c r="E42" s="29"/>
      <c r="F42" s="29"/>
    </row>
    <row r="43" spans="1:6">
      <c r="A43" s="183" t="s">
        <v>164</v>
      </c>
      <c r="B43" s="29"/>
      <c r="C43" s="29"/>
      <c r="D43" s="29"/>
      <c r="E43" s="29"/>
      <c r="F43" s="29"/>
    </row>
    <row r="44" spans="1:6">
      <c r="A44" s="185" t="s">
        <v>165</v>
      </c>
      <c r="B44" s="33"/>
      <c r="C44" s="33"/>
      <c r="D44" s="33"/>
      <c r="E44" s="33"/>
      <c r="F44" s="33"/>
    </row>
    <row r="45" spans="1:6" ht="16">
      <c r="A45" s="186" t="s">
        <v>319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21"/>
  <sheetViews>
    <sheetView zoomScale="90" zoomScaleNormal="90" workbookViewId="0">
      <selection activeCell="E1" sqref="E1"/>
    </sheetView>
  </sheetViews>
  <sheetFormatPr baseColWidth="10" defaultColWidth="11.33203125" defaultRowHeight="13"/>
  <cols>
    <col min="1" max="1" width="42.83203125" style="169" customWidth="1"/>
    <col min="2" max="7" width="13.83203125" style="169" customWidth="1"/>
    <col min="8" max="8" width="17.33203125" style="169" customWidth="1"/>
    <col min="9" max="16384" width="11.33203125" style="169"/>
  </cols>
  <sheetData>
    <row r="1" spans="1:7">
      <c r="A1" s="1" t="s">
        <v>0</v>
      </c>
      <c r="B1"/>
      <c r="C1"/>
      <c r="D1"/>
      <c r="E1" s="2">
        <f>InfoInicial!E1</f>
        <v>14</v>
      </c>
    </row>
    <row r="2" spans="1:7" ht="16">
      <c r="A2" s="170" t="s">
        <v>215</v>
      </c>
      <c r="B2" s="171"/>
      <c r="C2" s="171"/>
      <c r="D2" s="171"/>
      <c r="E2" s="171"/>
      <c r="F2" s="171"/>
      <c r="G2" s="172"/>
    </row>
    <row r="3" spans="1:7" ht="16">
      <c r="A3" s="187"/>
      <c r="B3" s="188" t="s">
        <v>216</v>
      </c>
      <c r="C3" s="188"/>
      <c r="D3" s="188"/>
      <c r="E3" s="188"/>
      <c r="F3" s="188"/>
      <c r="G3" s="189"/>
    </row>
    <row r="4" spans="1:7">
      <c r="A4" s="190" t="s">
        <v>94</v>
      </c>
      <c r="B4" s="191" t="s">
        <v>53</v>
      </c>
      <c r="C4" s="174" t="s">
        <v>54</v>
      </c>
      <c r="D4" s="174" t="s">
        <v>95</v>
      </c>
      <c r="E4" s="174" t="s">
        <v>96</v>
      </c>
      <c r="F4" s="174" t="s">
        <v>97</v>
      </c>
      <c r="G4" s="176" t="s">
        <v>98</v>
      </c>
    </row>
    <row r="5" spans="1:7">
      <c r="A5" s="192" t="s">
        <v>320</v>
      </c>
      <c r="B5" s="119"/>
      <c r="C5" s="107"/>
      <c r="D5" s="107"/>
      <c r="E5" s="107"/>
      <c r="F5" s="107"/>
      <c r="G5" s="108"/>
    </row>
    <row r="6" spans="1:7">
      <c r="A6" s="193" t="s">
        <v>321</v>
      </c>
      <c r="B6" s="120"/>
      <c r="C6" s="65"/>
      <c r="D6" s="65"/>
      <c r="E6" s="65"/>
      <c r="F6" s="65"/>
      <c r="G6" s="66"/>
    </row>
    <row r="7" spans="1:7">
      <c r="A7" s="193" t="s">
        <v>322</v>
      </c>
      <c r="B7" s="120"/>
      <c r="C7" s="65"/>
      <c r="D7" s="65"/>
      <c r="E7" s="65"/>
      <c r="F7" s="65"/>
      <c r="G7" s="66"/>
    </row>
    <row r="8" spans="1:7">
      <c r="A8" s="194" t="s">
        <v>323</v>
      </c>
      <c r="B8" s="120"/>
      <c r="C8" s="65"/>
      <c r="D8" s="65"/>
      <c r="E8" s="65"/>
      <c r="F8" s="65"/>
      <c r="G8" s="66"/>
    </row>
    <row r="9" spans="1:7">
      <c r="A9" s="194" t="s">
        <v>324</v>
      </c>
      <c r="B9" s="120"/>
      <c r="C9" s="65"/>
      <c r="D9" s="65"/>
      <c r="E9" s="65"/>
      <c r="F9" s="65"/>
      <c r="G9" s="66"/>
    </row>
    <row r="10" spans="1:7">
      <c r="A10" s="195" t="s">
        <v>325</v>
      </c>
      <c r="B10" s="120"/>
      <c r="C10" s="65"/>
      <c r="D10" s="65"/>
      <c r="E10" s="65"/>
      <c r="F10" s="65"/>
      <c r="G10" s="66"/>
    </row>
    <row r="11" spans="1:7">
      <c r="A11" s="195"/>
      <c r="B11" s="121"/>
      <c r="C11" s="86"/>
      <c r="D11" s="86"/>
      <c r="E11" s="86"/>
      <c r="F11" s="86"/>
      <c r="G11" s="87"/>
    </row>
    <row r="12" spans="1:7">
      <c r="A12" s="193" t="s">
        <v>227</v>
      </c>
      <c r="B12" s="120"/>
      <c r="C12" s="65"/>
      <c r="D12" s="65"/>
      <c r="E12" s="65"/>
      <c r="F12" s="65"/>
      <c r="G12" s="66"/>
    </row>
    <row r="13" spans="1:7">
      <c r="A13" s="193" t="s">
        <v>228</v>
      </c>
      <c r="B13" s="120"/>
      <c r="C13" s="65"/>
      <c r="D13" s="65"/>
      <c r="E13" s="65"/>
      <c r="F13" s="65"/>
      <c r="G13" s="66"/>
    </row>
    <row r="14" spans="1:7">
      <c r="A14" s="195" t="s">
        <v>326</v>
      </c>
      <c r="B14" s="120"/>
      <c r="C14" s="65"/>
      <c r="D14" s="65"/>
      <c r="E14" s="65"/>
      <c r="F14" s="65"/>
      <c r="G14" s="66"/>
    </row>
    <row r="15" spans="1:7">
      <c r="A15" s="193"/>
      <c r="B15" s="121"/>
      <c r="C15" s="86"/>
      <c r="D15" s="86"/>
      <c r="E15" s="86"/>
      <c r="F15" s="86"/>
      <c r="G15" s="87"/>
    </row>
    <row r="16" spans="1:7">
      <c r="A16" s="196" t="s">
        <v>327</v>
      </c>
      <c r="B16" s="120"/>
      <c r="C16" s="65"/>
      <c r="D16" s="65"/>
      <c r="E16" s="65"/>
      <c r="F16" s="65"/>
      <c r="G16" s="66"/>
    </row>
    <row r="17" spans="1:7">
      <c r="A17" s="196" t="s">
        <v>328</v>
      </c>
      <c r="B17" s="120"/>
      <c r="C17" s="65"/>
      <c r="D17" s="65"/>
      <c r="E17" s="65"/>
      <c r="F17" s="65"/>
      <c r="G17" s="66"/>
    </row>
    <row r="18" spans="1:7">
      <c r="A18" s="195" t="s">
        <v>329</v>
      </c>
      <c r="B18" s="120"/>
      <c r="C18" s="65"/>
      <c r="D18" s="65"/>
      <c r="E18" s="65"/>
      <c r="F18" s="65"/>
      <c r="G18" s="66"/>
    </row>
    <row r="19" spans="1:7">
      <c r="A19" s="195" t="s">
        <v>330</v>
      </c>
      <c r="B19" s="120"/>
      <c r="C19" s="65"/>
      <c r="D19" s="65"/>
      <c r="E19" s="65"/>
      <c r="F19" s="65"/>
      <c r="G19" s="66"/>
    </row>
    <row r="20" spans="1:7">
      <c r="A20" s="193"/>
      <c r="B20" s="121"/>
      <c r="C20" s="86"/>
      <c r="D20" s="86"/>
      <c r="E20" s="86"/>
      <c r="F20" s="86"/>
      <c r="G20" s="87"/>
    </row>
    <row r="21" spans="1:7">
      <c r="A21" s="197" t="s">
        <v>234</v>
      </c>
      <c r="B21" s="122"/>
      <c r="C21" s="71"/>
      <c r="D21" s="71"/>
      <c r="E21" s="71"/>
      <c r="F21" s="71"/>
      <c r="G21" s="72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28"/>
  <sheetViews>
    <sheetView zoomScale="90" zoomScaleNormal="90" workbookViewId="0">
      <selection activeCell="B5" sqref="B5"/>
    </sheetView>
  </sheetViews>
  <sheetFormatPr baseColWidth="10" defaultColWidth="11.33203125" defaultRowHeight="13"/>
  <cols>
    <col min="1" max="1" width="40.83203125" style="198" customWidth="1"/>
    <col min="2" max="7" width="14.83203125" style="198" customWidth="1"/>
    <col min="8" max="8" width="21.6640625" style="198" customWidth="1"/>
    <col min="9" max="9" width="17.33203125" style="198" customWidth="1"/>
    <col min="10" max="16384" width="11.33203125" style="198"/>
  </cols>
  <sheetData>
    <row r="1" spans="1:8">
      <c r="A1" s="1" t="s">
        <v>0</v>
      </c>
      <c r="B1"/>
      <c r="C1"/>
      <c r="D1"/>
      <c r="E1" s="2">
        <f>InfoInicial!E1</f>
        <v>14</v>
      </c>
    </row>
    <row r="3" spans="1:8" ht="16">
      <c r="A3" s="199" t="s">
        <v>331</v>
      </c>
      <c r="B3" s="200"/>
      <c r="C3" s="200"/>
      <c r="D3" s="200"/>
      <c r="E3" s="200"/>
      <c r="F3" s="200"/>
      <c r="G3" s="201"/>
      <c r="H3" s="202"/>
    </row>
    <row r="4" spans="1:8">
      <c r="A4" s="203"/>
      <c r="B4" s="204" t="s">
        <v>53</v>
      </c>
      <c r="C4" s="204" t="s">
        <v>54</v>
      </c>
      <c r="D4" s="204" t="s">
        <v>95</v>
      </c>
      <c r="E4" s="204" t="s">
        <v>96</v>
      </c>
      <c r="F4" s="204" t="s">
        <v>97</v>
      </c>
      <c r="G4" s="205" t="s">
        <v>98</v>
      </c>
      <c r="H4" s="206" t="s">
        <v>196</v>
      </c>
    </row>
    <row r="5" spans="1:8">
      <c r="A5" s="177" t="s">
        <v>332</v>
      </c>
      <c r="B5" s="93"/>
      <c r="C5" s="93"/>
      <c r="D5" s="93"/>
      <c r="E5" s="93"/>
      <c r="F5" s="93"/>
      <c r="G5" s="207"/>
      <c r="H5" s="94"/>
    </row>
    <row r="6" spans="1:8">
      <c r="A6" s="169" t="s">
        <v>333</v>
      </c>
      <c r="B6" s="65"/>
      <c r="C6" s="65"/>
      <c r="D6" s="65"/>
      <c r="E6" s="65"/>
      <c r="F6" s="65"/>
      <c r="G6" s="114"/>
      <c r="H6" s="66"/>
    </row>
    <row r="7" spans="1:8">
      <c r="A7" s="169" t="s">
        <v>334</v>
      </c>
      <c r="B7" s="208"/>
      <c r="C7" s="208"/>
      <c r="D7" s="208"/>
      <c r="E7" s="208"/>
      <c r="F7" s="208"/>
      <c r="G7" s="209"/>
      <c r="H7" s="210"/>
    </row>
    <row r="8" spans="1:8">
      <c r="A8" s="169" t="s">
        <v>335</v>
      </c>
      <c r="B8" s="65"/>
      <c r="C8" s="65"/>
      <c r="D8" s="65"/>
      <c r="E8" s="65"/>
      <c r="F8" s="65"/>
      <c r="G8" s="114"/>
      <c r="H8" s="66"/>
    </row>
    <row r="9" spans="1:8">
      <c r="A9" s="169" t="s">
        <v>336</v>
      </c>
      <c r="B9" s="208"/>
      <c r="C9" s="208"/>
      <c r="D9" s="208"/>
      <c r="E9" s="208"/>
      <c r="F9" s="208"/>
      <c r="G9" s="209"/>
      <c r="H9" s="210"/>
    </row>
    <row r="10" spans="1:8">
      <c r="A10" s="169" t="s">
        <v>337</v>
      </c>
      <c r="B10" s="65"/>
      <c r="C10" s="65"/>
      <c r="D10" s="65"/>
      <c r="E10" s="65"/>
      <c r="F10" s="65"/>
      <c r="G10" s="114"/>
      <c r="H10" s="66"/>
    </row>
    <row r="11" spans="1:8">
      <c r="A11" s="169" t="s">
        <v>338</v>
      </c>
      <c r="B11" s="93"/>
      <c r="C11" s="93"/>
      <c r="D11" s="93"/>
      <c r="E11" s="93"/>
      <c r="F11" s="93"/>
      <c r="G11" s="207"/>
      <c r="H11" s="94"/>
    </row>
    <row r="12" spans="1:8">
      <c r="A12" s="169"/>
      <c r="B12" s="65"/>
      <c r="C12" s="65"/>
      <c r="D12" s="65"/>
      <c r="E12" s="65"/>
      <c r="F12" s="65"/>
      <c r="G12" s="114"/>
      <c r="H12" s="66"/>
    </row>
    <row r="13" spans="1:8">
      <c r="A13" s="177" t="s">
        <v>339</v>
      </c>
      <c r="B13" s="65"/>
      <c r="C13" s="65"/>
      <c r="D13" s="65"/>
      <c r="E13" s="65"/>
      <c r="F13" s="65"/>
      <c r="G13" s="114"/>
      <c r="H13" s="66"/>
    </row>
    <row r="14" spans="1:8">
      <c r="A14" s="169" t="s">
        <v>340</v>
      </c>
      <c r="B14" s="208"/>
      <c r="C14" s="208"/>
      <c r="D14" s="208"/>
      <c r="E14" s="208"/>
      <c r="F14" s="208"/>
      <c r="G14" s="209"/>
      <c r="H14" s="210"/>
    </row>
    <row r="15" spans="1:8">
      <c r="A15" s="169" t="s">
        <v>264</v>
      </c>
      <c r="B15" s="65"/>
      <c r="C15" s="65"/>
      <c r="D15" s="65"/>
      <c r="E15" s="65"/>
      <c r="F15" s="65"/>
      <c r="G15" s="114"/>
      <c r="H15" s="66"/>
    </row>
    <row r="16" spans="1:8">
      <c r="A16" s="169" t="s">
        <v>341</v>
      </c>
      <c r="B16" s="65"/>
      <c r="C16" s="65"/>
      <c r="D16" s="65"/>
      <c r="E16" s="65"/>
      <c r="F16" s="65"/>
      <c r="G16" s="114"/>
      <c r="H16" s="66"/>
    </row>
    <row r="17" spans="1:14">
      <c r="A17" s="169" t="s">
        <v>342</v>
      </c>
      <c r="B17" s="65"/>
      <c r="C17" s="65"/>
      <c r="D17" s="65"/>
      <c r="E17" s="65"/>
      <c r="F17" s="65"/>
      <c r="G17" s="114"/>
      <c r="H17" s="66"/>
    </row>
    <row r="18" spans="1:14">
      <c r="A18" s="169" t="s">
        <v>343</v>
      </c>
      <c r="B18" s="208"/>
      <c r="C18" s="208"/>
      <c r="D18" s="208"/>
      <c r="E18" s="208"/>
      <c r="F18" s="208"/>
      <c r="G18" s="209"/>
      <c r="H18" s="210"/>
    </row>
    <row r="19" spans="1:14">
      <c r="A19" s="169" t="s">
        <v>344</v>
      </c>
      <c r="B19" s="65"/>
      <c r="C19" s="65"/>
      <c r="D19" s="65"/>
      <c r="E19" s="65"/>
      <c r="F19" s="65"/>
      <c r="G19" s="114"/>
      <c r="H19" s="66"/>
    </row>
    <row r="20" spans="1:14">
      <c r="A20" s="169" t="s">
        <v>345</v>
      </c>
      <c r="B20" s="208"/>
      <c r="C20" s="208"/>
      <c r="D20" s="208"/>
      <c r="E20" s="208"/>
      <c r="F20" s="208"/>
      <c r="G20" s="209"/>
      <c r="H20" s="210"/>
    </row>
    <row r="21" spans="1:14">
      <c r="A21" s="169" t="s">
        <v>346</v>
      </c>
      <c r="B21" s="65"/>
      <c r="C21" s="65"/>
      <c r="D21" s="65"/>
      <c r="E21" s="65"/>
      <c r="F21" s="65"/>
      <c r="G21" s="114"/>
      <c r="H21" s="66"/>
    </row>
    <row r="22" spans="1:14">
      <c r="A22" s="169" t="s">
        <v>347</v>
      </c>
      <c r="B22" s="93"/>
      <c r="C22" s="93"/>
      <c r="D22" s="93"/>
      <c r="E22" s="93"/>
      <c r="F22" s="93"/>
      <c r="G22" s="207"/>
      <c r="H22" s="94"/>
    </row>
    <row r="23" spans="1:14">
      <c r="A23" s="169"/>
      <c r="B23" s="86"/>
      <c r="C23" s="86"/>
      <c r="D23" s="86"/>
      <c r="E23" s="86"/>
      <c r="F23" s="86"/>
      <c r="G23" s="115"/>
      <c r="H23" s="87"/>
    </row>
    <row r="24" spans="1:14">
      <c r="A24" s="177" t="s">
        <v>348</v>
      </c>
      <c r="B24" s="65"/>
      <c r="C24" s="65"/>
      <c r="D24" s="65"/>
      <c r="E24" s="65"/>
      <c r="F24" s="65"/>
      <c r="G24" s="114"/>
      <c r="H24" s="66"/>
    </row>
    <row r="25" spans="1:14">
      <c r="A25" s="177" t="s">
        <v>349</v>
      </c>
      <c r="B25" s="65"/>
      <c r="C25" s="65"/>
      <c r="D25" s="65"/>
      <c r="E25" s="65"/>
      <c r="F25" s="65"/>
      <c r="G25" s="114"/>
      <c r="H25" s="66"/>
    </row>
    <row r="26" spans="1:14">
      <c r="A26" s="177"/>
      <c r="B26" s="86"/>
      <c r="C26" s="86"/>
      <c r="D26" s="86"/>
      <c r="E26" s="86"/>
      <c r="F26" s="86"/>
      <c r="G26" s="115"/>
      <c r="H26" s="87"/>
    </row>
    <row r="27" spans="1:14">
      <c r="A27" s="177" t="s">
        <v>350</v>
      </c>
      <c r="B27" s="95"/>
      <c r="C27" s="95"/>
      <c r="D27" s="95"/>
      <c r="E27" s="95"/>
      <c r="F27" s="95"/>
      <c r="G27" s="211"/>
      <c r="H27" s="96"/>
    </row>
    <row r="28" spans="1:14">
      <c r="A28" s="185" t="s">
        <v>351</v>
      </c>
      <c r="B28" s="33"/>
      <c r="C28" s="33"/>
      <c r="D28" s="33"/>
      <c r="E28" s="33"/>
      <c r="F28" s="33"/>
      <c r="G28" s="212"/>
      <c r="H28" s="55"/>
      <c r="I28" s="169"/>
      <c r="J28" s="169"/>
      <c r="K28" s="169"/>
      <c r="L28" s="169"/>
      <c r="M28" s="169"/>
      <c r="N28" s="169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G38"/>
  <sheetViews>
    <sheetView topLeftCell="A10" zoomScale="90" zoomScaleNormal="90" workbookViewId="0">
      <selection activeCell="B35" sqref="B35"/>
    </sheetView>
  </sheetViews>
  <sheetFormatPr baseColWidth="10" defaultColWidth="11.33203125" defaultRowHeight="13"/>
  <cols>
    <col min="1" max="1" width="37.6640625" style="169" customWidth="1"/>
    <col min="2" max="7" width="14.83203125" style="169" customWidth="1"/>
    <col min="8" max="8" width="17.33203125" style="169" customWidth="1"/>
    <col min="9" max="16384" width="11.33203125" style="169"/>
  </cols>
  <sheetData>
    <row r="1" spans="1:7">
      <c r="A1" s="1" t="s">
        <v>0</v>
      </c>
      <c r="B1"/>
      <c r="C1"/>
      <c r="D1"/>
      <c r="E1" s="2">
        <f>InfoInicial!E1</f>
        <v>14</v>
      </c>
    </row>
    <row r="3" spans="1:7" ht="16">
      <c r="A3" s="199" t="s">
        <v>352</v>
      </c>
      <c r="B3" s="200"/>
      <c r="C3" s="200"/>
      <c r="D3" s="200"/>
      <c r="E3" s="200"/>
      <c r="F3" s="200"/>
      <c r="G3" s="202"/>
    </row>
    <row r="4" spans="1:7">
      <c r="A4" s="213"/>
      <c r="B4" s="214" t="s">
        <v>53</v>
      </c>
      <c r="C4" s="214" t="s">
        <v>54</v>
      </c>
      <c r="D4" s="214" t="s">
        <v>95</v>
      </c>
      <c r="E4" s="214" t="s">
        <v>96</v>
      </c>
      <c r="F4" s="214" t="s">
        <v>97</v>
      </c>
      <c r="G4" s="215" t="s">
        <v>98</v>
      </c>
    </row>
    <row r="5" spans="1:7">
      <c r="A5" s="216" t="s">
        <v>353</v>
      </c>
      <c r="B5" s="217"/>
      <c r="C5" s="217"/>
      <c r="D5" s="217"/>
      <c r="E5" s="217"/>
      <c r="F5" s="217"/>
      <c r="G5" s="218"/>
    </row>
    <row r="6" spans="1:7">
      <c r="A6" s="183" t="s">
        <v>354</v>
      </c>
      <c r="B6" s="86"/>
      <c r="C6" s="86"/>
      <c r="D6" s="86"/>
      <c r="E6" s="86"/>
      <c r="F6" s="86"/>
      <c r="G6" s="87"/>
    </row>
    <row r="7" spans="1:7">
      <c r="A7" s="203" t="s">
        <v>355</v>
      </c>
      <c r="B7" s="208"/>
      <c r="C7" s="208"/>
      <c r="D7" s="208"/>
      <c r="E7" s="208"/>
      <c r="F7" s="208"/>
      <c r="G7" s="210"/>
    </row>
    <row r="8" spans="1:7">
      <c r="A8" s="203" t="s">
        <v>356</v>
      </c>
      <c r="B8" s="65"/>
      <c r="C8" s="65"/>
      <c r="D8" s="65"/>
      <c r="E8" s="65"/>
      <c r="F8" s="65"/>
      <c r="G8" s="66"/>
    </row>
    <row r="9" spans="1:7">
      <c r="A9" s="183" t="s">
        <v>357</v>
      </c>
      <c r="B9" s="208"/>
      <c r="C9" s="208"/>
      <c r="D9" s="208"/>
      <c r="E9" s="208"/>
      <c r="F9" s="208"/>
      <c r="G9" s="210"/>
    </row>
    <row r="10" spans="1:7">
      <c r="A10" s="183" t="s">
        <v>358</v>
      </c>
      <c r="B10" s="65"/>
      <c r="C10" s="65"/>
      <c r="D10" s="65"/>
      <c r="E10" s="65"/>
      <c r="F10" s="65"/>
      <c r="G10" s="66"/>
    </row>
    <row r="11" spans="1:7">
      <c r="A11" s="183" t="s">
        <v>359</v>
      </c>
      <c r="B11" s="93"/>
      <c r="C11" s="93"/>
      <c r="D11" s="93"/>
      <c r="E11" s="93"/>
      <c r="F11" s="93"/>
      <c r="G11" s="94"/>
    </row>
    <row r="12" spans="1:7">
      <c r="A12" s="183" t="s">
        <v>360</v>
      </c>
      <c r="B12" s="93"/>
      <c r="C12" s="93"/>
      <c r="D12" s="93"/>
      <c r="E12" s="93"/>
      <c r="F12" s="93"/>
      <c r="G12" s="94"/>
    </row>
    <row r="13" spans="1:7">
      <c r="A13" s="183" t="s">
        <v>361</v>
      </c>
      <c r="B13" s="219"/>
      <c r="C13" s="219"/>
      <c r="D13" s="219"/>
      <c r="E13" s="219"/>
      <c r="F13" s="219"/>
      <c r="G13" s="220"/>
    </row>
    <row r="14" spans="1:7">
      <c r="A14" s="203" t="s">
        <v>362</v>
      </c>
      <c r="B14" s="65"/>
      <c r="C14" s="65"/>
      <c r="D14" s="65"/>
      <c r="E14" s="65"/>
      <c r="F14" s="65"/>
      <c r="G14" s="66"/>
    </row>
    <row r="15" spans="1:7">
      <c r="A15" s="203" t="s">
        <v>363</v>
      </c>
      <c r="B15" s="208"/>
      <c r="C15" s="208"/>
      <c r="D15" s="208"/>
      <c r="E15" s="208"/>
      <c r="F15" s="208"/>
      <c r="G15" s="210"/>
    </row>
    <row r="16" spans="1:7">
      <c r="A16" s="203" t="s">
        <v>364</v>
      </c>
      <c r="B16" s="65"/>
      <c r="C16" s="65"/>
      <c r="D16" s="65"/>
      <c r="E16" s="65"/>
      <c r="F16" s="65"/>
      <c r="G16" s="66"/>
    </row>
    <row r="17" spans="1:7">
      <c r="A17" s="203" t="s">
        <v>365</v>
      </c>
      <c r="B17" s="65"/>
      <c r="C17" s="65"/>
      <c r="D17" s="65"/>
      <c r="E17" s="65"/>
      <c r="F17" s="65"/>
      <c r="G17" s="66"/>
    </row>
    <row r="18" spans="1:7">
      <c r="A18" s="183" t="s">
        <v>87</v>
      </c>
      <c r="B18" s="208"/>
      <c r="C18" s="208"/>
      <c r="D18" s="208"/>
      <c r="E18" s="208"/>
      <c r="F18" s="208"/>
      <c r="G18" s="210"/>
    </row>
    <row r="19" spans="1:7">
      <c r="A19" s="203" t="s">
        <v>362</v>
      </c>
      <c r="B19" s="65"/>
      <c r="C19" s="65"/>
      <c r="D19" s="65"/>
      <c r="E19" s="65"/>
      <c r="F19" s="65"/>
      <c r="G19" s="66"/>
    </row>
    <row r="20" spans="1:7">
      <c r="A20" s="203" t="s">
        <v>366</v>
      </c>
      <c r="B20" s="65"/>
      <c r="C20" s="65"/>
      <c r="D20" s="65"/>
      <c r="E20" s="65"/>
      <c r="F20" s="65"/>
      <c r="G20" s="66"/>
    </row>
    <row r="21" spans="1:7">
      <c r="A21" s="203" t="s">
        <v>367</v>
      </c>
      <c r="B21" s="65"/>
      <c r="C21" s="65"/>
      <c r="D21" s="65"/>
      <c r="E21" s="65"/>
      <c r="F21" s="65"/>
      <c r="G21" s="66"/>
    </row>
    <row r="22" spans="1:7">
      <c r="A22" s="203" t="s">
        <v>365</v>
      </c>
      <c r="B22" s="208"/>
      <c r="C22" s="208"/>
      <c r="D22" s="208"/>
      <c r="E22" s="208"/>
      <c r="F22" s="208"/>
      <c r="G22" s="210"/>
    </row>
    <row r="23" spans="1:7">
      <c r="A23" s="183" t="s">
        <v>368</v>
      </c>
      <c r="B23" s="208"/>
      <c r="C23" s="208"/>
      <c r="D23" s="208"/>
      <c r="E23" s="208"/>
      <c r="F23" s="208"/>
      <c r="G23" s="210"/>
    </row>
    <row r="24" spans="1:7">
      <c r="A24" s="183" t="s">
        <v>369</v>
      </c>
      <c r="B24" s="208"/>
      <c r="C24" s="208"/>
      <c r="D24" s="208"/>
      <c r="E24" s="208"/>
      <c r="F24" s="208"/>
      <c r="G24" s="210"/>
    </row>
    <row r="25" spans="1:7">
      <c r="A25" s="183" t="s">
        <v>370</v>
      </c>
      <c r="B25" s="208"/>
      <c r="C25" s="208"/>
      <c r="D25" s="208"/>
      <c r="E25" s="208"/>
      <c r="F25" s="208"/>
      <c r="G25" s="210"/>
    </row>
    <row r="26" spans="1:7">
      <c r="A26" s="183" t="s">
        <v>371</v>
      </c>
      <c r="B26" s="208"/>
      <c r="C26" s="208"/>
      <c r="D26" s="208"/>
      <c r="E26" s="208"/>
      <c r="F26" s="208"/>
      <c r="G26" s="210"/>
    </row>
    <row r="27" spans="1:7">
      <c r="A27" s="183" t="s">
        <v>372</v>
      </c>
      <c r="B27" s="65"/>
      <c r="C27" s="65"/>
      <c r="D27" s="65"/>
      <c r="E27" s="65"/>
      <c r="F27" s="65"/>
      <c r="G27" s="66"/>
    </row>
    <row r="28" spans="1:7">
      <c r="A28" s="183" t="s">
        <v>373</v>
      </c>
      <c r="B28" s="65"/>
      <c r="C28" s="65"/>
      <c r="D28" s="65"/>
      <c r="E28" s="65"/>
      <c r="F28" s="65"/>
      <c r="G28" s="66"/>
    </row>
    <row r="29" spans="1:7">
      <c r="A29" s="183" t="s">
        <v>372</v>
      </c>
      <c r="B29" s="208"/>
      <c r="C29" s="208"/>
      <c r="D29" s="208"/>
      <c r="E29" s="208"/>
      <c r="F29" s="208"/>
      <c r="G29" s="210"/>
    </row>
    <row r="30" spans="1:7">
      <c r="A30" s="183" t="s">
        <v>374</v>
      </c>
      <c r="B30" s="65"/>
      <c r="C30" s="65"/>
      <c r="D30" s="65"/>
      <c r="E30" s="65"/>
      <c r="F30" s="65"/>
      <c r="G30" s="66"/>
    </row>
    <row r="31" spans="1:7">
      <c r="A31" s="183" t="s">
        <v>375</v>
      </c>
      <c r="B31" s="65"/>
      <c r="C31" s="65"/>
      <c r="D31" s="65"/>
      <c r="E31" s="65"/>
      <c r="F31" s="65"/>
      <c r="G31" s="66"/>
    </row>
    <row r="32" spans="1:7">
      <c r="A32" s="183" t="s">
        <v>376</v>
      </c>
      <c r="B32" s="65"/>
      <c r="C32" s="65"/>
      <c r="D32" s="65"/>
      <c r="E32" s="65"/>
      <c r="F32" s="65"/>
      <c r="G32" s="66"/>
    </row>
    <row r="33" spans="1:7">
      <c r="A33" s="183" t="s">
        <v>377</v>
      </c>
      <c r="B33" s="208"/>
      <c r="C33" s="208"/>
      <c r="D33" s="208"/>
      <c r="E33" s="208"/>
      <c r="F33" s="208"/>
      <c r="G33" s="210"/>
    </row>
    <row r="34" spans="1:7">
      <c r="A34" s="183" t="s">
        <v>378</v>
      </c>
      <c r="B34" s="65"/>
      <c r="C34" s="65"/>
      <c r="D34" s="65"/>
      <c r="E34" s="65"/>
      <c r="F34" s="65"/>
      <c r="G34" s="66"/>
    </row>
    <row r="35" spans="1:7">
      <c r="A35" s="185" t="s">
        <v>379</v>
      </c>
      <c r="B35" s="33"/>
      <c r="C35" s="33"/>
      <c r="D35" s="33"/>
      <c r="E35" s="33"/>
      <c r="F35" s="33"/>
      <c r="G35" s="55"/>
    </row>
    <row r="38" spans="1:7">
      <c r="A38" s="221" t="s">
        <v>380</v>
      </c>
      <c r="B38" s="136" t="str">
        <f t="shared" ref="B38:G38" si="0">IF(B24=B35,"OK","MAL")</f>
        <v>OK</v>
      </c>
      <c r="C38" s="136" t="str">
        <f t="shared" si="0"/>
        <v>OK</v>
      </c>
      <c r="D38" s="136" t="str">
        <f t="shared" si="0"/>
        <v>OK</v>
      </c>
      <c r="E38" s="136" t="str">
        <f t="shared" si="0"/>
        <v>OK</v>
      </c>
      <c r="F38" s="136" t="str">
        <f t="shared" si="0"/>
        <v>OK</v>
      </c>
      <c r="G38" s="136" t="str">
        <f t="shared" si="0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36"/>
  <sheetViews>
    <sheetView topLeftCell="A10" zoomScale="90" zoomScaleNormal="90" workbookViewId="0">
      <selection activeCell="I35" sqref="I35"/>
    </sheetView>
  </sheetViews>
  <sheetFormatPr baseColWidth="10" defaultColWidth="11.33203125" defaultRowHeight="13"/>
  <cols>
    <col min="1" max="1" width="7.83203125" style="169" customWidth="1"/>
    <col min="2" max="6" width="14.83203125" style="169" customWidth="1"/>
    <col min="7" max="7" width="16" style="169" customWidth="1"/>
    <col min="8" max="9" width="14.83203125" style="169" customWidth="1"/>
    <col min="10" max="10" width="17.5" style="169" customWidth="1"/>
    <col min="11" max="11" width="14.83203125" style="169" customWidth="1"/>
    <col min="12" max="12" width="16.6640625" style="169" customWidth="1"/>
    <col min="13" max="13" width="18.5" style="169" customWidth="1"/>
    <col min="14" max="15" width="17.33203125" style="169" customWidth="1"/>
    <col min="16" max="16384" width="11.33203125" style="169"/>
  </cols>
  <sheetData>
    <row r="1" spans="1:14">
      <c r="A1" s="1" t="s">
        <v>0</v>
      </c>
      <c r="B1"/>
      <c r="C1"/>
      <c r="D1"/>
      <c r="G1" s="2">
        <f>InfoInicial!E1</f>
        <v>14</v>
      </c>
    </row>
    <row r="3" spans="1:14" ht="16">
      <c r="A3" s="170" t="s">
        <v>381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</row>
    <row r="4" spans="1:14" ht="26">
      <c r="A4" s="190" t="s">
        <v>236</v>
      </c>
      <c r="B4" s="191" t="s">
        <v>340</v>
      </c>
      <c r="C4" s="191" t="s">
        <v>382</v>
      </c>
      <c r="D4" s="191" t="s">
        <v>239</v>
      </c>
      <c r="E4" s="191" t="s">
        <v>5</v>
      </c>
      <c r="F4" s="191" t="s">
        <v>240</v>
      </c>
      <c r="G4" s="191" t="s">
        <v>241</v>
      </c>
      <c r="H4" s="191" t="s">
        <v>383</v>
      </c>
      <c r="I4" s="191" t="s">
        <v>384</v>
      </c>
      <c r="J4" s="191" t="s">
        <v>102</v>
      </c>
      <c r="K4" s="191" t="s">
        <v>243</v>
      </c>
      <c r="L4" s="191" t="s">
        <v>244</v>
      </c>
      <c r="M4" s="222" t="s">
        <v>245</v>
      </c>
      <c r="N4" s="223" t="s">
        <v>246</v>
      </c>
    </row>
    <row r="5" spans="1:14">
      <c r="A5" s="224">
        <v>0</v>
      </c>
      <c r="B5" s="126"/>
      <c r="C5" s="63"/>
      <c r="D5" s="63"/>
      <c r="E5" s="63"/>
      <c r="F5" s="63"/>
      <c r="G5" s="63"/>
      <c r="H5" s="63"/>
      <c r="I5" s="63"/>
      <c r="J5" s="63"/>
      <c r="K5" s="63"/>
      <c r="L5" s="63"/>
      <c r="M5" s="127"/>
      <c r="N5" s="64"/>
    </row>
    <row r="6" spans="1:14">
      <c r="A6" s="225">
        <v>1</v>
      </c>
      <c r="B6" s="120"/>
      <c r="C6" s="65"/>
      <c r="D6" s="65"/>
      <c r="E6" s="65"/>
      <c r="F6" s="65"/>
      <c r="G6" s="65"/>
      <c r="H6" s="65"/>
      <c r="I6" s="65"/>
      <c r="J6" s="65"/>
      <c r="K6" s="65"/>
      <c r="L6" s="65"/>
      <c r="M6" s="114"/>
      <c r="N6" s="66"/>
    </row>
    <row r="7" spans="1:14">
      <c r="A7" s="225">
        <v>2</v>
      </c>
      <c r="B7" s="120"/>
      <c r="C7" s="65"/>
      <c r="D7" s="65"/>
      <c r="E7" s="65"/>
      <c r="F7" s="65"/>
      <c r="G7" s="65"/>
      <c r="H7" s="65"/>
      <c r="I7" s="65"/>
      <c r="J7" s="65"/>
      <c r="K7" s="65"/>
      <c r="L7" s="65"/>
      <c r="M7" s="114"/>
      <c r="N7" s="66"/>
    </row>
    <row r="8" spans="1:14">
      <c r="A8" s="225">
        <v>3</v>
      </c>
      <c r="B8" s="120"/>
      <c r="C8" s="65"/>
      <c r="D8" s="65"/>
      <c r="E8" s="65"/>
      <c r="F8" s="65"/>
      <c r="G8" s="65"/>
      <c r="H8" s="65"/>
      <c r="I8" s="65"/>
      <c r="J8" s="65"/>
      <c r="K8" s="65"/>
      <c r="L8" s="65"/>
      <c r="M8" s="114"/>
      <c r="N8" s="66"/>
    </row>
    <row r="9" spans="1:14">
      <c r="A9" s="225">
        <v>4</v>
      </c>
      <c r="B9" s="120"/>
      <c r="C9" s="65"/>
      <c r="D9" s="65"/>
      <c r="E9" s="65"/>
      <c r="F9" s="65"/>
      <c r="G9" s="65"/>
      <c r="H9" s="65"/>
      <c r="I9" s="65"/>
      <c r="J9" s="65"/>
      <c r="K9" s="65"/>
      <c r="L9" s="65"/>
      <c r="M9" s="114"/>
      <c r="N9" s="66"/>
    </row>
    <row r="10" spans="1:14">
      <c r="A10" s="225">
        <v>5</v>
      </c>
      <c r="B10" s="120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114"/>
      <c r="N10" s="66"/>
    </row>
    <row r="11" spans="1:14">
      <c r="A11" s="225"/>
      <c r="B11" s="121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115"/>
      <c r="N11" s="87"/>
    </row>
    <row r="12" spans="1:14">
      <c r="A12" s="226" t="s">
        <v>247</v>
      </c>
      <c r="B12" s="12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116"/>
      <c r="N12" s="72"/>
    </row>
    <row r="14" spans="1:14">
      <c r="C14" s="227" t="s">
        <v>248</v>
      </c>
      <c r="D14" s="131"/>
    </row>
    <row r="15" spans="1:14">
      <c r="A15" s="177"/>
      <c r="C15" s="227" t="s">
        <v>249</v>
      </c>
      <c r="D15" s="132"/>
      <c r="E15" s="169" t="s">
        <v>250</v>
      </c>
      <c r="J15"/>
      <c r="K15"/>
    </row>
    <row r="16" spans="1:14">
      <c r="C16" s="227" t="s">
        <v>385</v>
      </c>
      <c r="D16" s="133"/>
      <c r="J16" s="228"/>
      <c r="K16" s="228"/>
    </row>
    <row r="17" spans="1:15">
      <c r="C17" s="227"/>
      <c r="D17" s="133"/>
      <c r="J17" s="229"/>
      <c r="K17" s="230"/>
    </row>
    <row r="18" spans="1:15">
      <c r="A18" s="231"/>
      <c r="B18" s="232"/>
      <c r="C18" s="232"/>
      <c r="D18" s="232"/>
      <c r="E18" s="233"/>
      <c r="F18" s="234"/>
      <c r="G18" s="234"/>
      <c r="H18" s="234"/>
      <c r="I18" s="234"/>
      <c r="J18" s="229"/>
      <c r="K18" s="235"/>
      <c r="L18" s="234"/>
      <c r="M18" s="234"/>
      <c r="N18" s="234"/>
      <c r="O18" s="232"/>
    </row>
    <row r="19" spans="1:15" ht="16">
      <c r="A19" s="236"/>
      <c r="B19" s="234"/>
      <c r="C19" s="237"/>
      <c r="D19" s="234"/>
      <c r="E19" s="238"/>
      <c r="F19" s="234"/>
      <c r="G19" s="234"/>
      <c r="H19" s="234"/>
      <c r="I19" s="234"/>
      <c r="J19" s="229"/>
      <c r="K19" s="230"/>
      <c r="L19" s="234"/>
      <c r="M19" s="234"/>
      <c r="N19" s="234"/>
    </row>
    <row r="20" spans="1:15">
      <c r="J20" s="229"/>
      <c r="K20" s="230"/>
    </row>
    <row r="21" spans="1:15">
      <c r="A21" s="239"/>
      <c r="J21" s="240"/>
      <c r="K21" s="230"/>
    </row>
    <row r="22" spans="1:15" ht="16">
      <c r="A22" s="170" t="s">
        <v>386</v>
      </c>
      <c r="B22" s="171"/>
      <c r="C22" s="171"/>
      <c r="D22" s="171"/>
      <c r="E22" s="171"/>
      <c r="F22" s="171"/>
      <c r="G22" s="171"/>
      <c r="H22" s="172"/>
      <c r="J22"/>
      <c r="K22"/>
    </row>
    <row r="23" spans="1:15" ht="26">
      <c r="A23" s="190" t="s">
        <v>236</v>
      </c>
      <c r="B23" s="191" t="s">
        <v>387</v>
      </c>
      <c r="C23" s="191" t="s">
        <v>241</v>
      </c>
      <c r="D23" s="191" t="s">
        <v>345</v>
      </c>
      <c r="E23" s="191" t="s">
        <v>388</v>
      </c>
      <c r="F23" s="191" t="s">
        <v>244</v>
      </c>
      <c r="G23" s="222" t="s">
        <v>245</v>
      </c>
      <c r="H23" s="223" t="s">
        <v>246</v>
      </c>
      <c r="K23" s="370" t="s">
        <v>252</v>
      </c>
      <c r="L23" s="370"/>
    </row>
    <row r="24" spans="1:15">
      <c r="A24" s="224">
        <v>0</v>
      </c>
      <c r="B24" s="126"/>
      <c r="C24" s="63"/>
      <c r="D24" s="63"/>
      <c r="E24" s="63"/>
      <c r="F24" s="63"/>
      <c r="G24" s="127"/>
      <c r="H24" s="64"/>
      <c r="K24" s="373" t="s">
        <v>253</v>
      </c>
      <c r="L24" s="373"/>
    </row>
    <row r="25" spans="1:15">
      <c r="A25" s="225">
        <v>1</v>
      </c>
      <c r="B25" s="120"/>
      <c r="C25" s="65"/>
      <c r="D25" s="65"/>
      <c r="E25" s="65"/>
      <c r="F25" s="65"/>
      <c r="G25" s="114"/>
      <c r="H25" s="66"/>
      <c r="K25" s="135" t="s">
        <v>102</v>
      </c>
      <c r="L25" s="136" t="str">
        <f>IF(B12=J12,"OK","MAL")</f>
        <v>OK</v>
      </c>
    </row>
    <row r="26" spans="1:15">
      <c r="A26" s="225">
        <v>2</v>
      </c>
      <c r="B26" s="120"/>
      <c r="C26" s="65"/>
      <c r="D26" s="65"/>
      <c r="E26" s="65"/>
      <c r="F26" s="65"/>
      <c r="G26" s="114"/>
      <c r="H26" s="66"/>
      <c r="J26"/>
      <c r="K26" s="135" t="s">
        <v>254</v>
      </c>
      <c r="L26" s="136" t="str">
        <f>IF(D12=K12,"OK","MAL")</f>
        <v>OK</v>
      </c>
    </row>
    <row r="27" spans="1:15">
      <c r="A27" s="225">
        <v>3</v>
      </c>
      <c r="B27" s="120"/>
      <c r="C27" s="65"/>
      <c r="D27" s="65"/>
      <c r="E27" s="65"/>
      <c r="F27" s="65"/>
      <c r="G27" s="114"/>
      <c r="H27" s="66"/>
      <c r="J27"/>
      <c r="K27" s="135" t="s">
        <v>255</v>
      </c>
      <c r="L27" s="136" t="str">
        <f>IF(C12=0,"OK","MAL")</f>
        <v>OK</v>
      </c>
    </row>
    <row r="28" spans="1:15">
      <c r="A28" s="225">
        <v>4</v>
      </c>
      <c r="B28" s="120"/>
      <c r="C28" s="65"/>
      <c r="D28" s="65"/>
      <c r="E28" s="65"/>
      <c r="F28" s="65"/>
      <c r="G28" s="114"/>
      <c r="H28" s="66"/>
      <c r="J28"/>
      <c r="K28" s="135" t="s">
        <v>256</v>
      </c>
      <c r="L28" s="136" t="str">
        <f>IF((H12-F12-E12+I12)=M12,IF(M12=N10,"OK","MAL"),"MAL")</f>
        <v>OK</v>
      </c>
    </row>
    <row r="29" spans="1:15">
      <c r="A29" s="225">
        <v>5</v>
      </c>
      <c r="B29" s="120"/>
      <c r="C29" s="65"/>
      <c r="D29" s="65"/>
      <c r="E29" s="65"/>
      <c r="F29" s="65"/>
      <c r="G29" s="114"/>
      <c r="H29" s="66"/>
      <c r="J29"/>
      <c r="K29" s="373" t="s">
        <v>389</v>
      </c>
      <c r="L29" s="373"/>
    </row>
    <row r="30" spans="1:15">
      <c r="A30" s="225"/>
      <c r="B30" s="121"/>
      <c r="C30" s="86"/>
      <c r="D30" s="86"/>
      <c r="E30" s="86"/>
      <c r="F30" s="86"/>
      <c r="G30" s="115"/>
      <c r="H30" s="87"/>
      <c r="J30"/>
      <c r="K30" s="135" t="s">
        <v>390</v>
      </c>
      <c r="L30" s="136" t="str">
        <f>IF((H12-E12-F12)=G31,"OK","MAL")</f>
        <v>OK</v>
      </c>
    </row>
    <row r="31" spans="1:15">
      <c r="A31" s="226" t="s">
        <v>247</v>
      </c>
      <c r="B31" s="122"/>
      <c r="C31" s="71"/>
      <c r="D31" s="71"/>
      <c r="E31" s="71"/>
      <c r="F31" s="71"/>
      <c r="G31" s="116"/>
      <c r="H31" s="72"/>
      <c r="K31" s="135" t="s">
        <v>391</v>
      </c>
      <c r="L31" s="136" t="str">
        <f>IF(('F- CFyU'!H28-'F- CFyU'!H7-'F- CFyU'!H8+'F- CFyU'!H14-'F- CFyU'!H25+'F- CFyU'!H15)='F- Form'!G31,"OK","MAL")</f>
        <v>OK</v>
      </c>
    </row>
    <row r="32" spans="1:15">
      <c r="K32" s="135" t="s">
        <v>392</v>
      </c>
      <c r="L32" s="136" t="str">
        <f>IF('F-CRes'!G14=G31,"OK","MAL")</f>
        <v>OK</v>
      </c>
    </row>
    <row r="33" spans="3:12">
      <c r="K33" s="135" t="s">
        <v>393</v>
      </c>
      <c r="L33" s="136" t="str">
        <f>IF(('F-Balance'!G33+'F-Balance'!G34)='F- Form'!G31,"OK","MAL")</f>
        <v>OK</v>
      </c>
    </row>
    <row r="34" spans="3:12">
      <c r="C34" s="227" t="s">
        <v>248</v>
      </c>
      <c r="D34" s="131"/>
      <c r="E34" s="169" t="s">
        <v>394</v>
      </c>
      <c r="K34" s="135" t="s">
        <v>395</v>
      </c>
      <c r="L34" s="136" t="str">
        <f>IF(('F- CFyU'!H10-'F- CFyU'!H16-'F- CFyU'!H19-'F- CFyU'!H17)=G31,"OK","MAL")</f>
        <v>OK</v>
      </c>
    </row>
    <row r="35" spans="3:12">
      <c r="C35" s="227" t="s">
        <v>249</v>
      </c>
      <c r="D35" s="132"/>
      <c r="E35" s="169" t="s">
        <v>396</v>
      </c>
      <c r="K35" s="373" t="s">
        <v>397</v>
      </c>
      <c r="L35" s="373"/>
    </row>
    <row r="36" spans="3:12">
      <c r="C36" s="227" t="s">
        <v>398</v>
      </c>
      <c r="D36" s="133"/>
      <c r="K36" s="135" t="s">
        <v>399</v>
      </c>
      <c r="L36" s="136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6"/>
  <sheetViews>
    <sheetView zoomScale="90" zoomScaleNormal="90" workbookViewId="0">
      <selection activeCell="G15" sqref="G15:H15"/>
    </sheetView>
  </sheetViews>
  <sheetFormatPr baseColWidth="10" defaultColWidth="11.33203125" defaultRowHeight="13"/>
  <cols>
    <col min="1" max="1" width="45.33203125" style="17" customWidth="1"/>
    <col min="2" max="2" width="24.33203125" style="17" customWidth="1"/>
    <col min="3" max="6" width="14.83203125" style="17" customWidth="1"/>
    <col min="7" max="7" width="22.5" style="17" bestFit="1" customWidth="1"/>
    <col min="8" max="17" width="11.33203125" style="17"/>
    <col min="18" max="18" width="16.1640625" style="17" bestFit="1" customWidth="1"/>
    <col min="19" max="19" width="11.33203125" style="17"/>
    <col min="20" max="20" width="13.1640625" style="17" bestFit="1" customWidth="1"/>
    <col min="21" max="16384" width="11.33203125" style="17"/>
  </cols>
  <sheetData>
    <row r="1" spans="1:19">
      <c r="A1" s="1" t="s">
        <v>49</v>
      </c>
      <c r="B1"/>
      <c r="C1"/>
      <c r="D1"/>
      <c r="E1" s="2">
        <f>InfoInicial!E1</f>
        <v>14</v>
      </c>
    </row>
    <row r="3" spans="1:19" ht="16">
      <c r="A3" s="18" t="s">
        <v>50</v>
      </c>
      <c r="B3" s="362" t="s">
        <v>51</v>
      </c>
      <c r="C3" s="362"/>
      <c r="D3" s="363" t="s">
        <v>52</v>
      </c>
      <c r="E3" s="363"/>
    </row>
    <row r="4" spans="1:19" ht="16">
      <c r="A4" s="21"/>
      <c r="B4" s="22" t="s">
        <v>53</v>
      </c>
      <c r="C4" s="22" t="s">
        <v>54</v>
      </c>
      <c r="D4" s="22" t="s">
        <v>53</v>
      </c>
      <c r="E4" s="23" t="s">
        <v>54</v>
      </c>
    </row>
    <row r="5" spans="1:19">
      <c r="A5" s="24"/>
      <c r="B5" s="25"/>
      <c r="C5" s="25"/>
      <c r="D5" s="25"/>
      <c r="E5" s="25"/>
    </row>
    <row r="6" spans="1:19">
      <c r="A6" s="26" t="s">
        <v>55</v>
      </c>
      <c r="B6" s="27"/>
      <c r="C6" s="27"/>
      <c r="D6" s="27"/>
      <c r="E6" s="27"/>
    </row>
    <row r="7" spans="1:19">
      <c r="A7" s="28" t="s">
        <v>56</v>
      </c>
      <c r="B7" s="29">
        <f>190*InfoInicial!B32*InfoInicial!B27</f>
        <v>4085000</v>
      </c>
      <c r="C7" s="29"/>
      <c r="D7" s="29"/>
      <c r="E7" s="29"/>
      <c r="S7" s="243"/>
    </row>
    <row r="8" spans="1:19">
      <c r="A8" s="28" t="s">
        <v>57</v>
      </c>
      <c r="B8" s="29">
        <f>700*InfoInicial!B32*InfoInicial!B27</f>
        <v>15050000</v>
      </c>
      <c r="C8" s="29"/>
      <c r="D8" s="29"/>
      <c r="E8" s="29"/>
      <c r="S8" s="244"/>
    </row>
    <row r="9" spans="1:19">
      <c r="A9" s="28" t="s">
        <v>58</v>
      </c>
      <c r="B9" s="29">
        <f>B8*'E-Inv AF y Am Datos y links'!D13</f>
        <v>12040000</v>
      </c>
      <c r="C9" s="29"/>
      <c r="D9" s="29"/>
      <c r="E9" s="29"/>
    </row>
    <row r="10" spans="1:19">
      <c r="A10" s="28" t="s">
        <v>59</v>
      </c>
      <c r="B10" s="29"/>
      <c r="C10" s="29"/>
      <c r="D10" s="29"/>
      <c r="E10" s="29"/>
      <c r="S10" s="244"/>
    </row>
    <row r="11" spans="1:19">
      <c r="A11" s="28" t="s">
        <v>60</v>
      </c>
      <c r="B11" s="29"/>
      <c r="C11" s="29"/>
      <c r="D11" s="29">
        <f>'E-Inv AF y Am Datos y links'!D17*'E-Inv AF y Am Datos y links'!F17+'E-Inv AF y Am Datos y links'!D17*'E-Inv AF y Am Datos y links'!F17*'E-Inv AF y Am Datos y links'!I17+'E-Inv AF y Am Datos y links'!D18*InfoInicial!B32+'E-Inv AF y Am Datos y links'!D18*InfoInicial!B32*'E-Inv AF y Am Datos y links'!I18</f>
        <v>171517.5</v>
      </c>
      <c r="E11" s="29"/>
      <c r="S11" s="244"/>
    </row>
    <row r="12" spans="1:19">
      <c r="A12" s="28" t="s">
        <v>61</v>
      </c>
      <c r="B12" s="29">
        <f>'E-Inv AF y Am Datos y links'!D22+'E-Inv AF y Am Datos y links'!D21+'E-Inv AF y Am Datos y links'!D20*30</f>
        <v>1210246</v>
      </c>
      <c r="C12" s="29"/>
      <c r="D12" s="29"/>
      <c r="E12" s="29"/>
    </row>
    <row r="13" spans="1:19">
      <c r="A13" s="30" t="s">
        <v>62</v>
      </c>
      <c r="B13" s="248">
        <f>D11*'E-Inv AF y Am Datos y links'!D24</f>
        <v>18866.924999999999</v>
      </c>
      <c r="C13" s="29"/>
      <c r="D13" s="29"/>
      <c r="E13" s="29"/>
    </row>
    <row r="14" spans="1:19">
      <c r="A14" s="28" t="s">
        <v>63</v>
      </c>
      <c r="B14" s="29">
        <f>5*'E-Inv AF y Am Datos y links'!E29+'E-Inv AF y Am Datos y links'!E26*B12*'E-Inv AF y Am Datos y links'!G26+'E-Inv AF y Am Datos y links'!E27*D11*'E-Inv AF y Am Datos y links'!G27</f>
        <v>30235.27</v>
      </c>
      <c r="C14" s="29"/>
      <c r="D14" s="29">
        <f>'E-Inv AF y Am Datos y links'!E27*D11*'E-Inv AF y Am Datos y links'!I27</f>
        <v>3430.35</v>
      </c>
      <c r="E14" s="29"/>
    </row>
    <row r="15" spans="1:19">
      <c r="A15" s="28" t="s">
        <v>64</v>
      </c>
      <c r="B15" s="29">
        <f>'E-Inv AF y Am Datos y links'!E31*'E-Inv AF y Am Datos y links'!G31</f>
        <v>23980</v>
      </c>
      <c r="C15" s="29"/>
      <c r="D15" s="29"/>
      <c r="E15" s="29"/>
    </row>
    <row r="16" spans="1:19">
      <c r="A16" s="28" t="s">
        <v>65</v>
      </c>
      <c r="B16" s="29">
        <f>SUM('E-Inv AF y Am Datos y links'!I33:I68)</f>
        <v>683375</v>
      </c>
      <c r="C16" s="29"/>
      <c r="D16" s="29"/>
      <c r="E16" s="29"/>
    </row>
    <row r="17" spans="1:7">
      <c r="A17" s="28" t="s">
        <v>66</v>
      </c>
      <c r="B17" s="29">
        <f>'E-Inv AF y Am Datos y links'!D70</f>
        <v>0</v>
      </c>
      <c r="C17" s="29"/>
      <c r="D17" s="29"/>
      <c r="E17" s="29"/>
    </row>
    <row r="18" spans="1:7">
      <c r="A18" s="28" t="s">
        <v>21</v>
      </c>
      <c r="B18" s="29">
        <f>SUM(B7:B17)*InfoInicial!B15</f>
        <v>1159959.611825</v>
      </c>
      <c r="C18" s="29"/>
      <c r="D18" s="29">
        <f>SUM(D7:D17)*InfoInicial!B15</f>
        <v>6123.174750000001</v>
      </c>
      <c r="E18" s="29"/>
      <c r="G18" s="241"/>
    </row>
    <row r="19" spans="1:7">
      <c r="A19" s="28"/>
      <c r="B19" s="29"/>
      <c r="C19" s="29"/>
      <c r="D19" s="29"/>
      <c r="E19" s="29"/>
    </row>
    <row r="20" spans="1:7">
      <c r="A20" s="26" t="s">
        <v>67</v>
      </c>
      <c r="B20" s="29">
        <f>SUM(B7:B18)</f>
        <v>34301662.806824997</v>
      </c>
      <c r="C20" s="29"/>
      <c r="D20" s="29">
        <f>SUM(D7:D18)</f>
        <v>181071.02475000001</v>
      </c>
      <c r="E20" s="29"/>
    </row>
    <row r="21" spans="1:7">
      <c r="A21" s="28"/>
      <c r="B21" s="31"/>
      <c r="C21" s="31"/>
      <c r="D21" s="31"/>
      <c r="E21" s="31"/>
    </row>
    <row r="22" spans="1:7">
      <c r="A22" s="26" t="s">
        <v>68</v>
      </c>
      <c r="B22" s="31"/>
      <c r="C22" s="31"/>
      <c r="D22" s="31"/>
      <c r="E22" s="31"/>
    </row>
    <row r="23" spans="1:7">
      <c r="A23" s="28" t="s">
        <v>69</v>
      </c>
      <c r="B23" s="29">
        <f>'E-Inv AF y Am Datos y links'!D73</f>
        <v>150000</v>
      </c>
      <c r="C23" s="29"/>
      <c r="D23" s="29"/>
      <c r="E23" s="29"/>
    </row>
    <row r="24" spans="1:7">
      <c r="A24" s="28" t="s">
        <v>70</v>
      </c>
      <c r="B24" s="29">
        <f>'E-Inv AF y Am Datos y links'!D74</f>
        <v>100000</v>
      </c>
      <c r="C24" s="29"/>
      <c r="D24" s="29"/>
      <c r="E24" s="29"/>
    </row>
    <row r="25" spans="1:7">
      <c r="A25" s="28" t="s">
        <v>71</v>
      </c>
      <c r="B25" s="29">
        <f>'E-Inv AF y Am Datos y links'!D75</f>
        <v>1000000</v>
      </c>
      <c r="C25" s="29"/>
      <c r="D25" s="29"/>
      <c r="E25" s="29"/>
    </row>
    <row r="26" spans="1:7">
      <c r="A26" s="30" t="s">
        <v>72</v>
      </c>
      <c r="B26" s="29"/>
      <c r="C26" s="29">
        <f>'E-Inv AF y Am Datos y links'!E76</f>
        <v>150000</v>
      </c>
      <c r="D26" s="29"/>
      <c r="E26" s="29"/>
    </row>
    <row r="27" spans="1:7">
      <c r="A27" s="30" t="s">
        <v>73</v>
      </c>
      <c r="B27" s="29">
        <f>'E-Inv AF y Am Datos y links'!D77</f>
        <v>0</v>
      </c>
      <c r="C27" s="29"/>
      <c r="D27" s="29"/>
      <c r="E27" s="29"/>
    </row>
    <row r="28" spans="1:7">
      <c r="A28" s="30" t="s">
        <v>74</v>
      </c>
      <c r="B28" s="29">
        <f>'E-Inv AF y Am Datos y links'!D78</f>
        <v>0</v>
      </c>
      <c r="C28" s="29"/>
      <c r="D28" s="29"/>
      <c r="E28" s="29"/>
    </row>
    <row r="29" spans="1:7">
      <c r="A29" s="28" t="s">
        <v>21</v>
      </c>
      <c r="B29" s="29">
        <f>SUM(B23:B28)*InfoInicial!B15</f>
        <v>43750.000000000007</v>
      </c>
      <c r="C29" s="29">
        <f>SUM(C23:C28)*InfoInicial!B15</f>
        <v>5250.0000000000009</v>
      </c>
      <c r="D29" s="29"/>
      <c r="E29" s="29"/>
      <c r="G29" s="242"/>
    </row>
    <row r="30" spans="1:7">
      <c r="A30" s="28"/>
      <c r="B30" s="29"/>
      <c r="C30" s="29"/>
      <c r="D30" s="29"/>
      <c r="E30" s="29"/>
    </row>
    <row r="31" spans="1:7">
      <c r="A31" s="26" t="s">
        <v>75</v>
      </c>
      <c r="B31" s="29">
        <f>SUM(B23:B29)</f>
        <v>1293750</v>
      </c>
      <c r="C31" s="29">
        <f>SUM(C23:C29)</f>
        <v>155250</v>
      </c>
      <c r="D31" s="29"/>
      <c r="E31" s="29"/>
    </row>
    <row r="32" spans="1:7">
      <c r="A32" s="28"/>
      <c r="B32" s="31"/>
      <c r="C32" s="31"/>
      <c r="D32" s="31"/>
      <c r="E32" s="31"/>
    </row>
    <row r="33" spans="1:7">
      <c r="A33" s="26" t="s">
        <v>76</v>
      </c>
      <c r="B33" s="29">
        <f>B20+B31</f>
        <v>35595412.806824997</v>
      </c>
      <c r="C33" s="29">
        <f>C20+C31</f>
        <v>155250</v>
      </c>
      <c r="D33" s="29">
        <f>D20+D31</f>
        <v>181071.02475000001</v>
      </c>
      <c r="E33" s="29"/>
    </row>
    <row r="34" spans="1:7">
      <c r="A34" s="26" t="s">
        <v>77</v>
      </c>
      <c r="B34" s="29">
        <f>B33*InfoInicial!B3</f>
        <v>7475036.6894332487</v>
      </c>
      <c r="C34" s="29">
        <f>C33*InfoInicial!B3</f>
        <v>32602.5</v>
      </c>
      <c r="D34" s="29">
        <f>D33*InfoInicial!B3</f>
        <v>38024.915197499999</v>
      </c>
      <c r="E34" s="29"/>
    </row>
    <row r="35" spans="1:7">
      <c r="A35" s="28"/>
      <c r="B35" s="31"/>
      <c r="C35" s="31"/>
      <c r="D35" s="31"/>
      <c r="E35" s="31"/>
    </row>
    <row r="36" spans="1:7">
      <c r="A36" s="32" t="s">
        <v>78</v>
      </c>
      <c r="B36" s="33">
        <f>B33+B34</f>
        <v>43070449.496258244</v>
      </c>
      <c r="C36" s="33">
        <f>C33+C34</f>
        <v>187852.5</v>
      </c>
      <c r="D36" s="33">
        <f>D33+D34</f>
        <v>219095.93994750001</v>
      </c>
      <c r="E36" s="33"/>
    </row>
    <row r="39" spans="1:7">
      <c r="A39" s="34" t="s">
        <v>79</v>
      </c>
      <c r="B39" s="19" t="s">
        <v>80</v>
      </c>
      <c r="C39" s="19" t="s">
        <v>81</v>
      </c>
      <c r="D39" s="362" t="s">
        <v>82</v>
      </c>
      <c r="E39" s="362"/>
      <c r="F39" s="362"/>
      <c r="G39" s="35" t="s">
        <v>83</v>
      </c>
    </row>
    <row r="40" spans="1:7">
      <c r="A40" s="36"/>
      <c r="B40" s="22" t="s">
        <v>84</v>
      </c>
      <c r="C40" s="22"/>
      <c r="D40" s="22" t="s">
        <v>85</v>
      </c>
      <c r="E40" s="22" t="s">
        <v>86</v>
      </c>
      <c r="F40" s="22"/>
      <c r="G40" s="37"/>
    </row>
    <row r="41" spans="1:7">
      <c r="A41" s="38" t="s">
        <v>87</v>
      </c>
      <c r="B41" s="39"/>
      <c r="C41" s="39"/>
      <c r="D41" s="39"/>
      <c r="E41" s="39"/>
      <c r="F41" s="40"/>
      <c r="G41" s="41"/>
    </row>
    <row r="42" spans="1:7">
      <c r="A42" s="42"/>
      <c r="B42" s="43"/>
      <c r="C42" s="43"/>
      <c r="D42" s="43"/>
      <c r="E42" s="43"/>
      <c r="F42" s="44"/>
      <c r="G42" s="45"/>
    </row>
    <row r="43" spans="1:7">
      <c r="A43" s="28" t="s">
        <v>56</v>
      </c>
      <c r="B43" s="29">
        <f>B7</f>
        <v>4085000</v>
      </c>
      <c r="C43" s="245"/>
      <c r="D43" s="29">
        <f>$B43*$C43</f>
        <v>0</v>
      </c>
      <c r="E43" s="29">
        <f>$B43*$C43</f>
        <v>0</v>
      </c>
      <c r="F43" s="29"/>
      <c r="G43" s="46">
        <f>B43-3*D43-2*E43</f>
        <v>4085000</v>
      </c>
    </row>
    <row r="44" spans="1:7">
      <c r="A44" s="28" t="s">
        <v>57</v>
      </c>
      <c r="B44" s="29">
        <f>B8</f>
        <v>15050000</v>
      </c>
      <c r="C44" s="245">
        <f>1/InfoInicial!B8</f>
        <v>3.3333333333333333E-2</v>
      </c>
      <c r="D44" s="29">
        <f t="shared" ref="D44:E53" si="0">$B44*$C44</f>
        <v>501666.66666666669</v>
      </c>
      <c r="E44" s="29">
        <f t="shared" si="0"/>
        <v>501666.66666666669</v>
      </c>
      <c r="F44" s="29"/>
      <c r="G44" s="46">
        <f t="shared" ref="G44:G50" si="1">B44-3*D44-2*E44</f>
        <v>12541666.666666666</v>
      </c>
    </row>
    <row r="45" spans="1:7">
      <c r="A45" s="28" t="s">
        <v>58</v>
      </c>
      <c r="B45" s="29">
        <f>B9</f>
        <v>12040000</v>
      </c>
      <c r="C45" s="245">
        <f>1/InfoInicial!B9</f>
        <v>0.1</v>
      </c>
      <c r="D45" s="29">
        <f t="shared" si="0"/>
        <v>1204000</v>
      </c>
      <c r="E45" s="29">
        <f t="shared" si="0"/>
        <v>1204000</v>
      </c>
      <c r="F45" s="29"/>
      <c r="G45" s="46">
        <f t="shared" si="1"/>
        <v>6020000</v>
      </c>
    </row>
    <row r="46" spans="1:7">
      <c r="A46" s="30" t="s">
        <v>59</v>
      </c>
      <c r="B46" s="29">
        <f>D11+B12+B13+B14+D14-0.05/1.05*D11</f>
        <v>1426128.5450000002</v>
      </c>
      <c r="C46" s="245">
        <f>1/InfoInicial!B10</f>
        <v>0.1</v>
      </c>
      <c r="D46" s="29">
        <f t="shared" si="0"/>
        <v>142612.85450000002</v>
      </c>
      <c r="E46" s="29">
        <f t="shared" si="0"/>
        <v>142612.85450000002</v>
      </c>
      <c r="F46" s="29"/>
      <c r="G46" s="46">
        <f t="shared" si="1"/>
        <v>713064.27250000008</v>
      </c>
    </row>
    <row r="47" spans="1:7">
      <c r="A47" s="30" t="s">
        <v>64</v>
      </c>
      <c r="B47" s="29">
        <f>B15</f>
        <v>23980</v>
      </c>
      <c r="C47" s="245">
        <f>1/InfoInicial!B11</f>
        <v>0.2</v>
      </c>
      <c r="D47" s="29">
        <f t="shared" si="0"/>
        <v>4796</v>
      </c>
      <c r="E47" s="29">
        <f t="shared" si="0"/>
        <v>4796</v>
      </c>
      <c r="F47" s="29"/>
      <c r="G47" s="46">
        <f t="shared" si="1"/>
        <v>0</v>
      </c>
    </row>
    <row r="48" spans="1:7">
      <c r="A48" s="30" t="s">
        <v>65</v>
      </c>
      <c r="B48" s="29">
        <f>B16</f>
        <v>683375</v>
      </c>
      <c r="C48" s="245">
        <f>1/InfoInicial!B12</f>
        <v>0.2</v>
      </c>
      <c r="D48" s="29">
        <f t="shared" si="0"/>
        <v>136675</v>
      </c>
      <c r="E48" s="29">
        <f t="shared" si="0"/>
        <v>136675</v>
      </c>
      <c r="F48" s="29"/>
      <c r="G48" s="46">
        <f t="shared" si="1"/>
        <v>0</v>
      </c>
    </row>
    <row r="49" spans="1:9">
      <c r="A49" s="30" t="s">
        <v>21</v>
      </c>
      <c r="B49" s="29">
        <f>B18+D18</f>
        <v>1166082.786575</v>
      </c>
      <c r="C49" s="245">
        <f>1/InfoInicial!B14</f>
        <v>0.2</v>
      </c>
      <c r="D49" s="29">
        <f t="shared" si="0"/>
        <v>233216.55731500001</v>
      </c>
      <c r="E49" s="29">
        <f t="shared" si="0"/>
        <v>233216.55731500001</v>
      </c>
      <c r="F49" s="29"/>
      <c r="G49" s="46">
        <f t="shared" si="1"/>
        <v>0</v>
      </c>
    </row>
    <row r="50" spans="1:9">
      <c r="A50" s="30" t="s">
        <v>88</v>
      </c>
      <c r="B50" s="29">
        <f>D11*0.05/1.05</f>
        <v>8167.5</v>
      </c>
      <c r="C50" s="245">
        <f>1/InfoInicial!B13</f>
        <v>0.33333333333333331</v>
      </c>
      <c r="D50" s="29">
        <f t="shared" si="0"/>
        <v>2722.5</v>
      </c>
      <c r="E50" s="29"/>
      <c r="F50" s="29"/>
      <c r="G50" s="46">
        <f t="shared" si="1"/>
        <v>0</v>
      </c>
    </row>
    <row r="51" spans="1:9">
      <c r="A51" s="47" t="s">
        <v>89</v>
      </c>
      <c r="B51" s="29">
        <f>SUM(B43:B50)</f>
        <v>34482733.831574999</v>
      </c>
      <c r="C51" s="245"/>
      <c r="D51" s="29">
        <f>SUM(D43:D50)</f>
        <v>2225689.5784816667</v>
      </c>
      <c r="E51" s="29">
        <f>SUM(E43:E50)</f>
        <v>2222967.0784816667</v>
      </c>
      <c r="F51" s="29"/>
      <c r="G51" s="46">
        <f>SUM(G43:G50)</f>
        <v>23359730.939166665</v>
      </c>
    </row>
    <row r="52" spans="1:9">
      <c r="A52" s="26"/>
      <c r="B52" s="48"/>
      <c r="C52" s="246"/>
      <c r="D52" s="49"/>
      <c r="E52" s="49"/>
      <c r="F52" s="49"/>
      <c r="G52" s="50"/>
    </row>
    <row r="53" spans="1:9">
      <c r="A53" s="47" t="s">
        <v>90</v>
      </c>
      <c r="B53" s="29">
        <f>B31+C31</f>
        <v>1449000</v>
      </c>
      <c r="C53" s="245">
        <f>1/InfoInicial!B14</f>
        <v>0.2</v>
      </c>
      <c r="D53" s="29">
        <f t="shared" si="0"/>
        <v>289800</v>
      </c>
      <c r="E53" s="29">
        <f t="shared" si="0"/>
        <v>289800</v>
      </c>
      <c r="F53" s="29"/>
      <c r="G53" s="46"/>
    </row>
    <row r="54" spans="1:9">
      <c r="A54" s="47"/>
      <c r="B54" s="29"/>
      <c r="C54" s="245"/>
      <c r="D54" s="29"/>
      <c r="E54" s="29"/>
      <c r="F54" s="29"/>
      <c r="G54" s="46"/>
    </row>
    <row r="55" spans="1:9">
      <c r="A55" s="26"/>
      <c r="B55" s="27"/>
      <c r="C55" s="247"/>
      <c r="D55" s="51"/>
      <c r="E55" s="52"/>
      <c r="F55" s="52"/>
      <c r="G55" s="53"/>
      <c r="H55" s="54"/>
      <c r="I55" s="54"/>
    </row>
    <row r="56" spans="1:9">
      <c r="A56" s="32" t="s">
        <v>91</v>
      </c>
      <c r="B56" s="33">
        <f>B51+B53</f>
        <v>35931733.831574999</v>
      </c>
      <c r="C56" s="33"/>
      <c r="D56" s="33">
        <f>D51+D53</f>
        <v>2515489.5784816667</v>
      </c>
      <c r="E56" s="33">
        <f>E51+E53</f>
        <v>2512767.0784816667</v>
      </c>
      <c r="F56" s="33"/>
      <c r="G56" s="33">
        <f>G51+G53</f>
        <v>23359730.939166665</v>
      </c>
      <c r="H56" s="56"/>
      <c r="I56" s="56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Q94"/>
  <sheetViews>
    <sheetView workbookViewId="0">
      <selection activeCell="A96" sqref="A96"/>
    </sheetView>
  </sheetViews>
  <sheetFormatPr baseColWidth="10" defaultRowHeight="13"/>
  <cols>
    <col min="1" max="1" width="41.6640625" bestFit="1" customWidth="1"/>
    <col min="2" max="2" width="9.1640625" bestFit="1" customWidth="1"/>
    <col min="3" max="3" width="27.33203125" customWidth="1"/>
    <col min="4" max="4" width="14.33203125" customWidth="1"/>
    <col min="5" max="5" width="11.83203125" customWidth="1"/>
    <col min="6" max="6" width="10.83203125" customWidth="1"/>
    <col min="7" max="7" width="15.5" customWidth="1"/>
    <col min="9" max="9" width="11.6640625" bestFit="1" customWidth="1"/>
  </cols>
  <sheetData>
    <row r="4" spans="1:17" ht="16">
      <c r="A4" s="249" t="s">
        <v>50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17"/>
      <c r="N4" s="17"/>
      <c r="O4" s="17"/>
      <c r="P4" s="17"/>
      <c r="Q4" s="17"/>
    </row>
    <row r="5" spans="1:17" ht="16">
      <c r="A5" s="249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17"/>
    </row>
    <row r="6" spans="1:17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17"/>
    </row>
    <row r="7" spans="1:17">
      <c r="A7" s="251" t="s">
        <v>55</v>
      </c>
      <c r="B7" s="250"/>
      <c r="C7" s="250"/>
      <c r="D7" s="250"/>
      <c r="E7" s="250"/>
      <c r="F7" s="250"/>
      <c r="G7" s="250"/>
      <c r="H7" s="105"/>
      <c r="I7" s="250"/>
      <c r="J7" s="250"/>
      <c r="K7" s="250" t="s">
        <v>433</v>
      </c>
      <c r="L7" s="250"/>
      <c r="M7" s="17"/>
    </row>
    <row r="8" spans="1:17">
      <c r="A8" s="251"/>
      <c r="B8" s="250"/>
      <c r="C8" s="250"/>
      <c r="D8" s="250"/>
      <c r="E8" s="250"/>
      <c r="F8" s="250"/>
      <c r="G8" s="250"/>
      <c r="H8" s="105"/>
      <c r="I8" s="250"/>
      <c r="J8" s="250"/>
      <c r="K8" s="250"/>
      <c r="L8" s="250"/>
      <c r="M8" s="17"/>
    </row>
    <row r="9" spans="1:17">
      <c r="A9" s="240" t="s">
        <v>56</v>
      </c>
      <c r="B9" s="250"/>
      <c r="C9" s="250" t="s">
        <v>416</v>
      </c>
      <c r="D9" s="105">
        <v>190</v>
      </c>
      <c r="E9" s="105"/>
      <c r="F9" s="250"/>
      <c r="G9" s="250"/>
      <c r="H9" s="105"/>
      <c r="I9" s="250"/>
      <c r="J9" s="250"/>
      <c r="K9" s="250" t="s">
        <v>401</v>
      </c>
      <c r="L9" s="250"/>
      <c r="M9" s="17"/>
    </row>
    <row r="10" spans="1:17">
      <c r="A10" s="240"/>
      <c r="B10" s="250"/>
      <c r="C10" s="250"/>
      <c r="D10" s="105"/>
      <c r="E10" s="105"/>
      <c r="F10" s="250"/>
      <c r="G10" s="250"/>
      <c r="H10" s="105"/>
      <c r="I10" s="250"/>
      <c r="J10" s="250"/>
      <c r="K10" s="250"/>
      <c r="L10" s="250"/>
      <c r="M10" s="17"/>
    </row>
    <row r="11" spans="1:17">
      <c r="A11" s="240" t="s">
        <v>57</v>
      </c>
      <c r="B11" s="250"/>
      <c r="C11" s="250" t="s">
        <v>416</v>
      </c>
      <c r="D11" s="105">
        <v>700</v>
      </c>
      <c r="E11" s="105"/>
      <c r="F11" s="250"/>
      <c r="G11" s="250"/>
      <c r="H11" s="105"/>
      <c r="I11" s="250"/>
      <c r="J11" s="250"/>
      <c r="K11" s="250" t="s">
        <v>402</v>
      </c>
      <c r="L11" s="250"/>
      <c r="M11" s="17"/>
    </row>
    <row r="12" spans="1:17">
      <c r="A12" s="240"/>
      <c r="B12" s="250"/>
      <c r="C12" s="250"/>
      <c r="D12" s="105"/>
      <c r="E12" s="105"/>
      <c r="F12" s="250"/>
      <c r="G12" s="250"/>
      <c r="H12" s="105"/>
      <c r="I12" s="250"/>
      <c r="J12" s="250"/>
      <c r="K12" s="250"/>
      <c r="L12" s="250"/>
      <c r="M12" s="17"/>
    </row>
    <row r="13" spans="1:17">
      <c r="A13" s="240" t="s">
        <v>58</v>
      </c>
      <c r="B13" s="250"/>
      <c r="C13" s="250" t="s">
        <v>417</v>
      </c>
      <c r="D13" s="252">
        <v>0.8</v>
      </c>
      <c r="E13" s="105"/>
      <c r="F13" s="250"/>
      <c r="G13" s="250"/>
      <c r="H13" s="105"/>
      <c r="I13" s="250"/>
      <c r="J13" s="250"/>
      <c r="K13" s="250" t="s">
        <v>403</v>
      </c>
      <c r="L13" s="250"/>
      <c r="M13" s="17"/>
    </row>
    <row r="14" spans="1:17">
      <c r="A14" s="240"/>
      <c r="B14" s="250"/>
      <c r="C14" s="250"/>
      <c r="D14" s="252"/>
      <c r="E14" s="105"/>
      <c r="F14" s="250"/>
      <c r="G14" s="250"/>
      <c r="H14" s="105"/>
      <c r="I14" s="250"/>
      <c r="J14" s="250"/>
      <c r="K14" s="250"/>
      <c r="L14" s="250"/>
      <c r="M14" s="17"/>
    </row>
    <row r="15" spans="1:17">
      <c r="A15" s="240" t="s">
        <v>59</v>
      </c>
      <c r="B15" s="250"/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17"/>
    </row>
    <row r="16" spans="1:17">
      <c r="A16" s="240"/>
      <c r="B16" s="250"/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17"/>
    </row>
    <row r="17" spans="1:17">
      <c r="A17" s="240" t="s">
        <v>60</v>
      </c>
      <c r="B17" s="250"/>
      <c r="C17" s="250" t="s">
        <v>405</v>
      </c>
      <c r="D17" s="253">
        <v>867</v>
      </c>
      <c r="E17" s="250" t="s">
        <v>430</v>
      </c>
      <c r="F17" s="105">
        <v>50</v>
      </c>
      <c r="G17" s="250" t="s">
        <v>427</v>
      </c>
      <c r="H17" s="250" t="s">
        <v>88</v>
      </c>
      <c r="I17" s="254">
        <v>0.05</v>
      </c>
      <c r="J17" s="250"/>
      <c r="K17" s="250" t="s">
        <v>404</v>
      </c>
      <c r="L17" s="250"/>
      <c r="M17" s="17"/>
    </row>
    <row r="18" spans="1:17">
      <c r="A18" s="240"/>
      <c r="B18" s="105"/>
      <c r="C18" s="250" t="s">
        <v>410</v>
      </c>
      <c r="D18" s="255">
        <v>3000</v>
      </c>
      <c r="E18" s="250" t="s">
        <v>428</v>
      </c>
      <c r="F18" s="105"/>
      <c r="G18" s="250"/>
      <c r="H18" s="250" t="s">
        <v>88</v>
      </c>
      <c r="I18" s="254">
        <v>0.05</v>
      </c>
      <c r="J18" s="250"/>
      <c r="K18" s="250" t="s">
        <v>409</v>
      </c>
      <c r="L18" s="250"/>
      <c r="M18" s="17"/>
    </row>
    <row r="19" spans="1:17">
      <c r="A19" s="240"/>
      <c r="B19" s="105"/>
      <c r="C19" s="250"/>
      <c r="D19" s="255"/>
      <c r="E19" s="250"/>
      <c r="F19" s="105"/>
      <c r="G19" s="250"/>
      <c r="H19" s="250"/>
      <c r="I19" s="254"/>
      <c r="J19" s="250"/>
      <c r="K19" s="250"/>
      <c r="L19" s="250"/>
      <c r="M19" s="17"/>
    </row>
    <row r="20" spans="1:17">
      <c r="A20" s="240" t="s">
        <v>61</v>
      </c>
      <c r="B20" s="250"/>
      <c r="C20" s="250" t="s">
        <v>412</v>
      </c>
      <c r="D20" s="256">
        <v>36590</v>
      </c>
      <c r="E20" s="250" t="s">
        <v>429</v>
      </c>
      <c r="F20" s="105"/>
      <c r="G20" s="250"/>
      <c r="H20" s="250"/>
      <c r="I20" s="250"/>
      <c r="J20" s="250"/>
      <c r="K20" s="250" t="s">
        <v>411</v>
      </c>
      <c r="L20" s="250"/>
      <c r="M20" s="17"/>
    </row>
    <row r="21" spans="1:17">
      <c r="A21" s="240"/>
      <c r="B21" s="250"/>
      <c r="C21" s="250" t="s">
        <v>413</v>
      </c>
      <c r="D21" s="256">
        <v>99600</v>
      </c>
      <c r="E21" s="250" t="s">
        <v>429</v>
      </c>
      <c r="F21" s="105"/>
      <c r="G21" s="250"/>
      <c r="H21" s="250"/>
      <c r="I21" s="250"/>
      <c r="J21" s="250"/>
      <c r="K21" s="250" t="s">
        <v>414</v>
      </c>
      <c r="L21" s="250"/>
      <c r="M21" s="17"/>
    </row>
    <row r="22" spans="1:17">
      <c r="A22" s="240"/>
      <c r="B22" s="250"/>
      <c r="C22" s="250" t="s">
        <v>408</v>
      </c>
      <c r="D22" s="256">
        <v>12946</v>
      </c>
      <c r="E22" s="250" t="s">
        <v>429</v>
      </c>
      <c r="F22" s="105"/>
      <c r="G22" s="250"/>
      <c r="H22" s="250"/>
      <c r="I22" s="250"/>
      <c r="J22" s="250"/>
      <c r="K22" s="250" t="s">
        <v>406</v>
      </c>
      <c r="L22" s="250"/>
      <c r="M22" s="17"/>
    </row>
    <row r="23" spans="1:17">
      <c r="A23" s="240"/>
      <c r="B23" s="250"/>
      <c r="C23" s="250"/>
      <c r="D23" s="256"/>
      <c r="E23" s="250"/>
      <c r="F23" s="105"/>
      <c r="G23" s="250"/>
      <c r="H23" s="250"/>
      <c r="I23" s="250"/>
      <c r="J23" s="250"/>
      <c r="K23" s="250"/>
      <c r="L23" s="250"/>
      <c r="M23" s="17"/>
    </row>
    <row r="24" spans="1:17">
      <c r="A24" s="257" t="s">
        <v>62</v>
      </c>
      <c r="B24" s="250"/>
      <c r="C24" s="250" t="s">
        <v>421</v>
      </c>
      <c r="D24" s="254">
        <v>0.11</v>
      </c>
      <c r="E24" s="105"/>
      <c r="F24" s="250"/>
      <c r="G24" s="250"/>
      <c r="H24" s="105"/>
      <c r="I24" s="250"/>
      <c r="J24" s="250"/>
      <c r="K24" s="250" t="s">
        <v>403</v>
      </c>
      <c r="L24" s="250"/>
      <c r="M24" s="17"/>
    </row>
    <row r="25" spans="1:17">
      <c r="A25" s="257"/>
      <c r="B25" s="250"/>
      <c r="C25" s="250"/>
      <c r="D25" s="254"/>
      <c r="E25" s="105"/>
      <c r="F25" s="250"/>
      <c r="G25" s="250"/>
      <c r="H25" s="105"/>
      <c r="I25" s="250"/>
      <c r="J25" s="250"/>
      <c r="K25" s="250"/>
      <c r="L25" s="250"/>
      <c r="M25" s="17"/>
    </row>
    <row r="26" spans="1:17">
      <c r="A26" s="240" t="s">
        <v>63</v>
      </c>
      <c r="B26" s="250"/>
      <c r="C26" s="250" t="s">
        <v>418</v>
      </c>
      <c r="D26" s="250" t="s">
        <v>407</v>
      </c>
      <c r="E26" s="254">
        <v>0.02</v>
      </c>
      <c r="F26" s="250" t="s">
        <v>422</v>
      </c>
      <c r="G26" s="252">
        <v>1</v>
      </c>
      <c r="H26" s="250" t="s">
        <v>423</v>
      </c>
      <c r="I26" s="254">
        <v>0</v>
      </c>
      <c r="J26" s="105"/>
      <c r="K26" s="250" t="s">
        <v>403</v>
      </c>
      <c r="L26" s="250"/>
      <c r="M26" s="17"/>
      <c r="N26" s="17"/>
      <c r="O26" s="17"/>
      <c r="P26" s="17"/>
    </row>
    <row r="27" spans="1:17">
      <c r="A27" s="240"/>
      <c r="B27" s="250"/>
      <c r="C27" s="250"/>
      <c r="D27" s="250" t="s">
        <v>419</v>
      </c>
      <c r="E27" s="254">
        <v>0.04</v>
      </c>
      <c r="F27" s="250" t="s">
        <v>422</v>
      </c>
      <c r="G27" s="252">
        <v>0.5</v>
      </c>
      <c r="H27" s="250" t="s">
        <v>423</v>
      </c>
      <c r="I27" s="254">
        <v>0.5</v>
      </c>
      <c r="J27" s="105"/>
      <c r="K27" s="250" t="s">
        <v>403</v>
      </c>
      <c r="L27" s="250"/>
      <c r="M27" s="17"/>
      <c r="N27" s="17"/>
      <c r="O27" s="17"/>
      <c r="P27" s="17"/>
    </row>
    <row r="28" spans="1:17">
      <c r="A28" s="240"/>
      <c r="B28" s="250"/>
      <c r="C28" s="250" t="s">
        <v>420</v>
      </c>
      <c r="D28" s="250" t="s">
        <v>424</v>
      </c>
      <c r="E28" s="250"/>
      <c r="F28" s="250"/>
      <c r="G28" s="250"/>
      <c r="H28" s="250">
        <v>1</v>
      </c>
      <c r="I28" s="105"/>
      <c r="J28" s="105"/>
      <c r="K28" s="105"/>
      <c r="L28" s="250"/>
      <c r="M28" s="17"/>
      <c r="N28" s="17"/>
      <c r="O28" s="17"/>
      <c r="P28" s="17"/>
    </row>
    <row r="29" spans="1:17">
      <c r="A29" s="240"/>
      <c r="B29" s="250"/>
      <c r="C29" s="250"/>
      <c r="D29" s="105" t="s">
        <v>425</v>
      </c>
      <c r="E29" s="256">
        <v>520</v>
      </c>
      <c r="F29" s="105"/>
      <c r="G29" s="105"/>
      <c r="H29" s="105"/>
      <c r="I29" s="105"/>
      <c r="J29" s="105"/>
      <c r="K29" s="250" t="s">
        <v>415</v>
      </c>
      <c r="L29" s="250"/>
      <c r="M29" s="17"/>
      <c r="N29" s="17"/>
      <c r="O29" s="17"/>
      <c r="P29" s="17"/>
    </row>
    <row r="30" spans="1:17">
      <c r="A30" s="240"/>
      <c r="B30" s="250"/>
      <c r="C30" s="250"/>
      <c r="D30" s="105"/>
      <c r="E30" s="256"/>
      <c r="F30" s="105"/>
      <c r="G30" s="105"/>
      <c r="H30" s="105"/>
      <c r="I30" s="105"/>
      <c r="J30" s="105"/>
      <c r="K30" s="250"/>
      <c r="L30" s="250"/>
      <c r="M30" s="17"/>
      <c r="N30" s="17"/>
      <c r="O30" s="17"/>
      <c r="P30" s="17"/>
    </row>
    <row r="31" spans="1:17">
      <c r="A31" s="240" t="s">
        <v>64</v>
      </c>
      <c r="B31" s="250"/>
      <c r="C31" s="250" t="s">
        <v>435</v>
      </c>
      <c r="D31" s="250" t="s">
        <v>436</v>
      </c>
      <c r="E31" s="250">
        <v>2</v>
      </c>
      <c r="F31" s="250" t="s">
        <v>425</v>
      </c>
      <c r="G31" s="255">
        <v>11990</v>
      </c>
      <c r="H31" s="250" t="s">
        <v>157</v>
      </c>
      <c r="I31" s="255">
        <f>E31*G31</f>
        <v>23980</v>
      </c>
      <c r="J31" s="105"/>
      <c r="K31" s="250" t="s">
        <v>434</v>
      </c>
      <c r="L31" s="250"/>
      <c r="M31" s="17"/>
      <c r="N31" s="17"/>
      <c r="O31" s="17"/>
      <c r="P31" s="17"/>
      <c r="Q31" s="17"/>
    </row>
    <row r="32" spans="1:17">
      <c r="A32" s="240"/>
      <c r="B32" s="250"/>
      <c r="C32" s="250"/>
      <c r="D32" s="250"/>
      <c r="E32" s="250"/>
      <c r="F32" s="250"/>
      <c r="G32" s="255"/>
      <c r="H32" s="250"/>
      <c r="I32" s="255"/>
      <c r="J32" s="105"/>
      <c r="K32" s="250"/>
      <c r="L32" s="250"/>
      <c r="M32" s="17"/>
      <c r="N32" s="17"/>
      <c r="O32" s="17"/>
      <c r="P32" s="17"/>
      <c r="Q32" s="17"/>
    </row>
    <row r="33" spans="1:17">
      <c r="A33" s="240" t="s">
        <v>65</v>
      </c>
      <c r="B33" s="250"/>
      <c r="C33" s="250" t="s">
        <v>437</v>
      </c>
      <c r="D33" s="250" t="s">
        <v>436</v>
      </c>
      <c r="E33" s="105">
        <v>6</v>
      </c>
      <c r="F33" s="250" t="s">
        <v>425</v>
      </c>
      <c r="G33" s="255">
        <v>27999</v>
      </c>
      <c r="H33" s="250" t="s">
        <v>157</v>
      </c>
      <c r="I33" s="255">
        <f t="shared" ref="I33:I68" si="0">E33*G33</f>
        <v>167994</v>
      </c>
      <c r="J33" s="250"/>
      <c r="K33" s="250" t="s">
        <v>466</v>
      </c>
      <c r="L33" s="250"/>
      <c r="M33" s="17"/>
      <c r="N33" s="17"/>
      <c r="O33" s="17"/>
      <c r="P33" s="17"/>
      <c r="Q33" s="17"/>
    </row>
    <row r="34" spans="1:17">
      <c r="A34" s="240"/>
      <c r="B34" s="250"/>
      <c r="C34" s="250" t="s">
        <v>438</v>
      </c>
      <c r="D34" s="250" t="s">
        <v>436</v>
      </c>
      <c r="E34" s="250">
        <v>3</v>
      </c>
      <c r="F34" s="250" t="s">
        <v>425</v>
      </c>
      <c r="G34" s="255">
        <v>4095</v>
      </c>
      <c r="H34" s="250" t="s">
        <v>157</v>
      </c>
      <c r="I34" s="255">
        <f t="shared" si="0"/>
        <v>12285</v>
      </c>
      <c r="J34" s="250"/>
      <c r="K34" s="250" t="s">
        <v>467</v>
      </c>
      <c r="L34" s="250"/>
      <c r="M34" s="17"/>
      <c r="N34" s="17"/>
      <c r="O34" s="17"/>
      <c r="P34" s="17"/>
      <c r="Q34" s="17"/>
    </row>
    <row r="35" spans="1:17">
      <c r="A35" s="240"/>
      <c r="B35" s="250"/>
      <c r="C35" s="250" t="s">
        <v>439</v>
      </c>
      <c r="D35" s="250" t="s">
        <v>436</v>
      </c>
      <c r="E35" s="250">
        <v>3</v>
      </c>
      <c r="F35" s="250" t="s">
        <v>425</v>
      </c>
      <c r="G35" s="255">
        <v>105</v>
      </c>
      <c r="H35" s="250" t="s">
        <v>157</v>
      </c>
      <c r="I35" s="255">
        <f t="shared" si="0"/>
        <v>315</v>
      </c>
      <c r="J35" s="250"/>
      <c r="K35" s="250" t="s">
        <v>468</v>
      </c>
      <c r="L35" s="250"/>
      <c r="M35" s="17"/>
      <c r="N35" s="17"/>
      <c r="O35" s="17"/>
      <c r="P35" s="17"/>
      <c r="Q35" s="17"/>
    </row>
    <row r="36" spans="1:17">
      <c r="A36" s="240"/>
      <c r="B36" s="250"/>
      <c r="C36" s="250" t="s">
        <v>440</v>
      </c>
      <c r="D36" s="250" t="s">
        <v>436</v>
      </c>
      <c r="E36" s="250">
        <v>3</v>
      </c>
      <c r="F36" s="250" t="s">
        <v>425</v>
      </c>
      <c r="G36" s="255">
        <v>224</v>
      </c>
      <c r="H36" s="250" t="s">
        <v>157</v>
      </c>
      <c r="I36" s="255">
        <f t="shared" si="0"/>
        <v>672</v>
      </c>
      <c r="J36" s="250"/>
      <c r="K36" s="250" t="s">
        <v>469</v>
      </c>
      <c r="L36" s="250"/>
      <c r="M36" s="17"/>
      <c r="N36" s="17"/>
      <c r="O36" s="17"/>
      <c r="P36" s="17"/>
      <c r="Q36" s="17"/>
    </row>
    <row r="37" spans="1:17">
      <c r="A37" s="240"/>
      <c r="B37" s="250"/>
      <c r="C37" s="250" t="s">
        <v>441</v>
      </c>
      <c r="D37" s="250" t="s">
        <v>436</v>
      </c>
      <c r="E37" s="250">
        <v>3</v>
      </c>
      <c r="F37" s="250" t="s">
        <v>425</v>
      </c>
      <c r="G37" s="255">
        <v>450</v>
      </c>
      <c r="H37" s="250" t="s">
        <v>157</v>
      </c>
      <c r="I37" s="255">
        <f t="shared" si="0"/>
        <v>1350</v>
      </c>
      <c r="J37" s="250"/>
      <c r="K37" s="250" t="s">
        <v>470</v>
      </c>
      <c r="L37" s="250"/>
      <c r="M37" s="17"/>
      <c r="N37" s="17"/>
      <c r="O37" s="17"/>
      <c r="P37" s="17"/>
      <c r="Q37" s="17"/>
    </row>
    <row r="38" spans="1:17">
      <c r="A38" s="240"/>
      <c r="B38" s="250"/>
      <c r="C38" s="250" t="s">
        <v>442</v>
      </c>
      <c r="D38" s="250" t="s">
        <v>436</v>
      </c>
      <c r="E38" s="250">
        <v>6</v>
      </c>
      <c r="F38" s="250" t="s">
        <v>425</v>
      </c>
      <c r="G38" s="255">
        <v>2199</v>
      </c>
      <c r="H38" s="250" t="s">
        <v>157</v>
      </c>
      <c r="I38" s="255">
        <f t="shared" si="0"/>
        <v>13194</v>
      </c>
      <c r="J38" s="250"/>
      <c r="K38" s="250" t="s">
        <v>471</v>
      </c>
      <c r="L38" s="250"/>
      <c r="M38" s="17"/>
      <c r="N38" s="17"/>
      <c r="O38" s="17"/>
      <c r="P38" s="17"/>
      <c r="Q38" s="17"/>
    </row>
    <row r="39" spans="1:17">
      <c r="A39" s="240"/>
      <c r="B39" s="250"/>
      <c r="C39" s="250" t="s">
        <v>443</v>
      </c>
      <c r="D39" s="250" t="s">
        <v>436</v>
      </c>
      <c r="E39" s="250">
        <v>6</v>
      </c>
      <c r="F39" s="250" t="s">
        <v>425</v>
      </c>
      <c r="G39" s="255">
        <v>9749</v>
      </c>
      <c r="H39" s="250" t="s">
        <v>157</v>
      </c>
      <c r="I39" s="255">
        <f t="shared" si="0"/>
        <v>58494</v>
      </c>
      <c r="J39" s="250"/>
      <c r="K39" s="250" t="s">
        <v>472</v>
      </c>
      <c r="L39" s="250"/>
      <c r="M39" s="17"/>
      <c r="N39" s="17"/>
      <c r="O39" s="17"/>
      <c r="P39" s="17"/>
      <c r="Q39" s="17"/>
    </row>
    <row r="40" spans="1:17">
      <c r="A40" s="240"/>
      <c r="B40" s="250"/>
      <c r="C40" s="250" t="s">
        <v>444</v>
      </c>
      <c r="D40" s="250" t="s">
        <v>436</v>
      </c>
      <c r="E40" s="250">
        <v>28</v>
      </c>
      <c r="F40" s="250" t="s">
        <v>425</v>
      </c>
      <c r="G40" s="255">
        <v>445</v>
      </c>
      <c r="H40" s="250" t="s">
        <v>157</v>
      </c>
      <c r="I40" s="255">
        <f t="shared" si="0"/>
        <v>12460</v>
      </c>
      <c r="J40" s="250"/>
      <c r="K40" s="250" t="s">
        <v>473</v>
      </c>
      <c r="L40" s="250"/>
      <c r="M40" s="17"/>
      <c r="N40" s="17"/>
      <c r="O40" s="17"/>
      <c r="P40" s="17"/>
      <c r="Q40" s="17"/>
    </row>
    <row r="41" spans="1:17">
      <c r="A41" s="240"/>
      <c r="B41" s="250"/>
      <c r="C41" s="250" t="s">
        <v>445</v>
      </c>
      <c r="D41" s="250" t="s">
        <v>436</v>
      </c>
      <c r="E41" s="250">
        <v>1</v>
      </c>
      <c r="F41" s="250" t="s">
        <v>425</v>
      </c>
      <c r="G41" s="255">
        <v>16560</v>
      </c>
      <c r="H41" s="250" t="s">
        <v>157</v>
      </c>
      <c r="I41" s="255">
        <f t="shared" si="0"/>
        <v>16560</v>
      </c>
      <c r="J41" s="250"/>
      <c r="K41" s="250" t="s">
        <v>474</v>
      </c>
      <c r="L41" s="250"/>
      <c r="M41" s="17"/>
      <c r="N41" s="17"/>
      <c r="O41" s="17"/>
      <c r="P41" s="17"/>
      <c r="Q41" s="17"/>
    </row>
    <row r="42" spans="1:17">
      <c r="A42" s="240"/>
      <c r="B42" s="250"/>
      <c r="C42" s="250" t="s">
        <v>446</v>
      </c>
      <c r="D42" s="250" t="s">
        <v>436</v>
      </c>
      <c r="E42" s="250">
        <v>3</v>
      </c>
      <c r="F42" s="250" t="s">
        <v>425</v>
      </c>
      <c r="G42" s="255">
        <v>749</v>
      </c>
      <c r="H42" s="250" t="s">
        <v>157</v>
      </c>
      <c r="I42" s="255">
        <f t="shared" si="0"/>
        <v>2247</v>
      </c>
      <c r="J42" s="250"/>
      <c r="K42" s="250" t="s">
        <v>475</v>
      </c>
      <c r="L42" s="250"/>
      <c r="M42" s="17"/>
      <c r="N42" s="17"/>
      <c r="O42" s="17"/>
      <c r="P42" s="17"/>
      <c r="Q42" s="17"/>
    </row>
    <row r="43" spans="1:17">
      <c r="A43" s="240"/>
      <c r="B43" s="250"/>
      <c r="C43" s="250" t="s">
        <v>447</v>
      </c>
      <c r="D43" s="250" t="s">
        <v>436</v>
      </c>
      <c r="E43" s="250">
        <v>3</v>
      </c>
      <c r="F43" s="250" t="s">
        <v>425</v>
      </c>
      <c r="G43" s="255">
        <v>849</v>
      </c>
      <c r="H43" s="250" t="s">
        <v>157</v>
      </c>
      <c r="I43" s="255">
        <f t="shared" si="0"/>
        <v>2547</v>
      </c>
      <c r="J43" s="250"/>
      <c r="K43" s="250" t="s">
        <v>476</v>
      </c>
      <c r="L43" s="250"/>
      <c r="M43" s="17"/>
      <c r="N43" s="17"/>
      <c r="O43" s="17"/>
      <c r="P43" s="17"/>
      <c r="Q43" s="17"/>
    </row>
    <row r="44" spans="1:17">
      <c r="A44" s="240"/>
      <c r="B44" s="250"/>
      <c r="C44" s="250" t="s">
        <v>448</v>
      </c>
      <c r="D44" s="250" t="s">
        <v>436</v>
      </c>
      <c r="E44" s="250">
        <v>7</v>
      </c>
      <c r="F44" s="250" t="s">
        <v>425</v>
      </c>
      <c r="G44" s="255">
        <v>23999</v>
      </c>
      <c r="H44" s="250" t="s">
        <v>157</v>
      </c>
      <c r="I44" s="255">
        <f t="shared" si="0"/>
        <v>167993</v>
      </c>
      <c r="J44" s="250"/>
      <c r="K44" s="250" t="s">
        <v>477</v>
      </c>
      <c r="L44" s="250"/>
      <c r="M44" s="17"/>
      <c r="N44" s="17"/>
      <c r="O44" s="17"/>
      <c r="P44" s="17"/>
      <c r="Q44" s="17"/>
    </row>
    <row r="45" spans="1:17">
      <c r="A45" s="240"/>
      <c r="B45" s="250"/>
      <c r="C45" s="250" t="s">
        <v>449</v>
      </c>
      <c r="D45" s="250" t="s">
        <v>436</v>
      </c>
      <c r="E45" s="250">
        <v>3</v>
      </c>
      <c r="F45" s="250" t="s">
        <v>425</v>
      </c>
      <c r="G45" s="255">
        <v>19999</v>
      </c>
      <c r="H45" s="250" t="s">
        <v>157</v>
      </c>
      <c r="I45" s="255">
        <f t="shared" si="0"/>
        <v>59997</v>
      </c>
      <c r="J45" s="250"/>
      <c r="K45" s="250" t="s">
        <v>478</v>
      </c>
      <c r="L45" s="250"/>
      <c r="M45" s="17"/>
      <c r="N45" s="17"/>
      <c r="O45" s="17"/>
      <c r="P45" s="17"/>
      <c r="Q45" s="17"/>
    </row>
    <row r="46" spans="1:17">
      <c r="A46" s="240"/>
      <c r="B46" s="250"/>
      <c r="C46" s="250" t="s">
        <v>450</v>
      </c>
      <c r="D46" s="250" t="s">
        <v>436</v>
      </c>
      <c r="E46" s="250">
        <v>3</v>
      </c>
      <c r="F46" s="250" t="s">
        <v>425</v>
      </c>
      <c r="G46" s="255">
        <v>4189</v>
      </c>
      <c r="H46" s="250" t="s">
        <v>157</v>
      </c>
      <c r="I46" s="255">
        <f t="shared" si="0"/>
        <v>12567</v>
      </c>
      <c r="J46" s="250"/>
      <c r="K46" s="250" t="s">
        <v>479</v>
      </c>
      <c r="L46" s="250"/>
      <c r="M46" s="17"/>
      <c r="N46" s="17"/>
      <c r="O46" s="17"/>
      <c r="P46" s="17"/>
      <c r="Q46" s="17"/>
    </row>
    <row r="47" spans="1:17">
      <c r="A47" s="240"/>
      <c r="B47" s="250"/>
      <c r="C47" s="250" t="s">
        <v>481</v>
      </c>
      <c r="D47" s="250" t="s">
        <v>436</v>
      </c>
      <c r="E47" s="250">
        <v>3</v>
      </c>
      <c r="F47" s="250" t="s">
        <v>425</v>
      </c>
      <c r="G47" s="255">
        <v>989</v>
      </c>
      <c r="H47" s="250" t="s">
        <v>157</v>
      </c>
      <c r="I47" s="255">
        <f t="shared" si="0"/>
        <v>2967</v>
      </c>
      <c r="J47" s="250"/>
      <c r="K47" s="250" t="s">
        <v>480</v>
      </c>
      <c r="L47" s="250"/>
      <c r="M47" s="17"/>
      <c r="N47" s="17"/>
      <c r="O47" s="17"/>
      <c r="P47" s="17"/>
      <c r="Q47" s="17"/>
    </row>
    <row r="48" spans="1:17">
      <c r="A48" s="240"/>
      <c r="B48" s="250"/>
      <c r="C48" s="250" t="s">
        <v>451</v>
      </c>
      <c r="D48" s="250" t="s">
        <v>436</v>
      </c>
      <c r="E48" s="250">
        <v>8</v>
      </c>
      <c r="F48" s="250" t="s">
        <v>425</v>
      </c>
      <c r="G48" s="255">
        <v>7600</v>
      </c>
      <c r="H48" s="250" t="s">
        <v>157</v>
      </c>
      <c r="I48" s="255">
        <f t="shared" si="0"/>
        <v>60800</v>
      </c>
      <c r="J48" s="250"/>
      <c r="K48" s="250" t="s">
        <v>482</v>
      </c>
      <c r="L48" s="250"/>
      <c r="M48" s="17"/>
      <c r="N48" s="17"/>
      <c r="O48" s="17"/>
      <c r="P48" s="17"/>
      <c r="Q48" s="17"/>
    </row>
    <row r="49" spans="1:17">
      <c r="A49" s="240"/>
      <c r="B49" s="250"/>
      <c r="C49" s="250" t="s">
        <v>452</v>
      </c>
      <c r="D49" s="250" t="s">
        <v>436</v>
      </c>
      <c r="E49" s="250">
        <v>5</v>
      </c>
      <c r="F49" s="250" t="s">
        <v>425</v>
      </c>
      <c r="G49" s="255">
        <v>2462</v>
      </c>
      <c r="H49" s="250" t="s">
        <v>157</v>
      </c>
      <c r="I49" s="255">
        <f t="shared" si="0"/>
        <v>12310</v>
      </c>
      <c r="J49" s="250"/>
      <c r="K49" s="250" t="s">
        <v>483</v>
      </c>
      <c r="L49" s="250"/>
      <c r="M49" s="17"/>
      <c r="N49" s="17"/>
      <c r="O49" s="17"/>
      <c r="P49" s="17"/>
      <c r="Q49" s="17"/>
    </row>
    <row r="50" spans="1:17">
      <c r="A50" s="240"/>
      <c r="B50" s="250"/>
      <c r="C50" s="250" t="s">
        <v>453</v>
      </c>
      <c r="D50" s="250" t="s">
        <v>436</v>
      </c>
      <c r="E50" s="250">
        <v>2</v>
      </c>
      <c r="F50" s="250" t="s">
        <v>425</v>
      </c>
      <c r="G50" s="255">
        <v>330</v>
      </c>
      <c r="H50" s="250" t="s">
        <v>157</v>
      </c>
      <c r="I50" s="255">
        <f t="shared" si="0"/>
        <v>660</v>
      </c>
      <c r="J50" s="250"/>
      <c r="K50" s="250" t="s">
        <v>484</v>
      </c>
      <c r="L50" s="250"/>
      <c r="M50" s="17"/>
      <c r="N50" s="17"/>
      <c r="O50" s="17"/>
      <c r="P50" s="17"/>
      <c r="Q50" s="17"/>
    </row>
    <row r="51" spans="1:17">
      <c r="A51" s="240"/>
      <c r="B51" s="250"/>
      <c r="C51" s="250" t="s">
        <v>454</v>
      </c>
      <c r="D51" s="250" t="s">
        <v>436</v>
      </c>
      <c r="E51" s="250">
        <v>2</v>
      </c>
      <c r="F51" s="250" t="s">
        <v>425</v>
      </c>
      <c r="G51" s="255">
        <v>159</v>
      </c>
      <c r="H51" s="250" t="s">
        <v>157</v>
      </c>
      <c r="I51" s="255">
        <f t="shared" si="0"/>
        <v>318</v>
      </c>
      <c r="J51" s="250"/>
      <c r="K51" s="250" t="s">
        <v>485</v>
      </c>
      <c r="L51" s="250"/>
      <c r="M51" s="17"/>
      <c r="N51" s="17"/>
      <c r="O51" s="17"/>
      <c r="P51" s="17"/>
      <c r="Q51" s="17"/>
    </row>
    <row r="52" spans="1:17">
      <c r="A52" s="240"/>
      <c r="B52" s="250"/>
      <c r="C52" s="250" t="s">
        <v>455</v>
      </c>
      <c r="D52" s="250" t="s">
        <v>436</v>
      </c>
      <c r="E52" s="250">
        <v>1</v>
      </c>
      <c r="F52" s="250" t="s">
        <v>425</v>
      </c>
      <c r="G52" s="255">
        <v>6470</v>
      </c>
      <c r="H52" s="250" t="s">
        <v>157</v>
      </c>
      <c r="I52" s="255">
        <f t="shared" si="0"/>
        <v>6470</v>
      </c>
      <c r="J52" s="250"/>
      <c r="K52" s="105" t="s">
        <v>487</v>
      </c>
      <c r="L52" s="250"/>
      <c r="M52" s="17"/>
      <c r="N52" s="17"/>
      <c r="O52" s="17"/>
      <c r="P52" s="17"/>
      <c r="Q52" s="17"/>
    </row>
    <row r="53" spans="1:17">
      <c r="A53" s="240"/>
      <c r="B53" s="250"/>
      <c r="C53" s="250" t="s">
        <v>456</v>
      </c>
      <c r="D53" s="250" t="s">
        <v>436</v>
      </c>
      <c r="E53" s="250">
        <v>1</v>
      </c>
      <c r="F53" s="250" t="s">
        <v>425</v>
      </c>
      <c r="G53" s="255">
        <v>215</v>
      </c>
      <c r="H53" s="250" t="s">
        <v>157</v>
      </c>
      <c r="I53" s="255">
        <f t="shared" si="0"/>
        <v>215</v>
      </c>
      <c r="J53" s="250"/>
      <c r="K53" s="250" t="s">
        <v>486</v>
      </c>
      <c r="L53" s="250"/>
      <c r="M53" s="17"/>
      <c r="N53" s="17"/>
      <c r="O53" s="17"/>
      <c r="P53" s="17"/>
      <c r="Q53" s="17"/>
    </row>
    <row r="54" spans="1:17">
      <c r="A54" s="240"/>
      <c r="B54" s="250"/>
      <c r="C54" s="250" t="s">
        <v>488</v>
      </c>
      <c r="D54" s="250" t="s">
        <v>436</v>
      </c>
      <c r="E54" s="250">
        <v>1</v>
      </c>
      <c r="F54" s="250" t="s">
        <v>425</v>
      </c>
      <c r="G54" s="255">
        <v>449</v>
      </c>
      <c r="H54" s="250" t="s">
        <v>157</v>
      </c>
      <c r="I54" s="255">
        <f t="shared" si="0"/>
        <v>449</v>
      </c>
      <c r="J54" s="250"/>
      <c r="K54" s="250" t="s">
        <v>489</v>
      </c>
      <c r="L54" s="250"/>
      <c r="M54" s="17"/>
      <c r="N54" s="17"/>
      <c r="O54" s="17"/>
      <c r="P54" s="17"/>
      <c r="Q54" s="17"/>
    </row>
    <row r="55" spans="1:17">
      <c r="A55" s="240"/>
      <c r="B55" s="250"/>
      <c r="C55" s="250" t="s">
        <v>491</v>
      </c>
      <c r="D55" s="250" t="s">
        <v>436</v>
      </c>
      <c r="E55" s="250">
        <v>2</v>
      </c>
      <c r="F55" s="250" t="s">
        <v>425</v>
      </c>
      <c r="G55" s="255">
        <v>516</v>
      </c>
      <c r="H55" s="250" t="s">
        <v>157</v>
      </c>
      <c r="I55" s="255">
        <f t="shared" si="0"/>
        <v>1032</v>
      </c>
      <c r="J55" s="250"/>
      <c r="K55" s="250" t="s">
        <v>490</v>
      </c>
      <c r="L55" s="250"/>
      <c r="M55" s="17"/>
      <c r="N55" s="17"/>
      <c r="O55" s="17"/>
      <c r="P55" s="17"/>
      <c r="Q55" s="17"/>
    </row>
    <row r="56" spans="1:17">
      <c r="A56" s="240"/>
      <c r="B56" s="250"/>
      <c r="C56" s="250" t="s">
        <v>457</v>
      </c>
      <c r="D56" s="250" t="s">
        <v>436</v>
      </c>
      <c r="E56" s="250">
        <v>6</v>
      </c>
      <c r="F56" s="250" t="s">
        <v>425</v>
      </c>
      <c r="G56" s="255">
        <v>38</v>
      </c>
      <c r="H56" s="250" t="s">
        <v>157</v>
      </c>
      <c r="I56" s="255">
        <f t="shared" si="0"/>
        <v>228</v>
      </c>
      <c r="J56" s="250"/>
      <c r="K56" s="250" t="s">
        <v>492</v>
      </c>
      <c r="L56" s="250"/>
      <c r="M56" s="17"/>
      <c r="N56" s="17"/>
      <c r="O56" s="17"/>
      <c r="P56" s="17"/>
      <c r="Q56" s="17"/>
    </row>
    <row r="57" spans="1:17">
      <c r="A57" s="240"/>
      <c r="B57" s="250"/>
      <c r="C57" s="250" t="s">
        <v>458</v>
      </c>
      <c r="D57" s="250" t="s">
        <v>436</v>
      </c>
      <c r="E57" s="250">
        <v>2</v>
      </c>
      <c r="F57" s="250" t="s">
        <v>425</v>
      </c>
      <c r="G57" s="255">
        <v>421</v>
      </c>
      <c r="H57" s="250" t="s">
        <v>157</v>
      </c>
      <c r="I57" s="255">
        <f t="shared" si="0"/>
        <v>842</v>
      </c>
      <c r="J57" s="250"/>
      <c r="K57" s="250" t="s">
        <v>493</v>
      </c>
      <c r="L57" s="250"/>
      <c r="M57" s="17"/>
      <c r="N57" s="17"/>
      <c r="O57" s="17"/>
      <c r="P57" s="17"/>
      <c r="Q57" s="17"/>
    </row>
    <row r="58" spans="1:17">
      <c r="A58" s="240"/>
      <c r="B58" s="250"/>
      <c r="C58" s="250" t="s">
        <v>459</v>
      </c>
      <c r="D58" s="250" t="s">
        <v>436</v>
      </c>
      <c r="E58" s="250">
        <v>2</v>
      </c>
      <c r="F58" s="250" t="s">
        <v>425</v>
      </c>
      <c r="G58" s="255">
        <v>2080</v>
      </c>
      <c r="H58" s="250" t="s">
        <v>157</v>
      </c>
      <c r="I58" s="255">
        <f t="shared" si="0"/>
        <v>4160</v>
      </c>
      <c r="J58" s="250"/>
      <c r="K58" s="250" t="s">
        <v>494</v>
      </c>
      <c r="L58" s="250"/>
      <c r="M58" s="17"/>
      <c r="N58" s="17"/>
      <c r="O58" s="17"/>
      <c r="P58" s="17"/>
      <c r="Q58" s="17"/>
    </row>
    <row r="59" spans="1:17">
      <c r="A59" s="240"/>
      <c r="B59" s="250"/>
      <c r="C59" s="250" t="s">
        <v>495</v>
      </c>
      <c r="D59" s="250" t="s">
        <v>436</v>
      </c>
      <c r="E59" s="250">
        <v>3</v>
      </c>
      <c r="F59" s="250" t="s">
        <v>425</v>
      </c>
      <c r="G59" s="255">
        <v>196</v>
      </c>
      <c r="H59" s="250" t="s">
        <v>157</v>
      </c>
      <c r="I59" s="255">
        <f t="shared" si="0"/>
        <v>588</v>
      </c>
      <c r="J59" s="250"/>
      <c r="K59" s="250" t="s">
        <v>496</v>
      </c>
      <c r="L59" s="250"/>
      <c r="M59" s="17"/>
      <c r="N59" s="17"/>
      <c r="O59" s="17"/>
      <c r="P59" s="17"/>
      <c r="Q59" s="17"/>
    </row>
    <row r="60" spans="1:17">
      <c r="A60" s="240"/>
      <c r="B60" s="250"/>
      <c r="C60" s="250" t="s">
        <v>497</v>
      </c>
      <c r="D60" s="250" t="s">
        <v>436</v>
      </c>
      <c r="E60" s="250">
        <v>1</v>
      </c>
      <c r="F60" s="250" t="s">
        <v>425</v>
      </c>
      <c r="G60" s="255">
        <v>230</v>
      </c>
      <c r="H60" s="250" t="s">
        <v>157</v>
      </c>
      <c r="I60" s="255">
        <f t="shared" si="0"/>
        <v>230</v>
      </c>
      <c r="J60" s="250"/>
      <c r="K60" s="250" t="s">
        <v>498</v>
      </c>
      <c r="L60" s="250"/>
      <c r="M60" s="17"/>
      <c r="N60" s="17"/>
      <c r="O60" s="17"/>
      <c r="P60" s="17"/>
      <c r="Q60" s="17"/>
    </row>
    <row r="61" spans="1:17">
      <c r="A61" s="240"/>
      <c r="B61" s="250"/>
      <c r="C61" s="250" t="s">
        <v>460</v>
      </c>
      <c r="D61" s="250" t="s">
        <v>436</v>
      </c>
      <c r="E61" s="250">
        <v>10</v>
      </c>
      <c r="F61" s="250" t="s">
        <v>425</v>
      </c>
      <c r="G61" s="255">
        <v>109</v>
      </c>
      <c r="H61" s="250" t="s">
        <v>157</v>
      </c>
      <c r="I61" s="255">
        <f t="shared" si="0"/>
        <v>1090</v>
      </c>
      <c r="J61" s="250"/>
      <c r="K61" s="250" t="s">
        <v>499</v>
      </c>
      <c r="L61" s="250"/>
      <c r="M61" s="17"/>
      <c r="N61" s="17"/>
      <c r="O61" s="17"/>
      <c r="P61" s="17"/>
      <c r="Q61" s="17"/>
    </row>
    <row r="62" spans="1:17">
      <c r="A62" s="240"/>
      <c r="B62" s="250"/>
      <c r="C62" s="250" t="s">
        <v>500</v>
      </c>
      <c r="D62" s="250" t="s">
        <v>436</v>
      </c>
      <c r="E62" s="250">
        <v>14</v>
      </c>
      <c r="F62" s="250" t="s">
        <v>425</v>
      </c>
      <c r="G62" s="255">
        <v>47</v>
      </c>
      <c r="H62" s="250" t="s">
        <v>157</v>
      </c>
      <c r="I62" s="255">
        <f t="shared" si="0"/>
        <v>658</v>
      </c>
      <c r="J62" s="250"/>
      <c r="K62" s="250" t="s">
        <v>501</v>
      </c>
      <c r="L62" s="250"/>
      <c r="M62" s="17"/>
      <c r="N62" s="17"/>
      <c r="O62" s="17"/>
      <c r="P62" s="17"/>
      <c r="Q62" s="17"/>
    </row>
    <row r="63" spans="1:17">
      <c r="A63" s="240"/>
      <c r="B63" s="250"/>
      <c r="C63" s="250" t="s">
        <v>503</v>
      </c>
      <c r="D63" s="250" t="s">
        <v>436</v>
      </c>
      <c r="E63" s="250">
        <v>1</v>
      </c>
      <c r="F63" s="250" t="s">
        <v>425</v>
      </c>
      <c r="G63" s="255">
        <v>16900</v>
      </c>
      <c r="H63" s="250" t="s">
        <v>157</v>
      </c>
      <c r="I63" s="255">
        <f t="shared" si="0"/>
        <v>16900</v>
      </c>
      <c r="J63" s="250"/>
      <c r="K63" s="250" t="s">
        <v>502</v>
      </c>
      <c r="L63" s="250"/>
      <c r="M63" s="17"/>
      <c r="N63" s="17"/>
      <c r="O63" s="17"/>
      <c r="P63" s="17"/>
      <c r="Q63" s="17"/>
    </row>
    <row r="64" spans="1:17">
      <c r="A64" s="240"/>
      <c r="B64" s="250"/>
      <c r="C64" s="250" t="s">
        <v>461</v>
      </c>
      <c r="D64" s="250" t="s">
        <v>436</v>
      </c>
      <c r="E64" s="250">
        <v>10</v>
      </c>
      <c r="F64" s="250" t="s">
        <v>425</v>
      </c>
      <c r="G64" s="255">
        <v>1290</v>
      </c>
      <c r="H64" s="250" t="s">
        <v>157</v>
      </c>
      <c r="I64" s="255">
        <f t="shared" si="0"/>
        <v>12900</v>
      </c>
      <c r="J64" s="250"/>
      <c r="K64" s="250" t="s">
        <v>504</v>
      </c>
      <c r="L64" s="250"/>
      <c r="M64" s="17"/>
      <c r="N64" s="17"/>
      <c r="O64" s="17"/>
      <c r="P64" s="17"/>
      <c r="Q64" s="17"/>
    </row>
    <row r="65" spans="1:17">
      <c r="A65" s="240"/>
      <c r="B65" s="250"/>
      <c r="C65" s="250" t="s">
        <v>462</v>
      </c>
      <c r="D65" s="250" t="s">
        <v>436</v>
      </c>
      <c r="E65" s="250">
        <v>1</v>
      </c>
      <c r="F65" s="250" t="s">
        <v>425</v>
      </c>
      <c r="G65" s="255">
        <v>10700</v>
      </c>
      <c r="H65" s="250" t="s">
        <v>157</v>
      </c>
      <c r="I65" s="255">
        <f t="shared" si="0"/>
        <v>10700</v>
      </c>
      <c r="J65" s="250"/>
      <c r="K65" s="250" t="s">
        <v>505</v>
      </c>
      <c r="L65" s="250"/>
      <c r="M65" s="17"/>
      <c r="N65" s="17"/>
      <c r="O65" s="17"/>
      <c r="P65" s="17"/>
      <c r="Q65" s="17"/>
    </row>
    <row r="66" spans="1:17">
      <c r="A66" s="240"/>
      <c r="B66" s="250"/>
      <c r="C66" s="250" t="s">
        <v>463</v>
      </c>
      <c r="D66" s="250" t="s">
        <v>436</v>
      </c>
      <c r="E66" s="250">
        <v>1</v>
      </c>
      <c r="F66" s="250" t="s">
        <v>425</v>
      </c>
      <c r="G66" s="255">
        <v>2499</v>
      </c>
      <c r="H66" s="250" t="s">
        <v>157</v>
      </c>
      <c r="I66" s="255">
        <f t="shared" si="0"/>
        <v>2499</v>
      </c>
      <c r="J66" s="250"/>
      <c r="K66" s="250" t="s">
        <v>506</v>
      </c>
      <c r="L66" s="250"/>
      <c r="M66" s="17"/>
      <c r="N66" s="17"/>
      <c r="O66" s="17"/>
      <c r="P66" s="17"/>
      <c r="Q66" s="17"/>
    </row>
    <row r="67" spans="1:17">
      <c r="A67" s="240"/>
      <c r="B67" s="250"/>
      <c r="C67" s="250" t="s">
        <v>464</v>
      </c>
      <c r="D67" s="250" t="s">
        <v>436</v>
      </c>
      <c r="E67" s="250">
        <v>1</v>
      </c>
      <c r="F67" s="250" t="s">
        <v>425</v>
      </c>
      <c r="G67" s="255">
        <v>14985</v>
      </c>
      <c r="H67" s="250" t="s">
        <v>157</v>
      </c>
      <c r="I67" s="255">
        <f t="shared" si="0"/>
        <v>14985</v>
      </c>
      <c r="J67" s="250"/>
      <c r="K67" s="250" t="s">
        <v>507</v>
      </c>
      <c r="L67" s="250"/>
      <c r="M67" s="17"/>
      <c r="N67" s="17"/>
      <c r="O67" s="17"/>
      <c r="P67" s="17"/>
      <c r="Q67" s="17"/>
    </row>
    <row r="68" spans="1:17">
      <c r="A68" s="240"/>
      <c r="B68" s="250"/>
      <c r="C68" s="250" t="s">
        <v>465</v>
      </c>
      <c r="D68" s="250" t="s">
        <v>436</v>
      </c>
      <c r="E68" s="250">
        <v>1</v>
      </c>
      <c r="F68" s="250" t="s">
        <v>425</v>
      </c>
      <c r="G68" s="255">
        <v>3699</v>
      </c>
      <c r="H68" s="250" t="s">
        <v>157</v>
      </c>
      <c r="I68" s="255">
        <f t="shared" si="0"/>
        <v>3699</v>
      </c>
      <c r="J68" s="250"/>
      <c r="K68" s="250" t="s">
        <v>508</v>
      </c>
      <c r="L68" s="250"/>
      <c r="M68" s="17"/>
      <c r="N68" s="17"/>
      <c r="O68" s="17"/>
      <c r="P68" s="17"/>
      <c r="Q68" s="17"/>
    </row>
    <row r="69" spans="1:17">
      <c r="A69" s="240"/>
      <c r="B69" s="250"/>
      <c r="C69" s="250"/>
      <c r="D69" s="250"/>
      <c r="E69" s="250"/>
      <c r="F69" s="250"/>
      <c r="G69" s="255"/>
      <c r="H69" s="250"/>
      <c r="I69" s="255"/>
      <c r="J69" s="250"/>
      <c r="K69" s="250"/>
      <c r="L69" s="250"/>
      <c r="M69" s="17"/>
      <c r="N69" s="17"/>
      <c r="O69" s="17"/>
      <c r="P69" s="17"/>
      <c r="Q69" s="17"/>
    </row>
    <row r="70" spans="1:17">
      <c r="A70" s="240" t="s">
        <v>66</v>
      </c>
      <c r="B70" s="250"/>
      <c r="C70" s="250" t="s">
        <v>426</v>
      </c>
      <c r="D70" s="250">
        <v>0</v>
      </c>
      <c r="E70" s="105"/>
      <c r="F70" s="250"/>
      <c r="G70" s="250"/>
      <c r="H70" s="105"/>
      <c r="I70" s="255"/>
      <c r="J70" s="250"/>
      <c r="K70" s="250" t="s">
        <v>403</v>
      </c>
      <c r="L70" s="105"/>
    </row>
    <row r="71" spans="1:17">
      <c r="A71" s="240"/>
      <c r="B71" s="250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17"/>
      <c r="N71" s="17"/>
      <c r="O71" s="17"/>
      <c r="P71" s="17"/>
      <c r="Q71" s="17"/>
    </row>
    <row r="72" spans="1:17">
      <c r="A72" s="251" t="s">
        <v>68</v>
      </c>
      <c r="B72" s="250"/>
      <c r="C72" s="105"/>
      <c r="D72" s="250" t="s">
        <v>431</v>
      </c>
      <c r="E72" s="250" t="s">
        <v>432</v>
      </c>
      <c r="F72" s="250"/>
      <c r="G72" s="250"/>
      <c r="H72" s="250"/>
      <c r="I72" s="250"/>
      <c r="J72" s="250"/>
      <c r="K72" s="250"/>
      <c r="L72" s="250"/>
      <c r="M72" s="17"/>
      <c r="N72" s="17"/>
      <c r="O72" s="17"/>
      <c r="P72" s="17"/>
    </row>
    <row r="73" spans="1:17">
      <c r="A73" s="240" t="s">
        <v>69</v>
      </c>
      <c r="B73" s="250"/>
      <c r="C73" s="105"/>
      <c r="D73" s="258">
        <v>150000</v>
      </c>
      <c r="E73" s="258"/>
      <c r="F73" s="250"/>
      <c r="G73" s="250"/>
      <c r="H73" s="250"/>
      <c r="I73" s="105"/>
      <c r="J73" s="250"/>
      <c r="K73" s="250" t="s">
        <v>403</v>
      </c>
      <c r="L73" s="250"/>
      <c r="M73" s="17"/>
      <c r="N73" s="17"/>
      <c r="O73" s="17"/>
      <c r="P73" s="17"/>
    </row>
    <row r="74" spans="1:17">
      <c r="A74" s="240" t="s">
        <v>70</v>
      </c>
      <c r="B74" s="250"/>
      <c r="C74" s="105"/>
      <c r="D74" s="258">
        <v>100000</v>
      </c>
      <c r="E74" s="258"/>
      <c r="F74" s="250"/>
      <c r="G74" s="250"/>
      <c r="H74" s="250"/>
      <c r="I74" s="105"/>
      <c r="J74" s="250"/>
      <c r="K74" s="250" t="s">
        <v>403</v>
      </c>
      <c r="L74" s="250"/>
      <c r="M74" s="17"/>
      <c r="N74" s="17"/>
      <c r="O74" s="17"/>
      <c r="P74" s="17"/>
    </row>
    <row r="75" spans="1:17">
      <c r="A75" s="240" t="s">
        <v>71</v>
      </c>
      <c r="B75" s="250"/>
      <c r="C75" s="105"/>
      <c r="D75" s="258">
        <v>1000000</v>
      </c>
      <c r="E75" s="258"/>
      <c r="F75" s="250"/>
      <c r="G75" s="250"/>
      <c r="H75" s="250"/>
      <c r="I75" s="105"/>
      <c r="J75" s="250"/>
      <c r="K75" s="250" t="s">
        <v>403</v>
      </c>
      <c r="L75" s="250"/>
      <c r="M75" s="17"/>
      <c r="N75" s="17"/>
      <c r="O75" s="17"/>
      <c r="P75" s="17"/>
    </row>
    <row r="76" spans="1:17">
      <c r="A76" s="257" t="s">
        <v>72</v>
      </c>
      <c r="B76" s="250"/>
      <c r="C76" s="105"/>
      <c r="D76" s="258"/>
      <c r="E76" s="258">
        <v>150000</v>
      </c>
      <c r="F76" s="250"/>
      <c r="G76" s="250"/>
      <c r="H76" s="250"/>
      <c r="I76" s="105"/>
      <c r="J76" s="250"/>
      <c r="K76" s="250" t="s">
        <v>403</v>
      </c>
      <c r="L76" s="250"/>
      <c r="M76" s="17"/>
      <c r="N76" s="17"/>
      <c r="O76" s="17"/>
      <c r="P76" s="17"/>
    </row>
    <row r="77" spans="1:17">
      <c r="A77" s="257" t="s">
        <v>73</v>
      </c>
      <c r="B77" s="250"/>
      <c r="C77" s="105"/>
      <c r="D77" s="258">
        <v>0</v>
      </c>
      <c r="E77" s="258"/>
      <c r="F77" s="250"/>
      <c r="G77" s="250"/>
      <c r="H77" s="250"/>
      <c r="I77" s="105"/>
      <c r="J77" s="250"/>
      <c r="K77" s="250" t="s">
        <v>403</v>
      </c>
      <c r="L77" s="250"/>
      <c r="M77" s="17"/>
      <c r="N77" s="17"/>
      <c r="O77" s="17"/>
      <c r="P77" s="17"/>
    </row>
    <row r="78" spans="1:17">
      <c r="A78" s="257" t="s">
        <v>74</v>
      </c>
      <c r="B78" s="250"/>
      <c r="C78" s="105"/>
      <c r="D78" s="258">
        <v>0</v>
      </c>
      <c r="E78" s="258"/>
      <c r="F78" s="250"/>
      <c r="G78" s="250"/>
      <c r="H78" s="250"/>
      <c r="I78" s="105"/>
      <c r="J78" s="250"/>
      <c r="K78" s="250" t="s">
        <v>403</v>
      </c>
      <c r="L78" s="250"/>
      <c r="M78" s="17"/>
      <c r="N78" s="17"/>
      <c r="O78" s="17"/>
      <c r="P78" s="17"/>
    </row>
    <row r="79" spans="1:17">
      <c r="A79" s="240"/>
      <c r="B79" s="250"/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17"/>
      <c r="N79" s="17"/>
      <c r="O79" s="17"/>
      <c r="P79" s="17"/>
      <c r="Q79" s="17"/>
    </row>
    <row r="80" spans="1:17">
      <c r="A80" s="105"/>
      <c r="B80" s="250"/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17"/>
      <c r="N80" s="17"/>
      <c r="O80" s="17"/>
      <c r="P80" s="17"/>
      <c r="Q80" s="17"/>
    </row>
    <row r="81" spans="1:17">
      <c r="A81" s="105"/>
      <c r="B81" s="250"/>
      <c r="C81" s="105"/>
      <c r="D81" s="105"/>
      <c r="E81" s="105"/>
      <c r="F81" s="105"/>
      <c r="G81" s="105"/>
      <c r="H81" s="105"/>
      <c r="I81" s="105"/>
      <c r="J81" s="105"/>
      <c r="K81" s="105"/>
      <c r="L81" s="250"/>
      <c r="M81" s="17"/>
      <c r="N81" s="17"/>
      <c r="O81" s="17"/>
      <c r="P81" s="17"/>
      <c r="Q81" s="17"/>
    </row>
    <row r="82" spans="1:17">
      <c r="A82" s="105"/>
      <c r="B82" s="250"/>
      <c r="C82" s="105"/>
      <c r="D82" s="105"/>
      <c r="E82" s="250"/>
      <c r="F82" s="250"/>
      <c r="G82" s="250"/>
      <c r="H82" s="250"/>
      <c r="I82" s="250"/>
      <c r="J82" s="250"/>
      <c r="K82" s="250"/>
      <c r="L82" s="250"/>
      <c r="M82" s="17"/>
      <c r="N82" s="17"/>
      <c r="O82" s="17"/>
      <c r="P82" s="17"/>
      <c r="Q82" s="17"/>
    </row>
    <row r="83" spans="1:17">
      <c r="A83" s="105"/>
      <c r="B83" s="250"/>
      <c r="C83" s="105"/>
      <c r="D83" s="105"/>
      <c r="E83" s="250"/>
      <c r="F83" s="250"/>
      <c r="G83" s="250"/>
      <c r="H83" s="250"/>
      <c r="I83" s="250"/>
      <c r="J83" s="250"/>
      <c r="K83" s="250"/>
      <c r="L83" s="250"/>
      <c r="M83" s="17"/>
      <c r="N83" s="17"/>
      <c r="O83" s="17"/>
      <c r="P83" s="17"/>
      <c r="Q83" s="17"/>
    </row>
    <row r="84" spans="1:17">
      <c r="A84" s="105"/>
      <c r="B84" s="250"/>
      <c r="C84" s="105"/>
      <c r="D84" s="105"/>
      <c r="E84" s="250"/>
      <c r="F84" s="250"/>
      <c r="G84" s="250"/>
      <c r="H84" s="250"/>
      <c r="I84" s="250"/>
      <c r="J84" s="250"/>
      <c r="K84" s="250"/>
      <c r="L84" s="250"/>
      <c r="M84" s="17"/>
      <c r="N84" s="17"/>
      <c r="O84" s="17"/>
      <c r="P84" s="17"/>
      <c r="Q84" s="17"/>
    </row>
    <row r="85" spans="1:17" ht="14" thickBot="1">
      <c r="A85" s="105"/>
      <c r="B85" s="250"/>
      <c r="C85" s="105"/>
      <c r="D85" s="105"/>
      <c r="E85" s="250"/>
      <c r="F85" s="250"/>
      <c r="G85" s="105"/>
      <c r="H85" s="105"/>
      <c r="I85" s="250"/>
      <c r="J85" s="250"/>
      <c r="K85" s="250"/>
      <c r="L85" s="250"/>
      <c r="M85" s="17"/>
      <c r="N85" s="17"/>
      <c r="O85" s="17"/>
      <c r="P85" s="17"/>
      <c r="Q85" s="17"/>
    </row>
    <row r="86" spans="1:17" ht="14" thickBot="1">
      <c r="A86" s="384" t="s">
        <v>615</v>
      </c>
      <c r="B86" s="385">
        <f>('E-Inv AF y Am Datos y links'!D17*'E-Inv AF y Am Datos y links'!F17*'E-Inv AF y Am Datos y links'!I17+'E-Inv AF y Am Datos y links'!D18*InfoInicial!B32*'E-Inv AF y Am Datos y links'!I18)*1.11</f>
        <v>9065.9250000000011</v>
      </c>
      <c r="E86" s="17"/>
      <c r="F86" s="17"/>
    </row>
    <row r="87" spans="1:17">
      <c r="E87" s="17"/>
      <c r="F87" s="17"/>
    </row>
    <row r="93" spans="1:17">
      <c r="E93" s="17"/>
      <c r="F93" s="17"/>
    </row>
    <row r="94" spans="1:17">
      <c r="E94" s="17"/>
      <c r="F94" s="17"/>
    </row>
  </sheetData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L142"/>
  <sheetViews>
    <sheetView tabSelected="1" topLeftCell="A43" zoomScale="75" zoomScaleNormal="90" workbookViewId="0">
      <selection activeCell="I106" sqref="I106"/>
    </sheetView>
  </sheetViews>
  <sheetFormatPr baseColWidth="10" defaultColWidth="11.33203125" defaultRowHeight="13"/>
  <cols>
    <col min="1" max="1" width="40.83203125" style="17" customWidth="1"/>
    <col min="2" max="2" width="37.5" style="17" bestFit="1" customWidth="1"/>
    <col min="3" max="6" width="16.5" style="17" bestFit="1" customWidth="1"/>
    <col min="7" max="7" width="17.33203125" style="17" customWidth="1"/>
    <col min="8" max="8" width="11.33203125" style="17"/>
    <col min="9" max="9" width="21.83203125" style="17" bestFit="1" customWidth="1"/>
    <col min="10" max="11" width="14.6640625" style="17" bestFit="1" customWidth="1"/>
    <col min="12" max="12" width="12.1640625" style="17" bestFit="1" customWidth="1"/>
    <col min="13" max="16384" width="11.33203125" style="17"/>
  </cols>
  <sheetData>
    <row r="3" spans="1:7" ht="14" thickBot="1">
      <c r="A3" s="1" t="s">
        <v>0</v>
      </c>
      <c r="B3"/>
      <c r="C3"/>
      <c r="D3"/>
      <c r="E3" s="2">
        <f>InfoInicial!E1</f>
        <v>14</v>
      </c>
    </row>
    <row r="4" spans="1:7" ht="17" thickTop="1">
      <c r="A4" s="57" t="s">
        <v>92</v>
      </c>
      <c r="B4" s="58"/>
      <c r="C4" s="58"/>
      <c r="D4" s="58"/>
      <c r="E4" s="58"/>
      <c r="F4" s="59"/>
    </row>
    <row r="5" spans="1:7">
      <c r="A5" s="60"/>
      <c r="B5" s="61" t="s">
        <v>93</v>
      </c>
      <c r="C5" s="61"/>
      <c r="D5" s="61"/>
      <c r="E5" s="61"/>
      <c r="F5" s="62"/>
    </row>
    <row r="6" spans="1:7" ht="14" thickBot="1">
      <c r="A6" s="60" t="s">
        <v>94</v>
      </c>
      <c r="B6" s="22" t="s">
        <v>54</v>
      </c>
      <c r="C6" s="22" t="s">
        <v>95</v>
      </c>
      <c r="D6" s="22" t="s">
        <v>96</v>
      </c>
      <c r="E6" s="22" t="s">
        <v>97</v>
      </c>
      <c r="F6" s="23" t="s">
        <v>98</v>
      </c>
    </row>
    <row r="7" spans="1:7" ht="14" thickTop="1">
      <c r="A7" s="24" t="s">
        <v>99</v>
      </c>
      <c r="B7" s="63">
        <f>'E-Costos Datos y links'!B209*'E-InvAT Datos y links'!D12</f>
        <v>11498916</v>
      </c>
      <c r="C7" s="63">
        <f>'E-Costos Datos y links'!$B$210*'E-InvAT Datos y links'!$D$12</f>
        <v>17160000</v>
      </c>
      <c r="D7" s="63">
        <f>'E-Costos Datos y links'!$B$210*'E-InvAT Datos y links'!$D$12</f>
        <v>17160000</v>
      </c>
      <c r="E7" s="63">
        <f>'E-Costos Datos y links'!$B$210*'E-InvAT Datos y links'!$D$12</f>
        <v>17160000</v>
      </c>
      <c r="F7" s="63">
        <f>'E-Costos Datos y links'!$B$210*'E-InvAT Datos y links'!$D$12</f>
        <v>17160000</v>
      </c>
    </row>
    <row r="8" spans="1:7">
      <c r="A8" s="28" t="s">
        <v>100</v>
      </c>
      <c r="B8" s="65">
        <f>'E-Costos Datos y links'!F17</f>
        <v>3747743.9999999995</v>
      </c>
      <c r="C8" s="65">
        <f>'E-Costos Datos y links'!F16</f>
        <v>5353920</v>
      </c>
      <c r="D8" s="65">
        <f>'E-Costos Datos y links'!F16</f>
        <v>5353920</v>
      </c>
      <c r="E8" s="65">
        <f>'E-Costos Datos y links'!F16</f>
        <v>5353920</v>
      </c>
      <c r="F8" s="66">
        <f>'E-Costos Datos y links'!F16</f>
        <v>5353920</v>
      </c>
    </row>
    <row r="9" spans="1:7">
      <c r="A9" s="28" t="s">
        <v>101</v>
      </c>
      <c r="B9" s="65"/>
      <c r="C9" s="65"/>
      <c r="D9" s="65"/>
      <c r="E9" s="65"/>
      <c r="F9" s="46"/>
    </row>
    <row r="10" spans="1:7">
      <c r="A10" s="28" t="s">
        <v>102</v>
      </c>
      <c r="B10" s="65">
        <f>0.9*('E-Inv AF y Am'!D56-'E-Inv AF y Am'!D50)+'E-Inv AF y Am'!D50</f>
        <v>2264212.8706335002</v>
      </c>
      <c r="C10" s="65">
        <f>0.9*('E-Inv AF y Am'!D56-'E-Inv AF y Am'!D50)+'E-Inv AF y Am'!D50</f>
        <v>2264212.8706335002</v>
      </c>
      <c r="D10" s="65">
        <f>0.9*('E-Inv AF y Am'!D56-'E-Inv AF y Am'!D50)+'E-Inv AF y Am'!D50</f>
        <v>2264212.8706335002</v>
      </c>
      <c r="E10" s="65">
        <f>0.9*'E-Inv AF y Am'!E56</f>
        <v>2261490.3706335002</v>
      </c>
      <c r="F10" s="66">
        <f>0.9*'E-Inv AF y Am'!E56</f>
        <v>2261490.3706335002</v>
      </c>
    </row>
    <row r="11" spans="1:7">
      <c r="A11" s="28" t="s">
        <v>103</v>
      </c>
      <c r="B11" s="65">
        <f>'E-Costos Datos y links'!E21</f>
        <v>554400</v>
      </c>
      <c r="C11" s="65">
        <f>'E-Costos Datos y links'!E20</f>
        <v>792000</v>
      </c>
      <c r="D11" s="65">
        <f>'E-Costos Datos y links'!E20</f>
        <v>792000</v>
      </c>
      <c r="E11" s="65">
        <f>'E-Costos Datos y links'!E20</f>
        <v>792000</v>
      </c>
      <c r="F11" s="66">
        <f>'E-Costos Datos y links'!E20</f>
        <v>792000</v>
      </c>
    </row>
    <row r="12" spans="1:7">
      <c r="A12" s="28" t="s">
        <v>104</v>
      </c>
      <c r="B12" s="65">
        <f>'E-Costos Datos y links'!F128</f>
        <v>418624.93111682701</v>
      </c>
      <c r="C12" s="65">
        <f>'E-Costos Datos y links'!G128</f>
        <v>465138.81235203001</v>
      </c>
      <c r="D12" s="65">
        <f>'E-Costos Datos y links'!G128</f>
        <v>465138.81235203001</v>
      </c>
      <c r="E12" s="65">
        <f>'E-Costos Datos y links'!H128</f>
        <v>469163.39299203001</v>
      </c>
      <c r="F12" s="66">
        <f>'E-Costos Datos y links'!H128</f>
        <v>469163.39299203001</v>
      </c>
      <c r="G12" s="250"/>
    </row>
    <row r="13" spans="1:7">
      <c r="A13" s="28" t="s">
        <v>105</v>
      </c>
      <c r="B13" s="65">
        <f>'E-Costos Datos y links'!G152</f>
        <v>16416.000000000004</v>
      </c>
      <c r="C13" s="65">
        <f>'E-Costos Datos y links'!F152</f>
        <v>17280.000000000004</v>
      </c>
      <c r="D13" s="65">
        <f>'E-Costos Datos y links'!F152</f>
        <v>17280.000000000004</v>
      </c>
      <c r="E13" s="65">
        <f>'E-Costos Datos y links'!F152</f>
        <v>17280.000000000004</v>
      </c>
      <c r="F13" s="66">
        <f>'E-Costos Datos y links'!F152</f>
        <v>17280.000000000004</v>
      </c>
      <c r="G13" s="250"/>
    </row>
    <row r="14" spans="1:7">
      <c r="A14" s="28" t="s">
        <v>106</v>
      </c>
      <c r="B14" s="65">
        <f>'E-Costos Datos y links'!F176</f>
        <v>309987</v>
      </c>
      <c r="C14" s="65">
        <f>'E-Costos Datos y links'!G176</f>
        <v>309987</v>
      </c>
      <c r="D14" s="65">
        <f>'E-Costos Datos y links'!G176</f>
        <v>309987</v>
      </c>
      <c r="E14" s="65">
        <f>'E-Costos Datos y links'!G176</f>
        <v>309987</v>
      </c>
      <c r="F14" s="66">
        <f>'E-Costos Datos y links'!G176</f>
        <v>309987</v>
      </c>
      <c r="G14" s="250"/>
    </row>
    <row r="15" spans="1:7">
      <c r="A15" s="28" t="s">
        <v>21</v>
      </c>
      <c r="B15" s="65">
        <f>'E-Costos Datos y links'!E190</f>
        <v>658360.52806126152</v>
      </c>
      <c r="C15" s="65">
        <f>'E-Costos Datos y links'!F190</f>
        <v>922688.85390449374</v>
      </c>
      <c r="D15" s="65">
        <f>'E-Costos Datos y links'!F190</f>
        <v>922688.85390449374</v>
      </c>
      <c r="E15" s="65">
        <f>'E-Costos Datos y links'!F190</f>
        <v>922688.85390449374</v>
      </c>
      <c r="F15" s="66">
        <f>'E-Costos Datos y links'!F190</f>
        <v>922688.85390449374</v>
      </c>
      <c r="G15" s="250"/>
    </row>
    <row r="16" spans="1:7">
      <c r="A16" s="26" t="s">
        <v>107</v>
      </c>
      <c r="B16" s="325">
        <f>SUM(B7:B15)</f>
        <v>19468661.329811592</v>
      </c>
      <c r="C16" s="325">
        <f>SUM(C7:C15)</f>
        <v>27285227.536890026</v>
      </c>
      <c r="D16" s="325">
        <f>SUM(D7:D15)</f>
        <v>27285227.536890026</v>
      </c>
      <c r="E16" s="325">
        <f>SUM(E7:E15)</f>
        <v>27286529.617530026</v>
      </c>
      <c r="F16" s="325">
        <f>SUM(F7:F15)</f>
        <v>27286529.617530026</v>
      </c>
    </row>
    <row r="17" spans="1:7">
      <c r="A17" s="67"/>
      <c r="B17" s="68"/>
      <c r="C17" s="68"/>
      <c r="D17" s="68"/>
      <c r="E17" s="68"/>
      <c r="F17" s="69"/>
    </row>
    <row r="18" spans="1:7">
      <c r="A18" s="70" t="s">
        <v>108</v>
      </c>
      <c r="B18" s="330">
        <f>(B10+B11+B14+0.5*B15)/B16</f>
        <v>0.17760749319571187</v>
      </c>
      <c r="C18" s="330">
        <f>(C10+C11+C14+0.5*C15)/C16</f>
        <v>0.14027899501335847</v>
      </c>
      <c r="D18" s="330">
        <f>(D10+D11+D14+0.5*D15)/D16</f>
        <v>0.14027899501335847</v>
      </c>
      <c r="E18" s="330">
        <f>(E10+E11+E14+0.5*E15)/E16</f>
        <v>0.14017252656154996</v>
      </c>
      <c r="F18" s="330">
        <f>(F10+F11+F14+0.5*F15)/F16</f>
        <v>0.14017252656154996</v>
      </c>
    </row>
    <row r="19" spans="1:7">
      <c r="A19" s="36" t="s">
        <v>109</v>
      </c>
      <c r="B19" s="329">
        <f>(B7+B8+B12+B13+0.5*B15)/B16</f>
        <v>0.82239250680428799</v>
      </c>
      <c r="C19" s="329">
        <f>(C7+C8+C12+C13+0.5*C15)/C16</f>
        <v>0.8597210049866415</v>
      </c>
      <c r="D19" s="329">
        <f>(D7+D8+D12+D13+0.5*D15)/D16</f>
        <v>0.8597210049866415</v>
      </c>
      <c r="E19" s="329">
        <f>(E7+E8+E12+E13+0.5*E15)/E16</f>
        <v>0.85982747343845001</v>
      </c>
      <c r="F19" s="329">
        <f>(F7+F8+F12+F13+0.5*F15)/F16</f>
        <v>0.85982747343845001</v>
      </c>
    </row>
    <row r="21" spans="1:7">
      <c r="A21" s="73"/>
      <c r="B21" s="19" t="s">
        <v>110</v>
      </c>
      <c r="C21" s="19"/>
      <c r="D21" s="19"/>
      <c r="E21" s="19"/>
      <c r="F21" s="19"/>
      <c r="G21" s="20"/>
    </row>
    <row r="22" spans="1:7">
      <c r="A22" s="60"/>
      <c r="B22" s="61" t="s">
        <v>111</v>
      </c>
      <c r="C22" s="61"/>
      <c r="D22" s="61"/>
      <c r="E22" s="61"/>
      <c r="F22" s="61"/>
      <c r="G22" s="62" t="s">
        <v>112</v>
      </c>
    </row>
    <row r="23" spans="1:7" ht="14" thickBot="1">
      <c r="A23" s="60" t="s">
        <v>94</v>
      </c>
      <c r="B23" s="74" t="s">
        <v>54</v>
      </c>
      <c r="C23" s="74" t="s">
        <v>95</v>
      </c>
      <c r="D23" s="74" t="s">
        <v>96</v>
      </c>
      <c r="E23" s="74" t="s">
        <v>97</v>
      </c>
      <c r="F23" s="74" t="s">
        <v>98</v>
      </c>
      <c r="G23" s="75" t="s">
        <v>54</v>
      </c>
    </row>
    <row r="24" spans="1:7" ht="14" thickTop="1">
      <c r="A24" s="24" t="s">
        <v>99</v>
      </c>
      <c r="B24" s="63">
        <f>'E-Costos Datos y links'!N110</f>
        <v>26532</v>
      </c>
      <c r="C24" s="63">
        <f>'E-Costos Datos y links'!N110</f>
        <v>26532</v>
      </c>
      <c r="D24" s="63">
        <f>'E-Costos Datos y links'!N110</f>
        <v>26532</v>
      </c>
      <c r="E24" s="63">
        <f>'E-Costos Datos y links'!N110</f>
        <v>26532</v>
      </c>
      <c r="F24" s="63">
        <f>'E-Costos Datos y links'!N110</f>
        <v>26532</v>
      </c>
      <c r="G24" s="64">
        <f>'E-Costos Datos y links'!N111</f>
        <v>399379.19999999885</v>
      </c>
    </row>
    <row r="25" spans="1:7">
      <c r="A25" s="28" t="s">
        <v>100</v>
      </c>
      <c r="B25" s="65">
        <f>'E-Costos Datos y links'!I14</f>
        <v>3936.4161407999995</v>
      </c>
      <c r="C25" s="65">
        <f>'E-Costos Datos y links'!I14</f>
        <v>3936.4161407999995</v>
      </c>
      <c r="D25" s="65">
        <f>'E-Costos Datos y links'!I14</f>
        <v>3936.4161407999995</v>
      </c>
      <c r="E25" s="65">
        <f>'E-Costos Datos y links'!I14</f>
        <v>3936.4161407999995</v>
      </c>
      <c r="F25" s="65">
        <f>'E-Costos Datos y links'!I14</f>
        <v>3936.4161407999995</v>
      </c>
      <c r="G25" s="66">
        <f>'E-Costos Datos y links'!I15</f>
        <v>289030.08625919977</v>
      </c>
    </row>
    <row r="26" spans="1:7">
      <c r="A26" s="28" t="s">
        <v>101</v>
      </c>
      <c r="B26" s="29"/>
      <c r="C26" s="29"/>
      <c r="D26" s="29"/>
      <c r="E26" s="29"/>
      <c r="F26" s="29"/>
      <c r="G26" s="46"/>
    </row>
    <row r="27" spans="1:7">
      <c r="A27" s="28" t="s">
        <v>102</v>
      </c>
      <c r="B27" s="65">
        <f>'E-Costos Datos y links'!K40</f>
        <v>2579.8721035900303</v>
      </c>
      <c r="C27" s="65">
        <f>'E-Costos Datos y links'!K41</f>
        <v>1664.7398710045745</v>
      </c>
      <c r="D27" s="65">
        <f>'E-Costos Datos y links'!K41</f>
        <v>1664.7398710045745</v>
      </c>
      <c r="E27" s="65">
        <f>'E-Costos Datos y links'!K42</f>
        <v>1662.7381801045747</v>
      </c>
      <c r="F27" s="65">
        <f>'E-Costos Datos y links'!K42</f>
        <v>1662.7381801045747</v>
      </c>
      <c r="G27" s="66">
        <v>0</v>
      </c>
    </row>
    <row r="28" spans="1:7">
      <c r="A28" s="28" t="s">
        <v>103</v>
      </c>
      <c r="B28" s="65">
        <f>'E-Costos Datos y links'!I22</f>
        <v>631.69020580213237</v>
      </c>
      <c r="C28" s="65">
        <f>'E-Costos Datos y links'!I23</f>
        <v>582.31008000000008</v>
      </c>
      <c r="D28" s="65">
        <f>'E-Costos Datos y links'!I23</f>
        <v>582.31008000000008</v>
      </c>
      <c r="E28" s="65">
        <f>'E-Costos Datos y links'!I23</f>
        <v>582.31008000000008</v>
      </c>
      <c r="F28" s="65">
        <f>'E-Costos Datos y links'!I23</f>
        <v>582.31008000000008</v>
      </c>
      <c r="G28" s="66">
        <v>0</v>
      </c>
    </row>
    <row r="29" spans="1:7">
      <c r="A29" s="28" t="s">
        <v>104</v>
      </c>
      <c r="B29" s="65">
        <f>'E-Costos Datos y links'!N138</f>
        <v>344.94769306346018</v>
      </c>
      <c r="C29" s="65">
        <f>'E-Costos Datos y links'!N132</f>
        <v>344.94769306346018</v>
      </c>
      <c r="D29" s="65">
        <f>'E-Costos Datos y links'!N132</f>
        <v>344.94769306346018</v>
      </c>
      <c r="E29" s="65">
        <f>'E-Costos Datos y links'!N132</f>
        <v>344.94769306346018</v>
      </c>
      <c r="F29" s="65">
        <f>'E-Costos Datos y links'!N132</f>
        <v>344.94769306346018</v>
      </c>
      <c r="G29" s="66">
        <f>'E-Costos Datos y links'!N139</f>
        <v>115538.22919386644</v>
      </c>
    </row>
    <row r="30" spans="1:7">
      <c r="A30" s="28" t="s">
        <v>113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6">
        <v>0</v>
      </c>
    </row>
    <row r="31" spans="1:7">
      <c r="A31" s="28" t="s">
        <v>114</v>
      </c>
      <c r="B31" s="65">
        <f>'E-Costos Datos y links'!N154</f>
        <v>12.704947200000003</v>
      </c>
      <c r="C31" s="65">
        <f>'E-Costos Datos y links'!N151</f>
        <v>12.704947200000003</v>
      </c>
      <c r="D31" s="65">
        <f>'E-Costos Datos y links'!N151</f>
        <v>12.704947200000003</v>
      </c>
      <c r="E31" s="65">
        <f>'E-Costos Datos y links'!N151</f>
        <v>12.704947200000003</v>
      </c>
      <c r="F31" s="65">
        <f>'E-Costos Datos y links'!N151</f>
        <v>12.704947200000003</v>
      </c>
      <c r="G31" s="66">
        <f>'E-Costos Datos y links'!N155</f>
        <v>5252.856652800001</v>
      </c>
    </row>
    <row r="32" spans="1:7">
      <c r="A32" s="28" t="s">
        <v>115</v>
      </c>
      <c r="B32" s="65">
        <f>'E-Costos Datos y links'!N178</f>
        <v>353.20301555913716</v>
      </c>
      <c r="C32" s="65">
        <f>'E-Costos Datos y links'!N173</f>
        <v>227.91484188000001</v>
      </c>
      <c r="D32" s="65">
        <f>'E-Costos Datos y links'!N173</f>
        <v>227.91484188000001</v>
      </c>
      <c r="E32" s="65">
        <f>'E-Costos Datos y links'!N173</f>
        <v>227.91484188000001</v>
      </c>
      <c r="F32" s="65">
        <f>'E-Costos Datos y links'!N173</f>
        <v>227.91484188000001</v>
      </c>
      <c r="G32" s="66">
        <v>0</v>
      </c>
    </row>
    <row r="33" spans="1:7">
      <c r="A33" s="28" t="s">
        <v>116</v>
      </c>
      <c r="B33" s="65">
        <f>InfoInicial!$B$15*SUM('E-Costos'!B24:B32)</f>
        <v>1203.6791937105165</v>
      </c>
      <c r="C33" s="65">
        <f>InfoInicial!$B$15*SUM('E-Costos'!C24:C32)</f>
        <v>1165.5361750881814</v>
      </c>
      <c r="D33" s="65">
        <f>InfoInicial!$B$15*SUM('E-Costos'!D24:D32)</f>
        <v>1165.5361750881814</v>
      </c>
      <c r="E33" s="65">
        <f>InfoInicial!$B$15*SUM('E-Costos'!E24:E32)</f>
        <v>1165.4661159066816</v>
      </c>
      <c r="F33" s="65">
        <f>InfoInicial!$B$15*SUM('E-Costos'!F24:F32)</f>
        <v>1165.4661159066816</v>
      </c>
      <c r="G33" s="65">
        <v>0</v>
      </c>
    </row>
    <row r="34" spans="1:7" ht="14" thickBot="1">
      <c r="A34" s="36" t="s">
        <v>117</v>
      </c>
      <c r="B34" s="71">
        <f t="shared" ref="B34:G34" si="0">SUM(B24:B33)</f>
        <v>35594.513299725273</v>
      </c>
      <c r="C34" s="71">
        <f t="shared" si="0"/>
        <v>34466.569749036214</v>
      </c>
      <c r="D34" s="71">
        <f t="shared" si="0"/>
        <v>34466.569749036214</v>
      </c>
      <c r="E34" s="71">
        <f t="shared" si="0"/>
        <v>34464.497998954721</v>
      </c>
      <c r="F34" s="71">
        <f t="shared" si="0"/>
        <v>34464.497998954721</v>
      </c>
      <c r="G34" s="71">
        <f t="shared" si="0"/>
        <v>809200.37210586504</v>
      </c>
    </row>
    <row r="35" spans="1:7">
      <c r="A35" s="76"/>
      <c r="B35" s="77"/>
      <c r="C35" s="77"/>
      <c r="D35" s="77"/>
      <c r="E35" s="77"/>
      <c r="F35" s="77"/>
      <c r="G35" s="77"/>
    </row>
    <row r="36" spans="1:7">
      <c r="A36" s="38"/>
      <c r="B36" s="78" t="s">
        <v>118</v>
      </c>
      <c r="C36" s="78"/>
      <c r="D36" s="78"/>
      <c r="E36" s="78"/>
      <c r="F36" s="79"/>
    </row>
    <row r="37" spans="1:7" ht="14" thickBot="1">
      <c r="A37" s="36"/>
      <c r="B37" s="74" t="s">
        <v>54</v>
      </c>
      <c r="C37" s="74" t="s">
        <v>95</v>
      </c>
      <c r="D37" s="74" t="s">
        <v>96</v>
      </c>
      <c r="E37" s="74" t="s">
        <v>97</v>
      </c>
      <c r="F37" s="23" t="s">
        <v>98</v>
      </c>
      <c r="G37" s="77"/>
    </row>
    <row r="38" spans="1:7" ht="14" thickTop="1">
      <c r="A38" s="42" t="s">
        <v>107</v>
      </c>
      <c r="B38" s="63">
        <f>B16</f>
        <v>19468661.329811592</v>
      </c>
      <c r="C38" s="63">
        <f>C16</f>
        <v>27285227.536890026</v>
      </c>
      <c r="D38" s="63">
        <f>D16</f>
        <v>27285227.536890026</v>
      </c>
      <c r="E38" s="63">
        <f>E16</f>
        <v>27286529.617530026</v>
      </c>
      <c r="F38" s="63">
        <f>F16</f>
        <v>27286529.617530026</v>
      </c>
      <c r="G38" s="77"/>
    </row>
    <row r="39" spans="1:7">
      <c r="A39" s="28" t="s">
        <v>119</v>
      </c>
      <c r="B39" s="65"/>
      <c r="C39" s="65"/>
      <c r="D39" s="65"/>
      <c r="E39" s="65"/>
      <c r="F39" s="46"/>
      <c r="G39" s="77"/>
    </row>
    <row r="40" spans="1:7">
      <c r="A40" s="28" t="s">
        <v>120</v>
      </c>
      <c r="B40" s="65">
        <f>G34</f>
        <v>809200.37210586504</v>
      </c>
      <c r="C40" s="65">
        <v>0</v>
      </c>
      <c r="D40" s="65">
        <v>0</v>
      </c>
      <c r="E40" s="65">
        <v>0</v>
      </c>
      <c r="F40" s="46">
        <v>0</v>
      </c>
      <c r="G40" s="77"/>
    </row>
    <row r="41" spans="1:7">
      <c r="A41" s="28" t="s">
        <v>121</v>
      </c>
      <c r="B41" s="65">
        <f>B34</f>
        <v>35594.513299725273</v>
      </c>
      <c r="C41" s="65">
        <f>C34</f>
        <v>34466.569749036214</v>
      </c>
      <c r="D41" s="65">
        <f>D34</f>
        <v>34466.569749036214</v>
      </c>
      <c r="E41" s="65">
        <f>E34</f>
        <v>34464.497998954721</v>
      </c>
      <c r="F41" s="65">
        <f>F34</f>
        <v>34464.497998954721</v>
      </c>
      <c r="G41" s="77"/>
    </row>
    <row r="42" spans="1:7">
      <c r="A42" s="26" t="s">
        <v>122</v>
      </c>
      <c r="B42" s="65">
        <f>B38-B40-B41</f>
        <v>18623866.444405999</v>
      </c>
      <c r="C42" s="65">
        <f>C38-C40-C41</f>
        <v>27250760.967140991</v>
      </c>
      <c r="D42" s="65">
        <f>D38-D40-D41</f>
        <v>27250760.967140991</v>
      </c>
      <c r="E42" s="65">
        <f>E38-E40-E41</f>
        <v>27252065.119531073</v>
      </c>
      <c r="F42" s="65">
        <f>F38-F40-F41</f>
        <v>27252065.119531073</v>
      </c>
      <c r="G42" s="77"/>
    </row>
    <row r="43" spans="1:7">
      <c r="A43" s="70" t="s">
        <v>123</v>
      </c>
      <c r="B43" s="80">
        <f>B42/B100</f>
        <v>230.89345951408379</v>
      </c>
      <c r="C43" s="80">
        <f>C42/C100</f>
        <v>218.00608773712793</v>
      </c>
      <c r="D43" s="80">
        <f>D42/D100</f>
        <v>218.00608773712793</v>
      </c>
      <c r="E43" s="80">
        <f>E42/E100</f>
        <v>218.01652095624857</v>
      </c>
      <c r="F43" s="81">
        <f>F42/F100</f>
        <v>218.01652095624857</v>
      </c>
      <c r="G43" s="77"/>
    </row>
    <row r="44" spans="1:7">
      <c r="A44" s="70"/>
      <c r="B44" s="80"/>
      <c r="C44" s="80"/>
      <c r="D44" s="80"/>
      <c r="E44" s="80"/>
      <c r="F44" s="81"/>
      <c r="G44" s="77"/>
    </row>
    <row r="45" spans="1:7">
      <c r="A45" s="70" t="s">
        <v>108</v>
      </c>
      <c r="B45" s="331">
        <f>((B38*B18)-B40-B27-B28-B32-(0.5*B33))/B42</f>
        <v>0.14199055633964525</v>
      </c>
      <c r="C45" s="331">
        <f>((C38*C18)-C40-C27-C28-C32-0.5*C33)/C42</f>
        <v>0.14034421164667255</v>
      </c>
      <c r="D45" s="331">
        <f>((D38*D18)-D40-D27-D28-D32-(0.5*D33))/D42</f>
        <v>0.14034421164667255</v>
      </c>
      <c r="E45" s="331">
        <f>((E38*E18)-E40-E27-E28-E32-(0.5*E33))/E42</f>
        <v>0.14023766950001954</v>
      </c>
      <c r="F45" s="331">
        <f>((F38*F18)-F40-F27-F28-F32-(0.5*F33))/F42</f>
        <v>0.14023766950001954</v>
      </c>
      <c r="G45" s="77"/>
    </row>
    <row r="46" spans="1:7">
      <c r="A46" s="36" t="s">
        <v>109</v>
      </c>
      <c r="B46" s="332">
        <f>((B38*B19)-B24-B25-B29-B31-(0.5*B33))/B42</f>
        <v>0.85800944366035481</v>
      </c>
      <c r="C46" s="332">
        <f>((C38*C19)-C24-C25-C29-C31-(0.5*C33))/C42</f>
        <v>0.85965578835332745</v>
      </c>
      <c r="D46" s="332">
        <f>((D38*D19)-D24-D25-D29-D31-(0.5*D33))/D42</f>
        <v>0.85965578835332745</v>
      </c>
      <c r="E46" s="332">
        <f>((E38*E19)-E24-E25-E29-E31-(0.5*E33))/E42</f>
        <v>0.85976233049998041</v>
      </c>
      <c r="F46" s="332">
        <f>((F38*F19)-F24-F25-F29-F31-(0.5*F33))/F42</f>
        <v>0.85976233049998041</v>
      </c>
      <c r="G46" s="77"/>
    </row>
    <row r="49" spans="1:7">
      <c r="A49" s="34"/>
      <c r="B49" s="19" t="s">
        <v>124</v>
      </c>
      <c r="C49" s="19"/>
      <c r="D49" s="19"/>
      <c r="E49" s="19"/>
      <c r="F49" s="20"/>
    </row>
    <row r="50" spans="1:7">
      <c r="A50" s="83" t="s">
        <v>94</v>
      </c>
      <c r="B50" s="22" t="s">
        <v>54</v>
      </c>
      <c r="C50" s="22" t="s">
        <v>95</v>
      </c>
      <c r="D50" s="22" t="s">
        <v>96</v>
      </c>
      <c r="E50" s="22" t="s">
        <v>97</v>
      </c>
      <c r="F50" s="23" t="s">
        <v>98</v>
      </c>
    </row>
    <row r="51" spans="1:7">
      <c r="A51" s="73" t="s">
        <v>125</v>
      </c>
      <c r="B51" s="84">
        <f>'E-Costos Datos y links'!E30</f>
        <v>2257416</v>
      </c>
      <c r="C51" s="84">
        <f>'E-Costos Datos y links'!$E$29</f>
        <v>3224880</v>
      </c>
      <c r="D51" s="84">
        <f>'E-Costos Datos y links'!$E$29</f>
        <v>3224880</v>
      </c>
      <c r="E51" s="84">
        <f>'E-Costos Datos y links'!$E$29</f>
        <v>3224880</v>
      </c>
      <c r="F51" s="84">
        <f>'E-Costos Datos y links'!$E$29</f>
        <v>3224880</v>
      </c>
    </row>
    <row r="52" spans="1:7">
      <c r="A52" s="28" t="s">
        <v>126</v>
      </c>
      <c r="B52" s="65">
        <f>0.1*('E-Inv AF y Am'!D56-'E-Inv AF y Am'!D50)</f>
        <v>251276.7078481667</v>
      </c>
      <c r="C52" s="65">
        <f>0.1*('E-Inv AF y Am'!$D$56-'E-Inv AF y Am'!$D$50)</f>
        <v>251276.7078481667</v>
      </c>
      <c r="D52" s="65">
        <f>0.1*('E-Inv AF y Am'!$D$56-'E-Inv AF y Am'!$D$50)</f>
        <v>251276.7078481667</v>
      </c>
      <c r="E52" s="65">
        <f>0.1*('E-Inv AF y Am'!$D$56-'E-Inv AF y Am'!$D$50)</f>
        <v>251276.7078481667</v>
      </c>
      <c r="F52" s="65">
        <f>0.1*('E-Inv AF y Am'!$D$56-'E-Inv AF y Am'!$D$50)</f>
        <v>251276.7078481667</v>
      </c>
      <c r="G52" s="17" t="s">
        <v>528</v>
      </c>
    </row>
    <row r="53" spans="1:7">
      <c r="A53" s="28" t="s">
        <v>104</v>
      </c>
      <c r="B53" s="65">
        <f>'E-Costos Datos y links'!C68</f>
        <v>88919.336526142491</v>
      </c>
      <c r="C53" s="311">
        <f>'E-Costos Datos y links'!$B$68</f>
        <v>98799.262806824991</v>
      </c>
      <c r="D53" s="311">
        <f>'E-Costos Datos y links'!$B$68</f>
        <v>98799.262806824991</v>
      </c>
      <c r="E53" s="311">
        <f>'E-Costos Datos y links'!$B$68</f>
        <v>98799.262806824991</v>
      </c>
      <c r="F53" s="311">
        <f>'E-Costos Datos y links'!$B$68</f>
        <v>98799.262806824991</v>
      </c>
    </row>
    <row r="54" spans="1:7">
      <c r="A54" s="28" t="s">
        <v>127</v>
      </c>
      <c r="B54" s="65">
        <f>'E-Costos Datos y links'!B62</f>
        <v>5037.0344885000004</v>
      </c>
      <c r="C54" s="65">
        <f>'E-Costos Datos y links'!$C$56</f>
        <v>7195.7635550000014</v>
      </c>
      <c r="D54" s="65">
        <f>'E-Costos Datos y links'!$C$56</f>
        <v>7195.7635550000014</v>
      </c>
      <c r="E54" s="65">
        <f>'E-Costos Datos y links'!$C$56</f>
        <v>7195.7635550000014</v>
      </c>
      <c r="F54" s="65">
        <f>'E-Costos Datos y links'!$C$56</f>
        <v>7195.7635550000014</v>
      </c>
    </row>
    <row r="55" spans="1:7">
      <c r="A55" s="28" t="s">
        <v>128</v>
      </c>
      <c r="B55" s="65">
        <v>0</v>
      </c>
      <c r="C55" s="65">
        <v>0</v>
      </c>
      <c r="D55" s="65">
        <v>0</v>
      </c>
      <c r="E55" s="65">
        <v>0</v>
      </c>
      <c r="F55" s="65">
        <v>0</v>
      </c>
    </row>
    <row r="56" spans="1:7">
      <c r="A56" s="28" t="s">
        <v>129</v>
      </c>
      <c r="B56" s="65">
        <f>'E-Costos Datos y links'!B81</f>
        <v>105000</v>
      </c>
      <c r="C56" s="65">
        <f>'E-Costos Datos y links'!$B$81</f>
        <v>105000</v>
      </c>
      <c r="D56" s="65">
        <f>'E-Costos Datos y links'!$B$81</f>
        <v>105000</v>
      </c>
      <c r="E56" s="65">
        <f>'E-Costos Datos y links'!$B$81</f>
        <v>105000</v>
      </c>
      <c r="F56" s="65">
        <f>'E-Costos Datos y links'!$B$81</f>
        <v>105000</v>
      </c>
    </row>
    <row r="57" spans="1:7">
      <c r="A57" s="28" t="s">
        <v>106</v>
      </c>
      <c r="B57" s="65">
        <f>'E-Costos Datos y links'!G80</f>
        <v>682500</v>
      </c>
      <c r="C57" s="65">
        <f>'E-Costos Datos y links'!$G$80</f>
        <v>682500</v>
      </c>
      <c r="D57" s="65">
        <f>'E-Costos Datos y links'!$G$80</f>
        <v>682500</v>
      </c>
      <c r="E57" s="65">
        <f>'E-Costos Datos y links'!$G$80</f>
        <v>682500</v>
      </c>
      <c r="F57" s="65">
        <f>'E-Costos Datos y links'!$G$80</f>
        <v>682500</v>
      </c>
    </row>
    <row r="58" spans="1:7">
      <c r="A58" s="28" t="s">
        <v>21</v>
      </c>
      <c r="B58" s="65">
        <f>0.035*SUM(B51:B57)</f>
        <v>118655.21776019833</v>
      </c>
      <c r="C58" s="65">
        <f>0.035*SUM(C51:C57)</f>
        <v>152937.81069734975</v>
      </c>
      <c r="D58" s="65">
        <f>0.035*SUM(D51:D57)</f>
        <v>152937.81069734975</v>
      </c>
      <c r="E58" s="65">
        <f>0.035*SUM(E51:E57)</f>
        <v>152937.81069734975</v>
      </c>
      <c r="F58" s="65">
        <f>0.035*SUM(F51:F57)</f>
        <v>152937.81069734975</v>
      </c>
    </row>
    <row r="59" spans="1:7">
      <c r="A59" s="28"/>
      <c r="B59" s="48"/>
      <c r="C59" s="48"/>
      <c r="D59" s="48"/>
      <c r="E59" s="48"/>
      <c r="F59" s="50"/>
    </row>
    <row r="60" spans="1:7">
      <c r="A60" s="26" t="s">
        <v>130</v>
      </c>
      <c r="B60" s="65">
        <f>SUM(B51:B58)</f>
        <v>3508804.2966230074</v>
      </c>
      <c r="C60" s="65">
        <f>SUM(C51:C58)</f>
        <v>4522589.5449073417</v>
      </c>
      <c r="D60" s="65">
        <f>SUM(D51:D58)</f>
        <v>4522589.5449073417</v>
      </c>
      <c r="E60" s="65">
        <f>SUM(E51:E58)</f>
        <v>4522589.5449073417</v>
      </c>
      <c r="F60" s="65">
        <f>SUM(F51:F58)</f>
        <v>4522589.5449073417</v>
      </c>
    </row>
    <row r="61" spans="1:7">
      <c r="A61" s="26"/>
      <c r="B61" s="86"/>
      <c r="C61" s="86"/>
      <c r="D61" s="86"/>
      <c r="E61" s="86"/>
      <c r="F61" s="87"/>
      <c r="G61" s="77"/>
    </row>
    <row r="62" spans="1:7">
      <c r="A62" s="70" t="s">
        <v>108</v>
      </c>
      <c r="B62" s="333">
        <v>1</v>
      </c>
      <c r="C62" s="333">
        <v>1</v>
      </c>
      <c r="D62" s="333">
        <v>1</v>
      </c>
      <c r="E62" s="333">
        <v>1</v>
      </c>
      <c r="F62" s="333">
        <v>1</v>
      </c>
      <c r="G62" s="77"/>
    </row>
    <row r="63" spans="1:7" ht="14" thickBot="1">
      <c r="A63" s="36" t="s">
        <v>109</v>
      </c>
      <c r="B63" s="332">
        <v>0</v>
      </c>
      <c r="C63" s="332">
        <v>0</v>
      </c>
      <c r="D63" s="332">
        <v>0</v>
      </c>
      <c r="E63" s="332">
        <v>0</v>
      </c>
      <c r="F63" s="332">
        <v>0</v>
      </c>
      <c r="G63" s="77"/>
    </row>
    <row r="64" spans="1:7" ht="14" thickTop="1"/>
    <row r="66" spans="1:6">
      <c r="A66" s="34"/>
      <c r="B66" s="19" t="s">
        <v>131</v>
      </c>
      <c r="C66" s="19"/>
      <c r="D66" s="19"/>
      <c r="E66" s="19"/>
      <c r="F66" s="20"/>
    </row>
    <row r="67" spans="1:6">
      <c r="A67" s="83" t="s">
        <v>94</v>
      </c>
      <c r="B67" s="22" t="s">
        <v>54</v>
      </c>
      <c r="C67" s="22" t="s">
        <v>95</v>
      </c>
      <c r="D67" s="22" t="s">
        <v>96</v>
      </c>
      <c r="E67" s="22" t="s">
        <v>97</v>
      </c>
      <c r="F67" s="23" t="s">
        <v>98</v>
      </c>
    </row>
    <row r="68" spans="1:6">
      <c r="A68" s="24" t="s">
        <v>125</v>
      </c>
      <c r="B68" s="63">
        <f>'E-Costos Datos y links'!E38</f>
        <v>887040</v>
      </c>
      <c r="C68" s="63">
        <f>'E-Costos Datos y links'!$E$37</f>
        <v>1267200</v>
      </c>
      <c r="D68" s="63">
        <f>'E-Costos Datos y links'!$E$37</f>
        <v>1267200</v>
      </c>
      <c r="E68" s="63">
        <f>'E-Costos Datos y links'!$E$37</f>
        <v>1267200</v>
      </c>
      <c r="F68" s="63">
        <f>'E-Costos Datos y links'!$E$37</f>
        <v>1267200</v>
      </c>
    </row>
    <row r="69" spans="1:6">
      <c r="A69" s="28" t="s">
        <v>126</v>
      </c>
      <c r="B69" s="65">
        <f>0.1*('E-Inv AF y Am'!D56-'E-Inv AF y Am'!D50)</f>
        <v>251276.7078481667</v>
      </c>
      <c r="C69" s="65">
        <f>0.1*('E-Inv AF y Am'!$D$56-'E-Inv AF y Am'!$D$50)</f>
        <v>251276.7078481667</v>
      </c>
      <c r="D69" s="65">
        <f>0.1*('E-Inv AF y Am'!$D$56-'E-Inv AF y Am'!$D$50)</f>
        <v>251276.7078481667</v>
      </c>
      <c r="E69" s="65">
        <f>0.1*('E-Inv AF y Am'!$D$56-'E-Inv AF y Am'!$D$50)</f>
        <v>251276.7078481667</v>
      </c>
      <c r="F69" s="65">
        <f>0.1*('E-Inv AF y Am'!$D$56-'E-Inv AF y Am'!$D$50)</f>
        <v>251276.7078481667</v>
      </c>
    </row>
    <row r="70" spans="1:6">
      <c r="A70" s="28" t="s">
        <v>104</v>
      </c>
      <c r="B70" s="65">
        <f>'E-Costos Datos y links'!C74</f>
        <v>45963.222394606877</v>
      </c>
      <c r="C70" s="65">
        <f>'E-Costos Datos y links'!$B$74</f>
        <v>51070.247105118746</v>
      </c>
      <c r="D70" s="65">
        <f>'E-Costos Datos y links'!$B$74</f>
        <v>51070.247105118746</v>
      </c>
      <c r="E70" s="65">
        <f>'E-Costos Datos y links'!$B$74</f>
        <v>51070.247105118746</v>
      </c>
      <c r="F70" s="65">
        <f>'E-Costos Datos y links'!$B$74</f>
        <v>51070.247105118746</v>
      </c>
    </row>
    <row r="71" spans="1:6">
      <c r="A71" s="28" t="s">
        <v>132</v>
      </c>
      <c r="B71" s="65">
        <f>'E-Costos Datos y links'!B61</f>
        <v>5037.0344885000004</v>
      </c>
      <c r="C71" s="65">
        <f>'E-Costos Datos y links'!$C$55</f>
        <v>7195.7635550000014</v>
      </c>
      <c r="D71" s="65">
        <f>'E-Costos Datos y links'!$C$55</f>
        <v>7195.7635550000014</v>
      </c>
      <c r="E71" s="65">
        <f>'E-Costos Datos y links'!$C$55</f>
        <v>7195.7635550000014</v>
      </c>
      <c r="F71" s="65">
        <f>'E-Costos Datos y links'!$C$55</f>
        <v>7195.7635550000014</v>
      </c>
    </row>
    <row r="72" spans="1:6">
      <c r="A72" s="28" t="s">
        <v>128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</row>
    <row r="73" spans="1:6">
      <c r="A73" s="28" t="s">
        <v>129</v>
      </c>
      <c r="B73" s="65">
        <f>'E-Costos Datos y links'!B89</f>
        <v>145000</v>
      </c>
      <c r="C73" s="65">
        <f>'E-Costos Datos y links'!$B$89</f>
        <v>145000</v>
      </c>
      <c r="D73" s="65">
        <f>'E-Costos Datos y links'!$B$89</f>
        <v>145000</v>
      </c>
      <c r="E73" s="65">
        <f>'E-Costos Datos y links'!$B$89</f>
        <v>145000</v>
      </c>
      <c r="F73" s="65">
        <f>'E-Costos Datos y links'!$B$89</f>
        <v>145000</v>
      </c>
    </row>
    <row r="74" spans="1:6">
      <c r="A74" s="28" t="s">
        <v>106</v>
      </c>
      <c r="B74" s="65">
        <f>'E-Costos Datos y links'!G85</f>
        <v>1500000</v>
      </c>
      <c r="C74" s="65">
        <f>'E-Costos Datos y links'!$G$85</f>
        <v>1500000</v>
      </c>
      <c r="D74" s="65">
        <f>'E-Costos Datos y links'!$G$85</f>
        <v>1500000</v>
      </c>
      <c r="E74" s="65">
        <f>'E-Costos Datos y links'!$G$85</f>
        <v>1500000</v>
      </c>
      <c r="F74" s="65">
        <f>'E-Costos Datos y links'!$G$85</f>
        <v>1500000</v>
      </c>
    </row>
    <row r="75" spans="1:6">
      <c r="A75" s="28" t="s">
        <v>21</v>
      </c>
      <c r="B75" s="65">
        <f>0.035*SUM(B68:B74)</f>
        <v>99201.093765594575</v>
      </c>
      <c r="C75" s="65">
        <f>0.035*SUM(C68:C74)</f>
        <v>112760.99514779</v>
      </c>
      <c r="D75" s="65">
        <f>0.035*SUM(D68:D74)</f>
        <v>112760.99514779</v>
      </c>
      <c r="E75" s="65">
        <f>0.035*SUM(E68:E74)</f>
        <v>112760.99514779</v>
      </c>
      <c r="F75" s="65">
        <f>0.035*SUM(F68:F74)</f>
        <v>112760.99514779</v>
      </c>
    </row>
    <row r="76" spans="1:6">
      <c r="A76" s="28"/>
      <c r="B76" s="48"/>
      <c r="C76" s="48"/>
      <c r="D76" s="48"/>
      <c r="E76" s="48"/>
      <c r="F76" s="50"/>
    </row>
    <row r="77" spans="1:6">
      <c r="A77" s="26" t="s">
        <v>133</v>
      </c>
      <c r="B77" s="65">
        <f>SUM(B68:B75)</f>
        <v>2933518.0584968678</v>
      </c>
      <c r="C77" s="65">
        <f>SUM(C68:C75)</f>
        <v>3334503.7136560753</v>
      </c>
      <c r="D77" s="65">
        <f>SUM(D68:D75)</f>
        <v>3334503.7136560753</v>
      </c>
      <c r="E77" s="65">
        <f>SUM(E68:E75)</f>
        <v>3334503.7136560753</v>
      </c>
      <c r="F77" s="65">
        <f>SUM(F68:F75)</f>
        <v>3334503.7136560753</v>
      </c>
    </row>
    <row r="78" spans="1:6">
      <c r="A78" s="26"/>
      <c r="B78" s="86"/>
      <c r="C78" s="86"/>
      <c r="D78" s="86"/>
      <c r="E78" s="86"/>
      <c r="F78" s="87"/>
    </row>
    <row r="79" spans="1:6">
      <c r="A79" s="70" t="s">
        <v>108</v>
      </c>
      <c r="B79" s="333">
        <f>(B68+B69+B70+B71+B74+0.5*B75)/B77</f>
        <v>0.93366308200519132</v>
      </c>
      <c r="C79" s="333">
        <f>(C68+C69+C70+C71+C74+0.5*C75)/C77</f>
        <v>0.93960705554197932</v>
      </c>
      <c r="D79" s="333">
        <f>(D68+D69+D70+D71+D74+0.5*D75)/D77</f>
        <v>0.93960705554197932</v>
      </c>
      <c r="E79" s="333">
        <f>(E68+E69+E70+E71+E74+0.5*E75)/E77</f>
        <v>0.93960705554197932</v>
      </c>
      <c r="F79" s="333">
        <f>(F68+F69+F70+F71+F74+0.5*F75)/F77</f>
        <v>0.93960705554197932</v>
      </c>
    </row>
    <row r="80" spans="1:6">
      <c r="A80" s="36" t="s">
        <v>109</v>
      </c>
      <c r="B80" s="332">
        <f>(B73+B75*0.5)/B77</f>
        <v>6.6336917994808745E-2</v>
      </c>
      <c r="C80" s="332">
        <f>(C73+C75*0.5)/C77</f>
        <v>6.0392944458020667E-2</v>
      </c>
      <c r="D80" s="332">
        <f>(D73+D75*0.5)/D77</f>
        <v>6.0392944458020667E-2</v>
      </c>
      <c r="E80" s="332">
        <f>(E73+E75*0.5)/E77</f>
        <v>6.0392944458020667E-2</v>
      </c>
      <c r="F80" s="332">
        <f>(F73+F75*0.5)/F77</f>
        <v>6.0392944458020667E-2</v>
      </c>
    </row>
    <row r="83" spans="1:6" ht="16">
      <c r="A83" s="90" t="s">
        <v>134</v>
      </c>
      <c r="B83" s="91"/>
      <c r="C83" s="91"/>
      <c r="D83" s="91"/>
      <c r="E83" s="91"/>
      <c r="F83" s="92"/>
    </row>
    <row r="84" spans="1:6">
      <c r="A84" s="28"/>
      <c r="B84" s="61" t="s">
        <v>54</v>
      </c>
      <c r="C84" s="61" t="s">
        <v>95</v>
      </c>
      <c r="D84" s="61" t="s">
        <v>96</v>
      </c>
      <c r="E84" s="61" t="s">
        <v>97</v>
      </c>
      <c r="F84" s="23" t="s">
        <v>98</v>
      </c>
    </row>
    <row r="85" spans="1:6">
      <c r="A85" s="28" t="s">
        <v>135</v>
      </c>
      <c r="B85" s="93">
        <v>78256</v>
      </c>
      <c r="C85" s="93">
        <v>125000</v>
      </c>
      <c r="D85" s="93">
        <v>125000</v>
      </c>
      <c r="E85" s="93">
        <v>125000</v>
      </c>
      <c r="F85" s="93">
        <v>125000</v>
      </c>
    </row>
    <row r="86" spans="1:6">
      <c r="A86" s="28" t="s">
        <v>136</v>
      </c>
      <c r="B86" s="312">
        <f>InfoInicial!$B$20</f>
        <v>400</v>
      </c>
      <c r="C86" s="312">
        <f>InfoInicial!$B$20</f>
        <v>400</v>
      </c>
      <c r="D86" s="312">
        <f>InfoInicial!$B$20</f>
        <v>400</v>
      </c>
      <c r="E86" s="312">
        <f>InfoInicial!$B$20</f>
        <v>400</v>
      </c>
      <c r="F86" s="312">
        <f>InfoInicial!$B$20</f>
        <v>400</v>
      </c>
    </row>
    <row r="87" spans="1:6">
      <c r="A87" s="26" t="s">
        <v>137</v>
      </c>
      <c r="B87" s="65">
        <f>B86*B85</f>
        <v>31302400</v>
      </c>
      <c r="C87" s="65">
        <f>C85*C86</f>
        <v>50000000</v>
      </c>
      <c r="D87" s="65">
        <f>D85*D86</f>
        <v>50000000</v>
      </c>
      <c r="E87" s="65">
        <f>E86*E85</f>
        <v>50000000</v>
      </c>
      <c r="F87" s="66">
        <f>F86*F85</f>
        <v>50000000</v>
      </c>
    </row>
    <row r="88" spans="1:6">
      <c r="A88" s="28"/>
      <c r="B88" s="86"/>
      <c r="C88" s="86"/>
      <c r="D88" s="86"/>
      <c r="E88" s="86"/>
      <c r="F88" s="87"/>
    </row>
    <row r="89" spans="1:6">
      <c r="A89" s="28" t="s">
        <v>138</v>
      </c>
      <c r="B89" s="65">
        <f t="shared" ref="B89:F90" si="1">B7</f>
        <v>11498916</v>
      </c>
      <c r="C89" s="65">
        <f t="shared" si="1"/>
        <v>17160000</v>
      </c>
      <c r="D89" s="65">
        <f t="shared" si="1"/>
        <v>17160000</v>
      </c>
      <c r="E89" s="65">
        <f t="shared" si="1"/>
        <v>17160000</v>
      </c>
      <c r="F89" s="65">
        <f t="shared" si="1"/>
        <v>17160000</v>
      </c>
    </row>
    <row r="90" spans="1:6">
      <c r="A90" s="28" t="s">
        <v>100</v>
      </c>
      <c r="B90" s="65">
        <f t="shared" si="1"/>
        <v>3747743.9999999995</v>
      </c>
      <c r="C90" s="65">
        <f t="shared" si="1"/>
        <v>5353920</v>
      </c>
      <c r="D90" s="65">
        <f t="shared" si="1"/>
        <v>5353920</v>
      </c>
      <c r="E90" s="65">
        <f t="shared" si="1"/>
        <v>5353920</v>
      </c>
      <c r="F90" s="66">
        <f t="shared" si="1"/>
        <v>5353920</v>
      </c>
    </row>
    <row r="91" spans="1:6">
      <c r="A91" s="28" t="s">
        <v>139</v>
      </c>
      <c r="B91" s="65">
        <f>SUM(B10:B15)</f>
        <v>4222001.3298115889</v>
      </c>
      <c r="C91" s="65">
        <f>SUM(C10:C15)</f>
        <v>4771307.5368900243</v>
      </c>
      <c r="D91" s="65">
        <f>SUM(D10:D15)</f>
        <v>4771307.5368900243</v>
      </c>
      <c r="E91" s="65">
        <f>SUM(E10:E15)</f>
        <v>4772609.6175300237</v>
      </c>
      <c r="F91" s="65">
        <f>SUM(F10:F15)</f>
        <v>4772609.6175300237</v>
      </c>
    </row>
    <row r="92" spans="1:6">
      <c r="A92" s="28"/>
      <c r="B92" s="86"/>
      <c r="C92" s="86"/>
      <c r="D92" s="86"/>
      <c r="E92" s="86"/>
      <c r="F92" s="87"/>
    </row>
    <row r="93" spans="1:6">
      <c r="A93" s="28" t="s">
        <v>140</v>
      </c>
      <c r="B93" s="95">
        <f>B16</f>
        <v>19468661.329811592</v>
      </c>
      <c r="C93" s="95">
        <f>C16</f>
        <v>27285227.536890026</v>
      </c>
      <c r="D93" s="95">
        <f>D16</f>
        <v>27285227.536890026</v>
      </c>
      <c r="E93" s="95">
        <f>E16</f>
        <v>27286529.617530026</v>
      </c>
      <c r="F93" s="96">
        <f>F16</f>
        <v>27286529.617530026</v>
      </c>
    </row>
    <row r="94" spans="1:6">
      <c r="A94" s="28"/>
      <c r="B94" s="86"/>
      <c r="C94" s="86"/>
      <c r="D94" s="86"/>
      <c r="E94" s="86"/>
      <c r="F94" s="87"/>
    </row>
    <row r="95" spans="1:6">
      <c r="A95" s="28" t="s">
        <v>119</v>
      </c>
      <c r="B95" s="86"/>
      <c r="C95" s="86"/>
      <c r="D95" s="86"/>
      <c r="E95" s="86"/>
      <c r="F95" s="87"/>
    </row>
    <row r="96" spans="1:6">
      <c r="A96" s="30" t="s">
        <v>112</v>
      </c>
      <c r="B96" s="65">
        <f>G34</f>
        <v>809200.37210586504</v>
      </c>
      <c r="C96" s="65">
        <v>0</v>
      </c>
      <c r="D96" s="65">
        <v>0</v>
      </c>
      <c r="E96" s="65">
        <v>0</v>
      </c>
      <c r="F96" s="65">
        <v>0</v>
      </c>
    </row>
    <row r="97" spans="1:6">
      <c r="A97" s="30" t="s">
        <v>121</v>
      </c>
      <c r="B97" s="65">
        <f>B41</f>
        <v>35594.513299725273</v>
      </c>
      <c r="C97" s="65">
        <f>C41</f>
        <v>34466.569749036214</v>
      </c>
      <c r="D97" s="65">
        <f>D41</f>
        <v>34466.569749036214</v>
      </c>
      <c r="E97" s="65">
        <f>E41</f>
        <v>34464.497998954721</v>
      </c>
      <c r="F97" s="65">
        <f>F41</f>
        <v>34464.497998954721</v>
      </c>
    </row>
    <row r="98" spans="1:6">
      <c r="A98" s="28"/>
      <c r="B98" s="86"/>
      <c r="C98" s="86"/>
      <c r="D98" s="86"/>
      <c r="E98" s="86"/>
      <c r="F98" s="87"/>
    </row>
    <row r="99" spans="1:6">
      <c r="A99" s="26" t="s">
        <v>141</v>
      </c>
      <c r="B99" s="65">
        <f>B42</f>
        <v>18623866.444405999</v>
      </c>
      <c r="C99" s="65">
        <f>C42</f>
        <v>27250760.967140991</v>
      </c>
      <c r="D99" s="65">
        <f>D42</f>
        <v>27250760.967140991</v>
      </c>
      <c r="E99" s="65">
        <f>E42</f>
        <v>27252065.119531073</v>
      </c>
      <c r="F99" s="65">
        <f>F42</f>
        <v>27252065.119531073</v>
      </c>
    </row>
    <row r="100" spans="1:6">
      <c r="A100" s="30" t="s">
        <v>142</v>
      </c>
      <c r="B100" s="313">
        <v>80660</v>
      </c>
      <c r="C100" s="313">
        <v>125000</v>
      </c>
      <c r="D100" s="313">
        <v>125000</v>
      </c>
      <c r="E100" s="313">
        <v>125000</v>
      </c>
      <c r="F100" s="314">
        <v>125000</v>
      </c>
    </row>
    <row r="101" spans="1:6">
      <c r="A101" s="28" t="s">
        <v>143</v>
      </c>
      <c r="B101" s="65">
        <f>B43</f>
        <v>230.89345951408379</v>
      </c>
      <c r="C101" s="65">
        <f>C43</f>
        <v>218.00608773712793</v>
      </c>
      <c r="D101" s="65">
        <f>D43</f>
        <v>218.00608773712793</v>
      </c>
      <c r="E101" s="65">
        <f>E43</f>
        <v>218.01652095624857</v>
      </c>
      <c r="F101" s="65">
        <f>F43</f>
        <v>218.01652095624857</v>
      </c>
    </row>
    <row r="102" spans="1:6">
      <c r="A102" s="28"/>
      <c r="B102" s="97"/>
      <c r="C102" s="97"/>
      <c r="D102" s="97"/>
      <c r="E102" s="97"/>
      <c r="F102" s="98"/>
    </row>
    <row r="103" spans="1:6">
      <c r="A103" s="28" t="s">
        <v>119</v>
      </c>
      <c r="B103" s="97"/>
      <c r="C103" s="97"/>
      <c r="D103" s="97"/>
      <c r="E103" s="97"/>
      <c r="F103" s="98"/>
    </row>
    <row r="104" spans="1:6">
      <c r="A104" s="28" t="s">
        <v>144</v>
      </c>
      <c r="B104" s="65">
        <f>'E-Costos Datos y links'!B202</f>
        <v>555067.87667185743</v>
      </c>
      <c r="C104" s="65">
        <f>'E-Costos Datos y links'!C202</f>
        <v>-30981.241751801921</v>
      </c>
      <c r="D104" s="65">
        <f>'E-Costos Datos y links'!D202</f>
        <v>0</v>
      </c>
      <c r="E104" s="65">
        <f>'E-Costos Datos y links'!E202</f>
        <v>25.081458766071592</v>
      </c>
      <c r="F104" s="66">
        <f>'E-Costos Datos y links'!F202</f>
        <v>0</v>
      </c>
    </row>
    <row r="105" spans="1:6">
      <c r="A105" s="28"/>
      <c r="B105" s="97"/>
      <c r="C105" s="97"/>
      <c r="D105" s="97"/>
      <c r="E105" s="97"/>
      <c r="F105" s="98"/>
    </row>
    <row r="106" spans="1:6">
      <c r="A106" s="26" t="s">
        <v>145</v>
      </c>
      <c r="B106" s="65">
        <f>B99-B104</f>
        <v>18068798.567734141</v>
      </c>
      <c r="C106" s="65">
        <f>C99-C104</f>
        <v>27281742.208892792</v>
      </c>
      <c r="D106" s="65">
        <f>D99-D104</f>
        <v>27250760.967140991</v>
      </c>
      <c r="E106" s="65">
        <f>E99-E104</f>
        <v>27252040.038072307</v>
      </c>
      <c r="F106" s="65">
        <f>F99-F104</f>
        <v>27252065.119531073</v>
      </c>
    </row>
    <row r="107" spans="1:6">
      <c r="A107" s="28"/>
      <c r="B107" s="86"/>
      <c r="C107" s="86"/>
      <c r="D107" s="86"/>
      <c r="E107" s="86"/>
      <c r="F107" s="87"/>
    </row>
    <row r="108" spans="1:6">
      <c r="A108" s="26" t="s">
        <v>146</v>
      </c>
      <c r="B108" s="65">
        <f>B60</f>
        <v>3508804.2966230074</v>
      </c>
      <c r="C108" s="65">
        <f>C60</f>
        <v>4522589.5449073417</v>
      </c>
      <c r="D108" s="65">
        <f>D60</f>
        <v>4522589.5449073417</v>
      </c>
      <c r="E108" s="65">
        <f>E60</f>
        <v>4522589.5449073417</v>
      </c>
      <c r="F108" s="65">
        <f>F60</f>
        <v>4522589.5449073417</v>
      </c>
    </row>
    <row r="109" spans="1:6">
      <c r="A109" s="26" t="s">
        <v>147</v>
      </c>
      <c r="B109" s="95">
        <f>B77</f>
        <v>2933518.0584968678</v>
      </c>
      <c r="C109" s="95">
        <f>C77</f>
        <v>3334503.7136560753</v>
      </c>
      <c r="D109" s="95">
        <f>D77</f>
        <v>3334503.7136560753</v>
      </c>
      <c r="E109" s="95">
        <f>E77</f>
        <v>3334503.7136560753</v>
      </c>
      <c r="F109" s="95">
        <f>F77</f>
        <v>3334503.7136560753</v>
      </c>
    </row>
    <row r="110" spans="1:6">
      <c r="A110" s="28"/>
      <c r="B110" s="97"/>
      <c r="C110" s="97"/>
      <c r="D110" s="97"/>
      <c r="E110" s="97"/>
      <c r="F110" s="98"/>
    </row>
    <row r="111" spans="1:6">
      <c r="A111" s="26" t="s">
        <v>148</v>
      </c>
      <c r="B111" s="95">
        <f>SUM(B106:B109)</f>
        <v>24511120.922854014</v>
      </c>
      <c r="C111" s="95">
        <f>SUM(C106:C109)</f>
        <v>35138835.467456207</v>
      </c>
      <c r="D111" s="95">
        <f>SUM(D106:D109)</f>
        <v>35107854.225704409</v>
      </c>
      <c r="E111" s="95">
        <f>SUM(E106:E109)</f>
        <v>35109133.296635725</v>
      </c>
      <c r="F111" s="95">
        <f>SUM(F106:F109)</f>
        <v>35109158.378094494</v>
      </c>
    </row>
    <row r="112" spans="1:6">
      <c r="A112" s="28"/>
      <c r="B112" s="97"/>
      <c r="C112" s="97"/>
      <c r="D112" s="97"/>
      <c r="E112" s="97"/>
      <c r="F112" s="98"/>
    </row>
    <row r="113" spans="1:6">
      <c r="A113" s="26" t="s">
        <v>149</v>
      </c>
      <c r="B113" s="95">
        <f>B111/B85</f>
        <v>313.21714530328683</v>
      </c>
      <c r="C113" s="95">
        <f>C111/C85</f>
        <v>281.11068373964963</v>
      </c>
      <c r="D113" s="95">
        <f>D111/D85</f>
        <v>280.86283380563526</v>
      </c>
      <c r="E113" s="95">
        <f>E111/E85</f>
        <v>280.87306637308581</v>
      </c>
      <c r="F113" s="95">
        <f>F111/F85</f>
        <v>280.87326702475593</v>
      </c>
    </row>
    <row r="114" spans="1:6">
      <c r="A114" s="28"/>
      <c r="B114" s="97"/>
      <c r="C114" s="97"/>
      <c r="D114" s="97"/>
      <c r="E114" s="97"/>
      <c r="F114" s="98"/>
    </row>
    <row r="115" spans="1:6">
      <c r="A115" s="26" t="s">
        <v>150</v>
      </c>
      <c r="B115" s="95">
        <f>B87-B111</f>
        <v>6791279.0771459863</v>
      </c>
      <c r="C115" s="95">
        <f>C87-C111</f>
        <v>14861164.532543793</v>
      </c>
      <c r="D115" s="95">
        <f>D87-D111</f>
        <v>14892145.774295591</v>
      </c>
      <c r="E115" s="95">
        <f>E87-E111</f>
        <v>14890866.703364275</v>
      </c>
      <c r="F115" s="95">
        <f>F87-F111</f>
        <v>14890841.621905506</v>
      </c>
    </row>
    <row r="116" spans="1:6">
      <c r="A116" s="26" t="s">
        <v>5</v>
      </c>
      <c r="B116" s="95">
        <f>B115*InfoInicial!$B$5</f>
        <v>237694.76770010954</v>
      </c>
      <c r="C116" s="95">
        <f>C115*InfoInicial!$B$5</f>
        <v>520140.75863903284</v>
      </c>
      <c r="D116" s="95">
        <f>D115*InfoInicial!$B$5</f>
        <v>521225.10210034571</v>
      </c>
      <c r="E116" s="95">
        <f>E115*InfoInicial!$B$5</f>
        <v>521180.33461774967</v>
      </c>
      <c r="F116" s="95">
        <f>F115*InfoInicial!$B$5</f>
        <v>521179.45676669275</v>
      </c>
    </row>
    <row r="117" spans="1:6">
      <c r="A117" s="47" t="s">
        <v>151</v>
      </c>
      <c r="B117" s="95">
        <f>B115*InfoInicial!$B$4</f>
        <v>2376947.6770010949</v>
      </c>
      <c r="C117" s="95">
        <f>C115*InfoInicial!$B$4</f>
        <v>5201407.5863903277</v>
      </c>
      <c r="D117" s="95">
        <f>D115*InfoInicial!$B$4</f>
        <v>5212251.0210034568</v>
      </c>
      <c r="E117" s="95">
        <f>E115*InfoInicial!$B$4</f>
        <v>5211803.346177496</v>
      </c>
      <c r="F117" s="95">
        <f>F115*InfoInicial!$B$4</f>
        <v>5211794.5676669264</v>
      </c>
    </row>
    <row r="118" spans="1:6">
      <c r="A118" s="26"/>
      <c r="B118" s="97"/>
      <c r="C118" s="97"/>
      <c r="D118" s="97"/>
      <c r="E118" s="97"/>
      <c r="F118" s="98"/>
    </row>
    <row r="119" spans="1:6">
      <c r="A119" s="47" t="s">
        <v>152</v>
      </c>
      <c r="B119" s="95">
        <f>B115-B116-B117</f>
        <v>4176636.6324447817</v>
      </c>
      <c r="C119" s="95">
        <f>C115-C116-C117</f>
        <v>9139616.1875144336</v>
      </c>
      <c r="D119" s="95">
        <f>D115-D116-D117</f>
        <v>9158669.6511917878</v>
      </c>
      <c r="E119" s="95">
        <f>E115-E116-E117</f>
        <v>9157883.0225690305</v>
      </c>
      <c r="F119" s="95">
        <f>F115-F116-F117</f>
        <v>9157867.5974718854</v>
      </c>
    </row>
    <row r="120" spans="1:6">
      <c r="A120" s="26" t="s">
        <v>153</v>
      </c>
      <c r="B120" s="99">
        <f>B119/B87</f>
        <v>0.13342863909619651</v>
      </c>
      <c r="C120" s="99">
        <f>C119/C87</f>
        <v>0.18279232375028867</v>
      </c>
      <c r="D120" s="99">
        <f>D119/D87</f>
        <v>0.18317339302383576</v>
      </c>
      <c r="E120" s="99">
        <f>E119/E87</f>
        <v>0.1831576604513806</v>
      </c>
      <c r="F120" s="99">
        <f>F119/F87</f>
        <v>0.18315735194943772</v>
      </c>
    </row>
    <row r="121" spans="1:6">
      <c r="A121" s="26"/>
      <c r="B121" s="101"/>
      <c r="C121" s="101"/>
      <c r="D121" s="101"/>
      <c r="E121" s="101"/>
      <c r="F121" s="102"/>
    </row>
    <row r="122" spans="1:6">
      <c r="A122" s="26" t="s">
        <v>154</v>
      </c>
      <c r="B122" s="99"/>
      <c r="C122" s="99"/>
      <c r="D122" s="99"/>
      <c r="E122" s="99"/>
      <c r="F122" s="100"/>
    </row>
    <row r="123" spans="1:6">
      <c r="A123" s="47" t="s">
        <v>155</v>
      </c>
      <c r="B123" s="326">
        <f>B119</f>
        <v>4176636.6324447817</v>
      </c>
      <c r="C123" s="326">
        <f>C119</f>
        <v>9139616.1875144336</v>
      </c>
      <c r="D123" s="326">
        <f>D119</f>
        <v>9158669.6511917878</v>
      </c>
      <c r="E123" s="326">
        <f>E119</f>
        <v>9157883.0225690305</v>
      </c>
      <c r="F123" s="326">
        <f>F119</f>
        <v>9157867.5974718854</v>
      </c>
    </row>
    <row r="124" spans="1:6">
      <c r="A124" s="26" t="s">
        <v>156</v>
      </c>
      <c r="B124" s="328">
        <f>B10+B52+B69</f>
        <v>2766766.2863298333</v>
      </c>
      <c r="C124" s="328">
        <f>C10+C52+C69</f>
        <v>2766766.2863298333</v>
      </c>
      <c r="D124" s="328">
        <f>D10+D52+D69</f>
        <v>2766766.2863298333</v>
      </c>
      <c r="E124" s="328">
        <f>E10+E52+E69</f>
        <v>2764043.7863298333</v>
      </c>
      <c r="F124" s="328">
        <f>F10+F52+F69</f>
        <v>2764043.7863298333</v>
      </c>
    </row>
    <row r="125" spans="1:6">
      <c r="A125" s="36" t="s">
        <v>157</v>
      </c>
      <c r="B125" s="326">
        <f>SUM(B123:B124)</f>
        <v>6943402.918774615</v>
      </c>
      <c r="C125" s="326">
        <f>SUM(C123:C124)</f>
        <v>11906382.473844267</v>
      </c>
      <c r="D125" s="326">
        <f>SUM(D123:D124)</f>
        <v>11925435.937521622</v>
      </c>
      <c r="E125" s="326">
        <f>SUM(E123:E124)</f>
        <v>11921926.808898864</v>
      </c>
      <c r="F125" s="326">
        <f>SUM(F123:F124)</f>
        <v>11921911.383801719</v>
      </c>
    </row>
    <row r="126" spans="1:6">
      <c r="A126" s="26"/>
      <c r="B126" s="31"/>
      <c r="C126" s="31"/>
      <c r="D126" s="31"/>
      <c r="E126" s="31"/>
      <c r="F126" s="103"/>
    </row>
    <row r="127" spans="1:6">
      <c r="A127" s="26" t="s">
        <v>158</v>
      </c>
      <c r="B127" s="29">
        <f>B16*B18</f>
        <v>3457780.1346641309</v>
      </c>
      <c r="C127" s="29">
        <f>C16*C18</f>
        <v>3827544.2975857472</v>
      </c>
      <c r="D127" s="29">
        <f>D16*D18</f>
        <v>3827544.2975857472</v>
      </c>
      <c r="E127" s="29">
        <f>E16*E18</f>
        <v>3824821.7975857472</v>
      </c>
      <c r="F127" s="29">
        <f>F16*F18</f>
        <v>3824821.7975857472</v>
      </c>
    </row>
    <row r="128" spans="1:6">
      <c r="A128" s="47" t="s">
        <v>159</v>
      </c>
      <c r="B128" s="29">
        <f>B16*B19</f>
        <v>16010881.195147458</v>
      </c>
      <c r="C128" s="29">
        <f>C16*C19</f>
        <v>23457683.239304278</v>
      </c>
      <c r="D128" s="29">
        <f>D16*D19</f>
        <v>23457683.239304278</v>
      </c>
      <c r="E128" s="29">
        <f>E16*E19</f>
        <v>23461707.819944277</v>
      </c>
      <c r="F128" s="29">
        <f>F16*F19</f>
        <v>23461707.819944277</v>
      </c>
    </row>
    <row r="129" spans="1:12">
      <c r="A129" s="26" t="s">
        <v>160</v>
      </c>
      <c r="B129" s="29">
        <f>B60*B62</f>
        <v>3508804.2966230074</v>
      </c>
      <c r="C129" s="29">
        <f>C60*C62</f>
        <v>4522589.5449073417</v>
      </c>
      <c r="D129" s="29">
        <f>D60*D62</f>
        <v>4522589.5449073417</v>
      </c>
      <c r="E129" s="29">
        <f>E60*E62</f>
        <v>4522589.5449073417</v>
      </c>
      <c r="F129" s="29">
        <f>F60*F62</f>
        <v>4522589.5449073417</v>
      </c>
    </row>
    <row r="130" spans="1:12">
      <c r="A130" s="47" t="s">
        <v>161</v>
      </c>
      <c r="B130" s="29">
        <f>B60*B63</f>
        <v>0</v>
      </c>
      <c r="C130" s="29">
        <f>C60*C63</f>
        <v>0</v>
      </c>
      <c r="D130" s="29">
        <f>D60*D63</f>
        <v>0</v>
      </c>
      <c r="E130" s="29">
        <f>E60*E63</f>
        <v>0</v>
      </c>
      <c r="F130" s="29">
        <f>F60*F63</f>
        <v>0</v>
      </c>
    </row>
    <row r="131" spans="1:12">
      <c r="A131" s="26" t="s">
        <v>162</v>
      </c>
      <c r="B131" s="29">
        <f>B77*B79</f>
        <v>2738917.5116140707</v>
      </c>
      <c r="C131" s="29">
        <f>C77*C79</f>
        <v>3133123.2160821804</v>
      </c>
      <c r="D131" s="29">
        <f>D77*D79</f>
        <v>3133123.2160821804</v>
      </c>
      <c r="E131" s="29">
        <f>E77*E79</f>
        <v>3133123.2160821804</v>
      </c>
      <c r="F131" s="29">
        <f>F77*F79</f>
        <v>3133123.2160821804</v>
      </c>
    </row>
    <row r="132" spans="1:12">
      <c r="A132" s="47" t="s">
        <v>163</v>
      </c>
      <c r="B132" s="29">
        <f>B77*B80</f>
        <v>194600.54688279727</v>
      </c>
      <c r="C132" s="29">
        <f>C77*C80</f>
        <v>201380.497573895</v>
      </c>
      <c r="D132" s="29">
        <f>D77*D80</f>
        <v>201380.497573895</v>
      </c>
      <c r="E132" s="29">
        <f>E77*E80</f>
        <v>201380.497573895</v>
      </c>
      <c r="F132" s="29">
        <f>F77*F80</f>
        <v>201380.497573895</v>
      </c>
    </row>
    <row r="133" spans="1:12">
      <c r="A133" s="26" t="s">
        <v>164</v>
      </c>
      <c r="B133" s="29">
        <f>B87-B128-B130-B132</f>
        <v>15096918.257969745</v>
      </c>
      <c r="C133" s="29">
        <f>C87-C128-C130-C132</f>
        <v>26340936.263121828</v>
      </c>
      <c r="D133" s="29">
        <f>D87-D128-D130-D132</f>
        <v>26340936.263121828</v>
      </c>
      <c r="E133" s="29">
        <f>E87-E128-E130-E132</f>
        <v>26336911.682481829</v>
      </c>
      <c r="F133" s="29">
        <f>F87-F128-F130-F132</f>
        <v>26336911.682481829</v>
      </c>
    </row>
    <row r="134" spans="1:12" ht="14" thickBot="1">
      <c r="A134" s="36" t="s">
        <v>165</v>
      </c>
      <c r="B134" s="241">
        <f>(B127+B129+B131)/B133</f>
        <v>0.64287967763073917</v>
      </c>
      <c r="C134" s="241">
        <f>(C127+C129+C131)/C133</f>
        <v>0.43594718668569893</v>
      </c>
      <c r="D134" s="241">
        <f>(D127+D129+D131)/D133</f>
        <v>0.43594718668569893</v>
      </c>
      <c r="E134" s="241">
        <f>(E127+E129+E131)/E133</f>
        <v>0.43591043236142307</v>
      </c>
      <c r="F134" s="241">
        <f>(F127+F129+F131)/F133</f>
        <v>0.43591043236142307</v>
      </c>
    </row>
    <row r="135" spans="1:12" ht="17" thickTop="1">
      <c r="A135" s="104" t="s">
        <v>166</v>
      </c>
    </row>
    <row r="139" spans="1:12">
      <c r="A139" s="364" t="s">
        <v>432</v>
      </c>
      <c r="B139" s="365"/>
      <c r="C139" s="365"/>
      <c r="D139" s="365"/>
      <c r="E139" s="366"/>
      <c r="H139" s="367" t="s">
        <v>733</v>
      </c>
      <c r="I139" s="368"/>
      <c r="J139" s="368"/>
      <c r="K139" s="368"/>
      <c r="L139" s="368"/>
    </row>
    <row r="140" spans="1:12">
      <c r="A140" s="347" t="s">
        <v>736</v>
      </c>
      <c r="B140" s="347" t="s">
        <v>737</v>
      </c>
      <c r="C140" s="347" t="s">
        <v>738</v>
      </c>
      <c r="D140" s="347" t="s">
        <v>739</v>
      </c>
      <c r="E140" s="347" t="s">
        <v>740</v>
      </c>
      <c r="H140" s="348" t="s">
        <v>736</v>
      </c>
      <c r="I140" s="348" t="s">
        <v>737</v>
      </c>
      <c r="J140" s="348" t="s">
        <v>738</v>
      </c>
      <c r="K140" s="348" t="s">
        <v>739</v>
      </c>
      <c r="L140" s="348" t="s">
        <v>740</v>
      </c>
    </row>
    <row r="141" spans="1:12">
      <c r="A141" s="349">
        <v>0</v>
      </c>
      <c r="B141" s="17">
        <v>0</v>
      </c>
      <c r="C141" s="350">
        <f>B127+B129+B131</f>
        <v>9705501.942901209</v>
      </c>
      <c r="D141" s="350">
        <f>SUM(B141:C141)</f>
        <v>9705501.942901209</v>
      </c>
      <c r="E141" s="349">
        <v>0</v>
      </c>
      <c r="H141" s="349">
        <v>0</v>
      </c>
      <c r="I141" s="351">
        <v>0</v>
      </c>
      <c r="J141" s="352">
        <f>F127+F129+F131</f>
        <v>11480534.558575269</v>
      </c>
      <c r="K141" s="350">
        <f>I141+J141</f>
        <v>11480534.558575269</v>
      </c>
      <c r="L141" s="349">
        <v>0</v>
      </c>
    </row>
    <row r="142" spans="1:12" ht="14">
      <c r="A142" s="353">
        <f>B85</f>
        <v>78256</v>
      </c>
      <c r="B142" s="351">
        <f>B128+B130+B132</f>
        <v>16205481.742030255</v>
      </c>
      <c r="C142" s="350">
        <f>B127+B129+B131</f>
        <v>9705501.942901209</v>
      </c>
      <c r="D142" s="350">
        <f>SUM(B142:C142)</f>
        <v>25910983.684931464</v>
      </c>
      <c r="E142" s="354">
        <f>B87</f>
        <v>31302400</v>
      </c>
      <c r="H142" s="353">
        <f>F85</f>
        <v>125000</v>
      </c>
      <c r="I142" s="355">
        <f>F128+F130+F132</f>
        <v>23663088.317518171</v>
      </c>
      <c r="J142" s="352">
        <f>F127+F129+F131</f>
        <v>11480534.558575269</v>
      </c>
      <c r="K142" s="350">
        <f>I142+J142</f>
        <v>35143622.87609344</v>
      </c>
      <c r="L142" s="354">
        <f>F87</f>
        <v>50000000</v>
      </c>
    </row>
  </sheetData>
  <sheetProtection selectLockedCells="1" selectUnlockedCells="1"/>
  <mergeCells count="2">
    <mergeCell ref="A139:E139"/>
    <mergeCell ref="H139:L139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S210"/>
  <sheetViews>
    <sheetView topLeftCell="A201" zoomScale="92" zoomScaleNormal="110" workbookViewId="0">
      <selection activeCell="C200" sqref="C200:C202"/>
    </sheetView>
  </sheetViews>
  <sheetFormatPr baseColWidth="10" defaultRowHeight="13"/>
  <cols>
    <col min="1" max="1" width="64.83203125" bestFit="1" customWidth="1"/>
    <col min="2" max="2" width="15.6640625" bestFit="1" customWidth="1"/>
    <col min="3" max="3" width="26.6640625" bestFit="1" customWidth="1"/>
    <col min="4" max="4" width="15.6640625" bestFit="1" customWidth="1"/>
    <col min="5" max="5" width="28.1640625" bestFit="1" customWidth="1"/>
    <col min="6" max="6" width="25" bestFit="1" customWidth="1"/>
    <col min="7" max="7" width="22.6640625" customWidth="1"/>
    <col min="8" max="8" width="17.5" customWidth="1"/>
    <col min="9" max="9" width="17.1640625" bestFit="1" customWidth="1"/>
    <col min="10" max="10" width="22.83203125" bestFit="1" customWidth="1"/>
    <col min="11" max="11" width="26.6640625" bestFit="1" customWidth="1"/>
    <col min="12" max="12" width="22.83203125" bestFit="1" customWidth="1"/>
    <col min="13" max="13" width="55" bestFit="1" customWidth="1"/>
  </cols>
  <sheetData>
    <row r="9" spans="1:13">
      <c r="H9" s="260" t="s">
        <v>711</v>
      </c>
      <c r="I9" s="260" t="s">
        <v>712</v>
      </c>
      <c r="J9" s="260" t="s">
        <v>701</v>
      </c>
      <c r="K9" s="260" t="s">
        <v>625</v>
      </c>
      <c r="L9" s="260" t="s">
        <v>702</v>
      </c>
      <c r="M9" s="260" t="s">
        <v>719</v>
      </c>
    </row>
    <row r="10" spans="1:13">
      <c r="A10" s="315" t="s">
        <v>566</v>
      </c>
      <c r="B10" s="315" t="s">
        <v>436</v>
      </c>
      <c r="C10" s="315" t="s">
        <v>573</v>
      </c>
      <c r="D10" s="315" t="s">
        <v>572</v>
      </c>
      <c r="E10" s="315" t="s">
        <v>574</v>
      </c>
      <c r="F10" s="316" t="s">
        <v>512</v>
      </c>
      <c r="H10" s="260" t="s">
        <v>700</v>
      </c>
      <c r="I10" s="260">
        <f>F16</f>
        <v>5353920</v>
      </c>
      <c r="J10" s="260">
        <f>'E-Costos'!C100</f>
        <v>125000</v>
      </c>
      <c r="K10" s="260">
        <f>I10/J10</f>
        <v>42.831359999999997</v>
      </c>
      <c r="L10" s="260">
        <v>183.81</v>
      </c>
    </row>
    <row r="11" spans="1:13">
      <c r="A11" s="262" t="s">
        <v>567</v>
      </c>
      <c r="B11" s="263">
        <v>2</v>
      </c>
      <c r="C11" s="263">
        <v>1920</v>
      </c>
      <c r="D11" s="263">
        <v>150</v>
      </c>
      <c r="E11" s="263">
        <v>43</v>
      </c>
      <c r="F11" s="263">
        <f>(D11*(1+E11/100))*C11*B11</f>
        <v>823680</v>
      </c>
      <c r="H11" s="260" t="s">
        <v>54</v>
      </c>
      <c r="I11">
        <f>F17</f>
        <v>3747743.9999999995</v>
      </c>
      <c r="J11">
        <f>'E-Costos'!B100</f>
        <v>80660</v>
      </c>
      <c r="K11" s="260"/>
      <c r="L11" t="s">
        <v>703</v>
      </c>
      <c r="M11">
        <f>J11*K10</f>
        <v>3454777.4975999999</v>
      </c>
    </row>
    <row r="12" spans="1:13">
      <c r="A12" s="262" t="s">
        <v>568</v>
      </c>
      <c r="B12" s="263">
        <v>2</v>
      </c>
      <c r="C12" s="263">
        <v>1920</v>
      </c>
      <c r="D12" s="263">
        <v>150</v>
      </c>
      <c r="E12" s="263">
        <v>43</v>
      </c>
      <c r="F12" s="263">
        <f>(D12*(1+E12/100))*C12*B12</f>
        <v>823680</v>
      </c>
    </row>
    <row r="13" spans="1:13">
      <c r="A13" s="262" t="s">
        <v>569</v>
      </c>
      <c r="B13" s="263">
        <v>2</v>
      </c>
      <c r="C13" s="263">
        <v>1920</v>
      </c>
      <c r="D13" s="263">
        <v>150</v>
      </c>
      <c r="E13" s="263">
        <v>43</v>
      </c>
      <c r="F13" s="263">
        <f>(D13*(1+E13/100))*C13*B13</f>
        <v>823680</v>
      </c>
      <c r="H13" t="s">
        <v>713</v>
      </c>
    </row>
    <row r="14" spans="1:13">
      <c r="A14" s="262" t="s">
        <v>570</v>
      </c>
      <c r="B14" s="263">
        <v>5</v>
      </c>
      <c r="C14" s="263">
        <v>1920</v>
      </c>
      <c r="D14" s="263">
        <v>150</v>
      </c>
      <c r="E14" s="263">
        <v>43</v>
      </c>
      <c r="F14" s="263">
        <f>(D14*(1+E14/100))*C14*B14</f>
        <v>2059200</v>
      </c>
      <c r="H14" s="260" t="s">
        <v>704</v>
      </c>
      <c r="I14">
        <f>(L10*K10)/2</f>
        <v>3936.4161407999995</v>
      </c>
    </row>
    <row r="15" spans="1:13">
      <c r="A15" s="262" t="s">
        <v>571</v>
      </c>
      <c r="B15" s="263">
        <v>2</v>
      </c>
      <c r="C15" s="263">
        <v>1920</v>
      </c>
      <c r="D15" s="263">
        <v>150</v>
      </c>
      <c r="E15" s="263">
        <v>43</v>
      </c>
      <c r="F15" s="263">
        <f>(D15*(1+E15/100))*C15*B15</f>
        <v>823680</v>
      </c>
      <c r="H15" s="260" t="s">
        <v>718</v>
      </c>
      <c r="I15">
        <f>I11-I14-M11</f>
        <v>289030.08625919977</v>
      </c>
    </row>
    <row r="16" spans="1:13">
      <c r="D16" s="260"/>
      <c r="E16" s="260" t="s">
        <v>524</v>
      </c>
      <c r="F16" s="260">
        <f>SUM(F11:F15)</f>
        <v>5353920</v>
      </c>
    </row>
    <row r="17" spans="1:12">
      <c r="D17" s="260" t="s">
        <v>575</v>
      </c>
      <c r="E17" s="260" t="s">
        <v>520</v>
      </c>
      <c r="F17" s="260">
        <f>0.7*F16</f>
        <v>3747743.9999999995</v>
      </c>
    </row>
    <row r="18" spans="1:12">
      <c r="A18" s="317" t="s">
        <v>565</v>
      </c>
      <c r="B18" s="317" t="s">
        <v>509</v>
      </c>
      <c r="C18" s="317" t="s">
        <v>510</v>
      </c>
      <c r="D18" s="317" t="s">
        <v>511</v>
      </c>
      <c r="E18" s="317" t="s">
        <v>512</v>
      </c>
      <c r="H18" s="324" t="s">
        <v>714</v>
      </c>
      <c r="I18" s="324" t="s">
        <v>715</v>
      </c>
      <c r="J18" s="324" t="s">
        <v>701</v>
      </c>
      <c r="K18" s="324" t="s">
        <v>625</v>
      </c>
      <c r="L18" s="324" t="s">
        <v>716</v>
      </c>
    </row>
    <row r="19" spans="1:12">
      <c r="A19" t="s">
        <v>532</v>
      </c>
      <c r="B19">
        <v>50000</v>
      </c>
      <c r="C19">
        <v>32</v>
      </c>
      <c r="D19">
        <v>1</v>
      </c>
      <c r="E19">
        <f>B19*12*D19*(1+C19/100)</f>
        <v>792000</v>
      </c>
      <c r="H19" t="s">
        <v>700</v>
      </c>
      <c r="I19">
        <f>E20</f>
        <v>792000</v>
      </c>
      <c r="J19">
        <f>'E-Costos'!C100</f>
        <v>125000</v>
      </c>
      <c r="K19">
        <f>I19/J19</f>
        <v>6.3360000000000003</v>
      </c>
      <c r="L19" s="260">
        <v>183.81</v>
      </c>
    </row>
    <row r="20" spans="1:12">
      <c r="D20" t="s">
        <v>524</v>
      </c>
      <c r="E20">
        <f>E19</f>
        <v>792000</v>
      </c>
      <c r="H20" t="s">
        <v>54</v>
      </c>
      <c r="I20">
        <f>E21</f>
        <v>554400</v>
      </c>
      <c r="J20">
        <f>'E-Costos'!B100</f>
        <v>80660</v>
      </c>
      <c r="K20">
        <f>I20/J20</f>
        <v>6.8732953136622861</v>
      </c>
      <c r="L20" s="260">
        <v>183.81</v>
      </c>
    </row>
    <row r="21" spans="1:12">
      <c r="A21" s="318" t="s">
        <v>519</v>
      </c>
      <c r="D21" t="s">
        <v>520</v>
      </c>
      <c r="E21">
        <f>0.7*E20</f>
        <v>554400</v>
      </c>
      <c r="H21" t="s">
        <v>717</v>
      </c>
      <c r="L21" t="s">
        <v>703</v>
      </c>
    </row>
    <row r="22" spans="1:12">
      <c r="H22" t="s">
        <v>705</v>
      </c>
      <c r="I22">
        <f>(K20*L20)/2</f>
        <v>631.69020580213237</v>
      </c>
    </row>
    <row r="23" spans="1:12">
      <c r="A23" s="317" t="s">
        <v>521</v>
      </c>
      <c r="B23" s="317" t="s">
        <v>509</v>
      </c>
      <c r="C23" s="317" t="s">
        <v>510</v>
      </c>
      <c r="D23" s="317" t="s">
        <v>511</v>
      </c>
      <c r="E23" s="317" t="s">
        <v>512</v>
      </c>
      <c r="H23" s="324" t="s">
        <v>704</v>
      </c>
      <c r="I23">
        <f>(K19*L19)/2</f>
        <v>582.31008000000008</v>
      </c>
    </row>
    <row r="24" spans="1:12">
      <c r="A24" s="317" t="s">
        <v>513</v>
      </c>
      <c r="B24" s="317">
        <v>60000</v>
      </c>
      <c r="C24" s="317">
        <v>32</v>
      </c>
      <c r="D24" s="319">
        <v>1</v>
      </c>
      <c r="E24" s="317">
        <f>B24*12*D24*(1+C24/100)</f>
        <v>950400</v>
      </c>
      <c r="G24" t="s">
        <v>526</v>
      </c>
    </row>
    <row r="25" spans="1:12">
      <c r="A25" s="317" t="s">
        <v>514</v>
      </c>
      <c r="B25" s="317">
        <v>50000</v>
      </c>
      <c r="C25" s="317">
        <v>32</v>
      </c>
      <c r="D25" s="317">
        <v>1</v>
      </c>
      <c r="E25" s="317">
        <f>B25*12*D25*(1+C25/100)</f>
        <v>792000</v>
      </c>
    </row>
    <row r="26" spans="1:12">
      <c r="A26" s="317" t="s">
        <v>515</v>
      </c>
      <c r="B26" s="317">
        <v>40000</v>
      </c>
      <c r="C26" s="317">
        <v>32</v>
      </c>
      <c r="D26" s="317">
        <v>1</v>
      </c>
      <c r="E26" s="317">
        <f>B26*12*D26*(1+C26/100)</f>
        <v>633600</v>
      </c>
    </row>
    <row r="27" spans="1:12">
      <c r="A27" s="317" t="s">
        <v>516</v>
      </c>
      <c r="B27" s="317">
        <v>40000</v>
      </c>
      <c r="C27" s="317">
        <v>32</v>
      </c>
      <c r="D27" s="317">
        <v>1</v>
      </c>
      <c r="E27" s="317">
        <f>B27*12*D27*(1+C27/100)</f>
        <v>633600</v>
      </c>
    </row>
    <row r="28" spans="1:12">
      <c r="A28" s="317" t="s">
        <v>517</v>
      </c>
      <c r="B28" s="317">
        <v>13000</v>
      </c>
      <c r="C28" s="317">
        <v>38</v>
      </c>
      <c r="D28" s="317">
        <v>1</v>
      </c>
      <c r="E28" s="317">
        <f>B28*12*D28*(1+C28/100)</f>
        <v>215279.99999999997</v>
      </c>
      <c r="G28" s="369" t="s">
        <v>527</v>
      </c>
      <c r="H28" s="369"/>
      <c r="I28" s="369"/>
      <c r="J28" s="369"/>
      <c r="K28" s="369"/>
    </row>
    <row r="29" spans="1:12">
      <c r="A29" s="318"/>
      <c r="B29" s="318"/>
      <c r="C29" s="318"/>
      <c r="D29" s="318" t="s">
        <v>518</v>
      </c>
      <c r="E29" s="318">
        <f>SUM(E24:E28)</f>
        <v>3224880</v>
      </c>
    </row>
    <row r="30" spans="1:12">
      <c r="A30" s="318" t="s">
        <v>519</v>
      </c>
      <c r="B30" s="318"/>
      <c r="C30" s="318"/>
      <c r="D30" s="318" t="s">
        <v>520</v>
      </c>
      <c r="E30" s="318">
        <f>E29*0.7</f>
        <v>2257416</v>
      </c>
    </row>
    <row r="34" spans="1:11">
      <c r="A34" s="317" t="s">
        <v>525</v>
      </c>
      <c r="B34" s="317" t="s">
        <v>509</v>
      </c>
      <c r="C34" s="317" t="s">
        <v>510</v>
      </c>
      <c r="D34" s="317" t="s">
        <v>511</v>
      </c>
      <c r="E34" s="317" t="s">
        <v>512</v>
      </c>
    </row>
    <row r="35" spans="1:11">
      <c r="A35" s="320" t="s">
        <v>522</v>
      </c>
      <c r="B35" s="320">
        <v>40000</v>
      </c>
      <c r="C35" s="320">
        <v>32</v>
      </c>
      <c r="D35" s="320">
        <v>1</v>
      </c>
      <c r="E35" s="320">
        <f>B35*12*D35*(1+C35/100)</f>
        <v>633600</v>
      </c>
    </row>
    <row r="36" spans="1:11">
      <c r="A36" s="320" t="s">
        <v>523</v>
      </c>
      <c r="B36" s="320">
        <v>40000</v>
      </c>
      <c r="C36" s="320">
        <v>32</v>
      </c>
      <c r="D36" s="320">
        <v>1</v>
      </c>
      <c r="E36" s="320">
        <f>B36*12*D36*(1+C36/100)</f>
        <v>633600</v>
      </c>
    </row>
    <row r="37" spans="1:11">
      <c r="A37" s="318"/>
      <c r="B37" s="318"/>
      <c r="C37" s="318"/>
      <c r="D37" s="318" t="s">
        <v>524</v>
      </c>
      <c r="E37" s="318">
        <f>SUM(E35:E36)</f>
        <v>1267200</v>
      </c>
    </row>
    <row r="38" spans="1:11">
      <c r="A38" s="318" t="s">
        <v>519</v>
      </c>
      <c r="B38" s="318"/>
      <c r="C38" s="318"/>
      <c r="D38" s="318" t="s">
        <v>520</v>
      </c>
      <c r="E38" s="318">
        <f>E37*0.7</f>
        <v>887040</v>
      </c>
    </row>
    <row r="39" spans="1:11">
      <c r="F39" t="s">
        <v>707</v>
      </c>
      <c r="G39" t="s">
        <v>708</v>
      </c>
      <c r="H39" t="s">
        <v>533</v>
      </c>
      <c r="I39" t="s">
        <v>709</v>
      </c>
      <c r="J39" s="260" t="s">
        <v>702</v>
      </c>
      <c r="K39" t="s">
        <v>157</v>
      </c>
    </row>
    <row r="40" spans="1:11">
      <c r="E40" t="s">
        <v>710</v>
      </c>
      <c r="F40" t="s">
        <v>550</v>
      </c>
      <c r="G40">
        <f>'E-Costos'!B10</f>
        <v>2264212.8706335002</v>
      </c>
      <c r="H40">
        <f>'E-Costos'!B100</f>
        <v>80660</v>
      </c>
      <c r="I40">
        <f>G40/H40</f>
        <v>28.071074518144062</v>
      </c>
      <c r="J40" s="260">
        <v>183.81</v>
      </c>
      <c r="K40">
        <f>(I40*J40)/2</f>
        <v>2579.8721035900303</v>
      </c>
    </row>
    <row r="41" spans="1:11">
      <c r="A41" t="s">
        <v>706</v>
      </c>
      <c r="B41" t="s">
        <v>529</v>
      </c>
      <c r="C41" t="s">
        <v>530</v>
      </c>
      <c r="D41" t="s">
        <v>531</v>
      </c>
      <c r="F41" t="s">
        <v>623</v>
      </c>
      <c r="G41">
        <f>'E-Costos'!C10</f>
        <v>2264212.8706335002</v>
      </c>
      <c r="H41">
        <f>'E-Costos'!C100</f>
        <v>125000</v>
      </c>
      <c r="I41">
        <f>G41/H41</f>
        <v>18.113702965068001</v>
      </c>
      <c r="J41" s="260">
        <v>183.81</v>
      </c>
      <c r="K41">
        <f>(I41*J41)/2</f>
        <v>1664.7398710045745</v>
      </c>
    </row>
    <row r="42" spans="1:11">
      <c r="B42" s="259" t="s">
        <v>537</v>
      </c>
      <c r="F42" t="s">
        <v>609</v>
      </c>
      <c r="G42">
        <f>'E-Costos'!E10</f>
        <v>2261490.3706335002</v>
      </c>
      <c r="H42">
        <f>'E-Costos'!E100</f>
        <v>125000</v>
      </c>
      <c r="I42">
        <f>G42/H42</f>
        <v>18.091922965068001</v>
      </c>
      <c r="J42" s="260">
        <v>183.81</v>
      </c>
      <c r="K42">
        <f>(I42*J42)/2</f>
        <v>1662.7381801045747</v>
      </c>
    </row>
    <row r="44" spans="1:11">
      <c r="A44" s="265" t="s">
        <v>536</v>
      </c>
      <c r="B44" s="260" t="s">
        <v>313</v>
      </c>
      <c r="C44" s="260" t="s">
        <v>538</v>
      </c>
      <c r="E44" s="265" t="s">
        <v>542</v>
      </c>
      <c r="F44" s="260" t="s">
        <v>313</v>
      </c>
      <c r="G44" s="260" t="s">
        <v>538</v>
      </c>
      <c r="I44" s="265" t="s">
        <v>547</v>
      </c>
      <c r="J44" t="s">
        <v>313</v>
      </c>
      <c r="K44" t="s">
        <v>538</v>
      </c>
    </row>
    <row r="45" spans="1:11">
      <c r="A45" t="s">
        <v>534</v>
      </c>
      <c r="B45" s="321">
        <v>0.02</v>
      </c>
      <c r="C45" t="s">
        <v>539</v>
      </c>
      <c r="E45" t="s">
        <v>534</v>
      </c>
      <c r="F45" s="321">
        <v>0.02</v>
      </c>
      <c r="G45" s="260" t="s">
        <v>539</v>
      </c>
      <c r="I45" t="s">
        <v>534</v>
      </c>
      <c r="J45" s="287">
        <v>1.4999999999999999E-2</v>
      </c>
      <c r="K45" s="260" t="s">
        <v>539</v>
      </c>
    </row>
    <row r="46" spans="1:11">
      <c r="A46" t="s">
        <v>535</v>
      </c>
      <c r="B46" s="321">
        <v>0.03</v>
      </c>
      <c r="C46" t="s">
        <v>88</v>
      </c>
      <c r="E46" t="s">
        <v>543</v>
      </c>
      <c r="F46" s="321">
        <v>0.01</v>
      </c>
      <c r="G46" s="260" t="s">
        <v>545</v>
      </c>
      <c r="I46" t="s">
        <v>543</v>
      </c>
      <c r="J46" s="321">
        <v>0.02</v>
      </c>
      <c r="K46" s="260" t="s">
        <v>545</v>
      </c>
    </row>
    <row r="47" spans="1:11">
      <c r="A47" t="s">
        <v>533</v>
      </c>
      <c r="B47" s="321">
        <v>0.02</v>
      </c>
      <c r="C47" t="s">
        <v>540</v>
      </c>
      <c r="E47" t="s">
        <v>544</v>
      </c>
      <c r="F47" s="321">
        <v>0.02</v>
      </c>
      <c r="G47" s="260" t="s">
        <v>546</v>
      </c>
      <c r="I47" t="s">
        <v>544</v>
      </c>
      <c r="J47" s="321">
        <v>0.02</v>
      </c>
      <c r="K47" s="260" t="s">
        <v>546</v>
      </c>
    </row>
    <row r="48" spans="1:11">
      <c r="A48" t="s">
        <v>125</v>
      </c>
      <c r="B48" s="321">
        <v>0.03</v>
      </c>
      <c r="C48" t="s">
        <v>541</v>
      </c>
    </row>
    <row r="50" spans="1:11">
      <c r="A50" t="s">
        <v>551</v>
      </c>
      <c r="B50" s="260">
        <v>2424.6</v>
      </c>
      <c r="C50" t="s">
        <v>552</v>
      </c>
      <c r="D50" t="s">
        <v>553</v>
      </c>
      <c r="E50" t="s">
        <v>554</v>
      </c>
      <c r="F50" t="s">
        <v>555</v>
      </c>
      <c r="G50" t="s">
        <v>564</v>
      </c>
    </row>
    <row r="51" spans="1:11">
      <c r="A51" t="s">
        <v>556</v>
      </c>
      <c r="B51" s="322">
        <f>21.455</f>
        <v>21.454999999999998</v>
      </c>
      <c r="C51" t="s">
        <v>560</v>
      </c>
      <c r="D51">
        <v>769.51</v>
      </c>
      <c r="E51">
        <v>358.92</v>
      </c>
      <c r="F51">
        <v>1.6679999999999999</v>
      </c>
    </row>
    <row r="52" spans="1:11">
      <c r="B52" s="261"/>
      <c r="D52" t="s">
        <v>557</v>
      </c>
      <c r="E52" t="s">
        <v>558</v>
      </c>
      <c r="F52" t="s">
        <v>559</v>
      </c>
    </row>
    <row r="53" spans="1:11">
      <c r="A53" t="s">
        <v>577</v>
      </c>
      <c r="B53" s="264">
        <f>(D51+E51*B51+F51*B50)*11.5</f>
        <v>143915.27110000001</v>
      </c>
    </row>
    <row r="54" spans="1:11">
      <c r="A54" t="s">
        <v>548</v>
      </c>
      <c r="B54" s="260" t="s">
        <v>549</v>
      </c>
      <c r="C54">
        <f>0.9*B53</f>
        <v>129523.74399000002</v>
      </c>
      <c r="E54" s="260"/>
      <c r="F54" s="260"/>
      <c r="G54" s="260"/>
      <c r="I54" s="260" t="s">
        <v>683</v>
      </c>
      <c r="J54" s="260" t="s">
        <v>313</v>
      </c>
      <c r="K54" s="260" t="s">
        <v>538</v>
      </c>
    </row>
    <row r="55" spans="1:11">
      <c r="A55" t="s">
        <v>561</v>
      </c>
      <c r="B55" s="260" t="s">
        <v>562</v>
      </c>
      <c r="C55">
        <f>0.05*B53</f>
        <v>7195.7635550000014</v>
      </c>
    </row>
    <row r="56" spans="1:11">
      <c r="A56" t="s">
        <v>563</v>
      </c>
      <c r="B56" s="260" t="s">
        <v>562</v>
      </c>
      <c r="C56">
        <f>0.05*B53</f>
        <v>7195.7635550000014</v>
      </c>
    </row>
    <row r="58" spans="1:11">
      <c r="A58" t="s">
        <v>550</v>
      </c>
      <c r="B58" s="261">
        <v>0.7</v>
      </c>
    </row>
    <row r="59" spans="1:11">
      <c r="A59" t="s">
        <v>577</v>
      </c>
      <c r="B59">
        <f>0.7*B53</f>
        <v>100740.68977</v>
      </c>
    </row>
    <row r="60" spans="1:11">
      <c r="A60" t="s">
        <v>548</v>
      </c>
      <c r="B60">
        <f>0.9*B59</f>
        <v>90666.620792999995</v>
      </c>
    </row>
    <row r="61" spans="1:11">
      <c r="A61" t="s">
        <v>561</v>
      </c>
      <c r="B61">
        <f>0.05*B59</f>
        <v>5037.0344885000004</v>
      </c>
    </row>
    <row r="62" spans="1:11">
      <c r="A62" t="s">
        <v>563</v>
      </c>
      <c r="B62">
        <f>0.05*B59</f>
        <v>5037.0344885000004</v>
      </c>
    </row>
    <row r="64" spans="1:11">
      <c r="A64" t="s">
        <v>542</v>
      </c>
      <c r="B64" t="s">
        <v>667</v>
      </c>
      <c r="C64" t="s">
        <v>684</v>
      </c>
    </row>
    <row r="65" spans="1:7">
      <c r="A65" t="s">
        <v>534</v>
      </c>
      <c r="B65">
        <f>0.05*0.02*'E-Inv AF y Am'!B20</f>
        <v>34301.662806824999</v>
      </c>
      <c r="C65">
        <f>0.9*B65</f>
        <v>30871.496526142499</v>
      </c>
    </row>
    <row r="66" spans="1:7">
      <c r="A66" t="s">
        <v>543</v>
      </c>
      <c r="B66" s="265">
        <f>0.01*'E-Inv AF y Am'!C20</f>
        <v>0</v>
      </c>
      <c r="C66" s="265">
        <f>0.9*B66</f>
        <v>0</v>
      </c>
      <c r="D66" t="s">
        <v>685</v>
      </c>
    </row>
    <row r="67" spans="1:7">
      <c r="A67" t="s">
        <v>544</v>
      </c>
      <c r="B67">
        <f>0.02*E29</f>
        <v>64497.599999999999</v>
      </c>
      <c r="C67">
        <f>0.9*B67</f>
        <v>58047.839999999997</v>
      </c>
    </row>
    <row r="68" spans="1:7">
      <c r="A68" t="s">
        <v>157</v>
      </c>
      <c r="B68">
        <f>SUM(B65:B67)</f>
        <v>98799.262806824991</v>
      </c>
      <c r="C68">
        <f>SUM(C65:C67)</f>
        <v>88919.336526142491</v>
      </c>
    </row>
    <row r="70" spans="1:7">
      <c r="A70" t="s">
        <v>547</v>
      </c>
      <c r="B70" t="s">
        <v>667</v>
      </c>
      <c r="C70" t="s">
        <v>684</v>
      </c>
    </row>
    <row r="71" spans="1:7">
      <c r="A71" t="s">
        <v>534</v>
      </c>
      <c r="B71">
        <f>0.015*0.05*'E-Inv AF y Am'!B20</f>
        <v>25726.247105118749</v>
      </c>
      <c r="C71">
        <f>0.9*B71</f>
        <v>23153.622394606875</v>
      </c>
    </row>
    <row r="72" spans="1:7">
      <c r="A72" t="s">
        <v>543</v>
      </c>
      <c r="B72" s="265">
        <f>0.02*'E-Inv AF y Am'!C20</f>
        <v>0</v>
      </c>
      <c r="C72" s="265">
        <f>0.9*B72</f>
        <v>0</v>
      </c>
      <c r="D72" t="s">
        <v>685</v>
      </c>
    </row>
    <row r="73" spans="1:7">
      <c r="A73" t="s">
        <v>544</v>
      </c>
      <c r="B73">
        <f>0.02*E37</f>
        <v>25344</v>
      </c>
      <c r="C73">
        <f>0.9*B73</f>
        <v>22809.600000000002</v>
      </c>
    </row>
    <row r="74" spans="1:7">
      <c r="A74" t="s">
        <v>157</v>
      </c>
      <c r="B74">
        <f>SUM(B71:B73)</f>
        <v>51070.247105118746</v>
      </c>
      <c r="C74">
        <f>SUM(C71:C73)</f>
        <v>45963.222394606877</v>
      </c>
    </row>
    <row r="76" spans="1:7">
      <c r="A76" s="260" t="s">
        <v>683</v>
      </c>
      <c r="B76" s="260" t="s">
        <v>686</v>
      </c>
      <c r="C76" s="260"/>
      <c r="E76" t="s">
        <v>687</v>
      </c>
      <c r="F76" s="260" t="s">
        <v>313</v>
      </c>
      <c r="G76" s="260" t="s">
        <v>686</v>
      </c>
    </row>
    <row r="77" spans="1:7">
      <c r="A77" t="s">
        <v>688</v>
      </c>
      <c r="B77">
        <v>35000</v>
      </c>
      <c r="E77" t="s">
        <v>689</v>
      </c>
      <c r="F77" s="261">
        <v>0.05</v>
      </c>
      <c r="G77">
        <f>150000*0.05</f>
        <v>7500</v>
      </c>
    </row>
    <row r="78" spans="1:7">
      <c r="A78" t="s">
        <v>690</v>
      </c>
      <c r="B78">
        <v>30000</v>
      </c>
      <c r="C78" t="s">
        <v>691</v>
      </c>
      <c r="E78" t="s">
        <v>692</v>
      </c>
      <c r="F78" s="287">
        <v>5.0000000000000001E-4</v>
      </c>
      <c r="G78">
        <f>125000*400*0.0005</f>
        <v>25000</v>
      </c>
    </row>
    <row r="79" spans="1:7">
      <c r="A79" t="s">
        <v>693</v>
      </c>
      <c r="B79">
        <v>10000</v>
      </c>
      <c r="E79" t="s">
        <v>694</v>
      </c>
      <c r="F79" s="287">
        <v>1.2999999999999999E-2</v>
      </c>
      <c r="G79">
        <f>125000*400*0.013</f>
        <v>650000</v>
      </c>
    </row>
    <row r="80" spans="1:7">
      <c r="A80" t="s">
        <v>695</v>
      </c>
      <c r="B80">
        <v>30000</v>
      </c>
      <c r="E80" t="s">
        <v>157</v>
      </c>
      <c r="G80">
        <f>SUM(G77:G79)</f>
        <v>682500</v>
      </c>
    </row>
    <row r="81" spans="1:19">
      <c r="A81" t="s">
        <v>157</v>
      </c>
      <c r="B81">
        <f>SUM(B77:B80)</f>
        <v>105000</v>
      </c>
    </row>
    <row r="83" spans="1:19">
      <c r="A83" s="260" t="s">
        <v>696</v>
      </c>
      <c r="B83" s="260" t="s">
        <v>686</v>
      </c>
      <c r="E83" t="s">
        <v>697</v>
      </c>
      <c r="F83" s="260" t="s">
        <v>313</v>
      </c>
      <c r="G83" s="260" t="s">
        <v>686</v>
      </c>
    </row>
    <row r="84" spans="1:19">
      <c r="A84" t="s">
        <v>688</v>
      </c>
      <c r="B84">
        <v>35000</v>
      </c>
      <c r="E84" t="s">
        <v>698</v>
      </c>
      <c r="F84" s="261">
        <v>0.03</v>
      </c>
      <c r="G84">
        <f>125000*400*0.03</f>
        <v>1500000</v>
      </c>
    </row>
    <row r="85" spans="1:19">
      <c r="A85" t="s">
        <v>690</v>
      </c>
      <c r="B85">
        <v>30000</v>
      </c>
      <c r="C85" t="s">
        <v>691</v>
      </c>
      <c r="E85" t="s">
        <v>157</v>
      </c>
      <c r="G85">
        <f>G84</f>
        <v>1500000</v>
      </c>
    </row>
    <row r="86" spans="1:19">
      <c r="A86" t="s">
        <v>693</v>
      </c>
      <c r="B86">
        <v>10000</v>
      </c>
    </row>
    <row r="87" spans="1:19">
      <c r="A87" t="s">
        <v>695</v>
      </c>
      <c r="B87">
        <v>30000</v>
      </c>
    </row>
    <row r="88" spans="1:19">
      <c r="A88" t="s">
        <v>699</v>
      </c>
      <c r="B88">
        <v>40000</v>
      </c>
    </row>
    <row r="89" spans="1:19">
      <c r="A89" t="s">
        <v>157</v>
      </c>
      <c r="B89">
        <f>SUM(B84:B88)</f>
        <v>145000</v>
      </c>
    </row>
    <row r="90" spans="1:19">
      <c r="A90" s="323"/>
      <c r="B90" s="323"/>
      <c r="C90" s="323"/>
      <c r="D90" s="323"/>
      <c r="E90" s="323"/>
      <c r="F90" s="323"/>
      <c r="G90" s="323"/>
      <c r="H90" s="323"/>
      <c r="I90" s="323"/>
      <c r="J90" s="323"/>
      <c r="K90" s="323"/>
      <c r="L90" s="323"/>
      <c r="M90" s="323"/>
      <c r="N90" s="323"/>
      <c r="O90" s="323"/>
      <c r="P90" s="323"/>
      <c r="Q90" s="323"/>
      <c r="R90" s="323"/>
      <c r="S90" s="323"/>
    </row>
    <row r="91" spans="1:19">
      <c r="N91" s="17" t="s">
        <v>236</v>
      </c>
      <c r="O91" s="17" t="s">
        <v>605</v>
      </c>
      <c r="P91" t="s">
        <v>533</v>
      </c>
    </row>
    <row r="92" spans="1:19">
      <c r="N92" s="286">
        <v>1</v>
      </c>
      <c r="O92" s="17">
        <v>87113</v>
      </c>
      <c r="P92">
        <v>80660</v>
      </c>
    </row>
    <row r="93" spans="1:19">
      <c r="A93" s="309" t="s">
        <v>671</v>
      </c>
      <c r="N93" s="285" t="s">
        <v>606</v>
      </c>
      <c r="O93" s="17">
        <v>130000</v>
      </c>
      <c r="P93">
        <v>125000</v>
      </c>
    </row>
    <row r="95" spans="1:19">
      <c r="M95" s="1" t="s">
        <v>657</v>
      </c>
    </row>
    <row r="96" spans="1:19">
      <c r="M96" t="s">
        <v>672</v>
      </c>
      <c r="N96">
        <f>O93/N129</f>
        <v>1.04</v>
      </c>
    </row>
    <row r="97" spans="13:15">
      <c r="M97" t="s">
        <v>673</v>
      </c>
      <c r="N97">
        <f>O93*'E-InvAT Datos y links'!D12</f>
        <v>17160000</v>
      </c>
      <c r="O97" t="s">
        <v>674</v>
      </c>
    </row>
    <row r="98" spans="13:15">
      <c r="M98" t="s">
        <v>625</v>
      </c>
      <c r="N98">
        <f>N97/N129</f>
        <v>137.28</v>
      </c>
    </row>
    <row r="102" spans="13:15">
      <c r="M102" s="1" t="s">
        <v>54</v>
      </c>
    </row>
    <row r="104" spans="13:15">
      <c r="M104" t="s">
        <v>677</v>
      </c>
      <c r="N104">
        <f>O92</f>
        <v>87113</v>
      </c>
    </row>
    <row r="105" spans="13:15">
      <c r="M105" t="s">
        <v>682</v>
      </c>
      <c r="N105">
        <f>P92*N96</f>
        <v>83886.400000000009</v>
      </c>
    </row>
    <row r="106" spans="13:15">
      <c r="M106" t="s">
        <v>678</v>
      </c>
      <c r="N106">
        <v>201</v>
      </c>
      <c r="O106" t="s">
        <v>627</v>
      </c>
    </row>
    <row r="107" spans="13:15">
      <c r="M107" t="s">
        <v>679</v>
      </c>
      <c r="N107">
        <f>N104-N105-N106</f>
        <v>3025.5999999999913</v>
      </c>
    </row>
    <row r="110" spans="13:15">
      <c r="M110" t="s">
        <v>675</v>
      </c>
      <c r="N110">
        <f>N106*'E-InvAT Datos y links'!D12</f>
        <v>26532</v>
      </c>
    </row>
    <row r="111" spans="13:15">
      <c r="M111" t="s">
        <v>676</v>
      </c>
      <c r="N111">
        <f>N107*'E-InvAT Datos y links'!D12</f>
        <v>399379.19999999885</v>
      </c>
    </row>
    <row r="116" spans="1:15">
      <c r="M116" s="13" t="s">
        <v>681</v>
      </c>
    </row>
    <row r="121" spans="1:15">
      <c r="A121" s="309" t="s">
        <v>624</v>
      </c>
    </row>
    <row r="122" spans="1:15" ht="14" thickBot="1">
      <c r="A122" t="s">
        <v>607</v>
      </c>
    </row>
    <row r="123" spans="1:15">
      <c r="A123" s="297"/>
      <c r="B123" s="298"/>
      <c r="C123" s="298" t="s">
        <v>622</v>
      </c>
      <c r="D123" s="298" t="s">
        <v>616</v>
      </c>
      <c r="E123" s="298" t="s">
        <v>622</v>
      </c>
      <c r="F123" s="298" t="s">
        <v>54</v>
      </c>
      <c r="G123" s="298" t="s">
        <v>623</v>
      </c>
      <c r="H123" s="299" t="s">
        <v>609</v>
      </c>
      <c r="N123" s="13" t="s">
        <v>628</v>
      </c>
    </row>
    <row r="124" spans="1:15">
      <c r="A124" s="292" t="s">
        <v>534</v>
      </c>
      <c r="B124" s="288">
        <v>0.01</v>
      </c>
      <c r="C124" s="105" t="s">
        <v>617</v>
      </c>
      <c r="D124" s="105"/>
      <c r="E124" s="105"/>
      <c r="F124" s="105"/>
      <c r="G124" s="105"/>
      <c r="H124" s="293">
        <f>('E-Inv AF y Am'!D20-'E-Costos Datos y links'!I23)*'E-Costos Datos y links'!B124*'E-Costos Datos y links'!B133</f>
        <v>1624.3984320300001</v>
      </c>
      <c r="N124" t="s">
        <v>612</v>
      </c>
    </row>
    <row r="125" spans="1:15">
      <c r="A125" s="292" t="s">
        <v>88</v>
      </c>
      <c r="B125" s="288">
        <v>1.6E-2</v>
      </c>
      <c r="C125" s="105" t="s">
        <v>617</v>
      </c>
      <c r="D125" s="105">
        <f>(11%+5%)</f>
        <v>0.16</v>
      </c>
      <c r="E125" s="105" t="s">
        <v>621</v>
      </c>
      <c r="F125" s="105"/>
      <c r="G125" s="105"/>
      <c r="H125" s="293">
        <f>(N125*B125+N126*D125+I125)</f>
        <v>25761.394560000004</v>
      </c>
      <c r="I125">
        <f>(N125*B125+N126*D125)*B131</f>
        <v>2341.9449600000003</v>
      </c>
      <c r="J125" s="261">
        <v>0.1</v>
      </c>
      <c r="M125" t="s">
        <v>88</v>
      </c>
      <c r="N125">
        <f>SUM('E-Inv AF y Am'!B11:D15)-'E-Inv AF y Am Datos y links'!B86</f>
        <v>1449210.12</v>
      </c>
      <c r="O125" t="s">
        <v>613</v>
      </c>
    </row>
    <row r="126" spans="1:15">
      <c r="A126" s="292" t="s">
        <v>533</v>
      </c>
      <c r="B126" s="288">
        <v>1.4999999999999999E-2</v>
      </c>
      <c r="C126" s="105" t="s">
        <v>618</v>
      </c>
      <c r="D126" s="105"/>
      <c r="E126" s="105"/>
      <c r="F126" s="105"/>
      <c r="G126" s="105"/>
      <c r="H126" s="293">
        <f>B126*'E-Costos'!E7</f>
        <v>257400</v>
      </c>
      <c r="N126">
        <f>'E-Inv AF y Am Datos y links'!B86*D125</f>
        <v>1450.5480000000002</v>
      </c>
      <c r="O126" t="s">
        <v>614</v>
      </c>
    </row>
    <row r="127" spans="1:15">
      <c r="A127" s="292" t="s">
        <v>125</v>
      </c>
      <c r="B127" s="288">
        <v>0.03</v>
      </c>
      <c r="C127" s="105" t="s">
        <v>619</v>
      </c>
      <c r="D127" s="105"/>
      <c r="E127" s="105"/>
      <c r="F127" s="105"/>
      <c r="G127" s="105"/>
      <c r="H127" s="293">
        <f>('E-Costos'!F8+'E-Costos'!F11)*B127</f>
        <v>184377.60000000001</v>
      </c>
    </row>
    <row r="128" spans="1:15" ht="14" thickBot="1">
      <c r="A128" s="294" t="s">
        <v>620</v>
      </c>
      <c r="B128" s="295"/>
      <c r="C128" s="295"/>
      <c r="D128" s="295"/>
      <c r="E128" s="295"/>
      <c r="F128" s="295">
        <f>G128*0.9</f>
        <v>418624.93111682701</v>
      </c>
      <c r="G128" s="295">
        <f>H128-N126-N126*D125-I125</f>
        <v>465138.81235203001</v>
      </c>
      <c r="H128" s="296">
        <f>SUM(H124:H127)</f>
        <v>469163.39299203001</v>
      </c>
    </row>
    <row r="129" spans="1:15">
      <c r="M129" t="s">
        <v>626</v>
      </c>
      <c r="N129">
        <v>125000</v>
      </c>
    </row>
    <row r="130" spans="1:15">
      <c r="M130" t="s">
        <v>625</v>
      </c>
      <c r="N130">
        <f>H128/N129</f>
        <v>3.7533071439362402</v>
      </c>
    </row>
    <row r="131" spans="1:15">
      <c r="A131" t="s">
        <v>608</v>
      </c>
      <c r="B131" s="261">
        <v>0.1</v>
      </c>
      <c r="M131" t="s">
        <v>680</v>
      </c>
      <c r="N131">
        <v>183.81</v>
      </c>
      <c r="O131" t="s">
        <v>627</v>
      </c>
    </row>
    <row r="132" spans="1:15">
      <c r="A132" t="s">
        <v>610</v>
      </c>
      <c r="M132" t="s">
        <v>629</v>
      </c>
      <c r="N132">
        <f>N131*N130/2</f>
        <v>344.94769306346018</v>
      </c>
    </row>
    <row r="133" spans="1:15">
      <c r="B133" s="261">
        <v>0.9</v>
      </c>
      <c r="C133" t="s">
        <v>611</v>
      </c>
    </row>
    <row r="136" spans="1:15">
      <c r="M136" t="s">
        <v>635</v>
      </c>
      <c r="N136" s="302">
        <v>80660</v>
      </c>
    </row>
    <row r="137" spans="1:15">
      <c r="M137" t="s">
        <v>634</v>
      </c>
      <c r="N137">
        <f>N136*N130</f>
        <v>302741.75422989711</v>
      </c>
    </row>
    <row r="138" spans="1:15">
      <c r="M138" t="s">
        <v>629</v>
      </c>
      <c r="N138">
        <f>N131*N130/2</f>
        <v>344.94769306346018</v>
      </c>
    </row>
    <row r="139" spans="1:15">
      <c r="M139" t="s">
        <v>636</v>
      </c>
      <c r="N139">
        <f>F128-N137-N138</f>
        <v>115538.22919386644</v>
      </c>
    </row>
    <row r="142" spans="1:15">
      <c r="M142" s="13" t="s">
        <v>670</v>
      </c>
    </row>
    <row r="149" spans="1:15">
      <c r="A149" s="309" t="s">
        <v>630</v>
      </c>
    </row>
    <row r="150" spans="1:15" ht="14" thickBot="1">
      <c r="M150" t="s">
        <v>659</v>
      </c>
      <c r="N150">
        <f>F152/N129</f>
        <v>0.13824000000000003</v>
      </c>
      <c r="O150" t="s">
        <v>658</v>
      </c>
    </row>
    <row r="151" spans="1:15">
      <c r="A151" s="305" t="s">
        <v>631</v>
      </c>
      <c r="B151" s="306" t="s">
        <v>425</v>
      </c>
      <c r="C151" s="306" t="s">
        <v>632</v>
      </c>
      <c r="D151" s="306" t="s">
        <v>638</v>
      </c>
      <c r="E151" s="306" t="s">
        <v>632</v>
      </c>
      <c r="F151" s="306" t="s">
        <v>645</v>
      </c>
      <c r="G151" s="307" t="s">
        <v>646</v>
      </c>
      <c r="M151" t="s">
        <v>647</v>
      </c>
      <c r="N151">
        <f>N150*N131/2</f>
        <v>12.704947200000003</v>
      </c>
    </row>
    <row r="152" spans="1:15" ht="14" thickBot="1">
      <c r="A152" s="303" t="s">
        <v>637</v>
      </c>
      <c r="B152" s="304">
        <v>1.5</v>
      </c>
      <c r="C152" s="304" t="s">
        <v>639</v>
      </c>
      <c r="D152" s="304">
        <v>2440</v>
      </c>
      <c r="E152" s="304" t="s">
        <v>640</v>
      </c>
      <c r="F152" s="295">
        <f>B159*B160*B161*B162</f>
        <v>17280.000000000004</v>
      </c>
      <c r="G152" s="296">
        <f>0.95*F152</f>
        <v>16416.000000000004</v>
      </c>
    </row>
    <row r="153" spans="1:15">
      <c r="M153" t="s">
        <v>648</v>
      </c>
      <c r="N153">
        <f>N136*N150</f>
        <v>11150.438400000003</v>
      </c>
    </row>
    <row r="154" spans="1:15">
      <c r="M154" t="s">
        <v>649</v>
      </c>
      <c r="N154">
        <f>N150*N131/2</f>
        <v>12.704947200000003</v>
      </c>
    </row>
    <row r="155" spans="1:15">
      <c r="M155" t="s">
        <v>650</v>
      </c>
      <c r="N155">
        <f>G152-N153-N154</f>
        <v>5252.856652800001</v>
      </c>
    </row>
    <row r="156" spans="1:15">
      <c r="A156" t="s">
        <v>633</v>
      </c>
    </row>
    <row r="157" spans="1:15">
      <c r="M157" s="13" t="s">
        <v>660</v>
      </c>
    </row>
    <row r="159" spans="1:15">
      <c r="A159" t="s">
        <v>642</v>
      </c>
      <c r="B159">
        <v>0.4</v>
      </c>
    </row>
    <row r="160" spans="1:15">
      <c r="A160" t="s">
        <v>643</v>
      </c>
      <c r="B160">
        <v>6</v>
      </c>
    </row>
    <row r="161" spans="1:15">
      <c r="A161" t="s">
        <v>641</v>
      </c>
      <c r="B161">
        <v>240</v>
      </c>
    </row>
    <row r="162" spans="1:15">
      <c r="A162" t="s">
        <v>644</v>
      </c>
      <c r="B162">
        <v>30</v>
      </c>
    </row>
    <row r="168" spans="1:15">
      <c r="A168" s="105"/>
      <c r="B168" s="105"/>
      <c r="C168" s="105"/>
      <c r="D168" s="105"/>
      <c r="E168" s="105"/>
      <c r="F168" s="105"/>
      <c r="G168" s="105"/>
    </row>
    <row r="169" spans="1:15">
      <c r="A169" s="105"/>
      <c r="B169" s="105"/>
      <c r="C169" s="105"/>
      <c r="D169" s="105"/>
      <c r="E169" s="105"/>
      <c r="F169" s="105"/>
      <c r="G169" s="105"/>
    </row>
    <row r="170" spans="1:15">
      <c r="A170" s="105"/>
      <c r="B170" s="105"/>
      <c r="C170" s="105"/>
      <c r="D170" s="105"/>
      <c r="E170" s="105"/>
      <c r="F170" s="105"/>
      <c r="G170" s="105"/>
    </row>
    <row r="171" spans="1:15">
      <c r="A171" s="310" t="s">
        <v>651</v>
      </c>
      <c r="B171" s="105"/>
      <c r="C171" s="105"/>
      <c r="D171" s="105"/>
      <c r="E171" s="105"/>
      <c r="F171" s="105"/>
      <c r="G171" s="105"/>
    </row>
    <row r="172" spans="1:15" ht="14" thickBot="1">
      <c r="A172" s="105"/>
      <c r="B172" s="105"/>
      <c r="C172" s="105"/>
      <c r="D172" s="105"/>
      <c r="E172" s="105"/>
      <c r="F172" s="105"/>
      <c r="G172" s="105"/>
      <c r="M172" t="s">
        <v>663</v>
      </c>
      <c r="N172">
        <f>F176/N129</f>
        <v>2.4798960000000001</v>
      </c>
      <c r="O172" t="s">
        <v>658</v>
      </c>
    </row>
    <row r="173" spans="1:15">
      <c r="A173" s="289"/>
      <c r="B173" s="290"/>
      <c r="C173" s="290"/>
      <c r="D173" s="290"/>
      <c r="E173" s="290"/>
      <c r="F173" s="290" t="s">
        <v>54</v>
      </c>
      <c r="G173" s="291" t="s">
        <v>657</v>
      </c>
      <c r="M173" t="s">
        <v>661</v>
      </c>
      <c r="N173">
        <f>N131*N172/2</f>
        <v>227.91484188000001</v>
      </c>
    </row>
    <row r="174" spans="1:15">
      <c r="A174" s="292" t="s">
        <v>652</v>
      </c>
      <c r="B174" s="288">
        <v>8.0000000000000002E-3</v>
      </c>
      <c r="C174" s="105" t="s">
        <v>654</v>
      </c>
      <c r="D174" s="252">
        <v>0.9</v>
      </c>
      <c r="E174" s="105" t="s">
        <v>655</v>
      </c>
      <c r="F174" s="250">
        <f>B178*B174*D174</f>
        <v>137772</v>
      </c>
      <c r="G174" s="293">
        <f>B174*D174*B178</f>
        <v>137772</v>
      </c>
    </row>
    <row r="175" spans="1:15" ht="14" thickBot="1">
      <c r="A175" s="294" t="s">
        <v>653</v>
      </c>
      <c r="B175" s="308">
        <v>0.01</v>
      </c>
      <c r="C175" s="295"/>
      <c r="D175" s="308">
        <v>0.9</v>
      </c>
      <c r="E175" s="295" t="s">
        <v>655</v>
      </c>
      <c r="F175" s="295">
        <f>B178*B175*D175</f>
        <v>172215</v>
      </c>
      <c r="G175" s="296">
        <f>B175*D175*B178</f>
        <v>172215.00000000003</v>
      </c>
    </row>
    <row r="176" spans="1:15">
      <c r="E176" t="s">
        <v>157</v>
      </c>
      <c r="F176">
        <f>SUM(F174:F175)</f>
        <v>309987</v>
      </c>
      <c r="G176">
        <f>SUM(G174:G175)</f>
        <v>309987</v>
      </c>
    </row>
    <row r="177" spans="1:14" ht="14" thickBot="1">
      <c r="M177" t="s">
        <v>664</v>
      </c>
      <c r="N177">
        <f>G176/N136</f>
        <v>3.8431316637738657</v>
      </c>
    </row>
    <row r="178" spans="1:14" ht="14" thickBot="1">
      <c r="A178" s="300" t="s">
        <v>656</v>
      </c>
      <c r="B178" s="301">
        <f>SUM('E-Inv AF y Am'!B7:B8)</f>
        <v>19135000</v>
      </c>
      <c r="M178" t="s">
        <v>662</v>
      </c>
      <c r="N178">
        <f>N177*N131/2</f>
        <v>353.20301555913716</v>
      </c>
    </row>
    <row r="180" spans="1:14">
      <c r="M180" s="13" t="s">
        <v>669</v>
      </c>
    </row>
    <row r="186" spans="1:14">
      <c r="A186" s="309" t="s">
        <v>665</v>
      </c>
    </row>
    <row r="188" spans="1:14">
      <c r="A188" t="s">
        <v>666</v>
      </c>
      <c r="B188" s="261">
        <v>3.5000000000000003E-2</v>
      </c>
      <c r="D188" s="262"/>
      <c r="E188" s="262" t="s">
        <v>54</v>
      </c>
      <c r="F188" s="262" t="s">
        <v>667</v>
      </c>
    </row>
    <row r="189" spans="1:14">
      <c r="D189" s="292" t="s">
        <v>668</v>
      </c>
      <c r="E189" s="105">
        <f>SUM('E-Costos'!B7:B14)</f>
        <v>18810300.801750328</v>
      </c>
      <c r="F189" s="293">
        <f>SUM('E-Costos'!C7:C14)</f>
        <v>26362538.682985533</v>
      </c>
    </row>
    <row r="190" spans="1:14" ht="14" thickBot="1">
      <c r="D190" s="294" t="s">
        <v>21</v>
      </c>
      <c r="E190" s="295">
        <f>E189*B188</f>
        <v>658360.52806126152</v>
      </c>
      <c r="F190" s="296">
        <f>F189*B188</f>
        <v>922688.85390449374</v>
      </c>
    </row>
    <row r="197" spans="1:6">
      <c r="A197" s="379" t="s">
        <v>236</v>
      </c>
      <c r="B197" s="380">
        <v>1</v>
      </c>
      <c r="C197" s="380">
        <v>2</v>
      </c>
      <c r="D197" s="380">
        <v>3</v>
      </c>
      <c r="E197" s="380">
        <v>4</v>
      </c>
      <c r="F197" s="381">
        <v>5</v>
      </c>
    </row>
    <row r="198" spans="1:6">
      <c r="A198" s="269" t="s">
        <v>722</v>
      </c>
      <c r="B198" s="250">
        <v>2404</v>
      </c>
      <c r="C198" s="250">
        <v>2404</v>
      </c>
      <c r="D198" s="250">
        <v>2404</v>
      </c>
      <c r="E198" s="250">
        <v>2404</v>
      </c>
      <c r="F198" s="270">
        <v>2404</v>
      </c>
    </row>
    <row r="199" spans="1:6">
      <c r="A199" s="269"/>
      <c r="B199" s="250"/>
      <c r="C199" s="250"/>
      <c r="D199" s="250"/>
      <c r="E199" s="250"/>
      <c r="F199" s="270"/>
    </row>
    <row r="200" spans="1:6">
      <c r="A200" s="269" t="s">
        <v>721</v>
      </c>
      <c r="B200" s="377">
        <f>2404*'E-Costos'!B101</f>
        <v>555067.87667185743</v>
      </c>
      <c r="C200" s="377">
        <f>2404*'E-Costos'!C101</f>
        <v>524086.63492005551</v>
      </c>
      <c r="D200" s="377">
        <f>2404*'E-Costos'!D101</f>
        <v>524086.63492005551</v>
      </c>
      <c r="E200" s="377">
        <f>2404*'E-Costos'!E101</f>
        <v>524111.71637882158</v>
      </c>
      <c r="F200" s="378">
        <f>2404*'E-Costos'!F101</f>
        <v>524111.71637882158</v>
      </c>
    </row>
    <row r="201" spans="1:6">
      <c r="A201" s="269" t="s">
        <v>720</v>
      </c>
      <c r="B201" s="250"/>
      <c r="C201" s="250">
        <f>B200</f>
        <v>555067.87667185743</v>
      </c>
      <c r="D201" s="250">
        <f>C200</f>
        <v>524086.63492005551</v>
      </c>
      <c r="E201" s="377">
        <f>D200</f>
        <v>524086.63492005551</v>
      </c>
      <c r="F201" s="378">
        <f>E200</f>
        <v>524111.71637882158</v>
      </c>
    </row>
    <row r="202" spans="1:6">
      <c r="A202" s="269" t="s">
        <v>723</v>
      </c>
      <c r="B202" s="377">
        <f>B200-B201</f>
        <v>555067.87667185743</v>
      </c>
      <c r="C202" s="377">
        <f>C200-C201</f>
        <v>-30981.241751801921</v>
      </c>
      <c r="D202" s="377">
        <f>D200-D201</f>
        <v>0</v>
      </c>
      <c r="E202" s="377">
        <f>E200-E201</f>
        <v>25.081458766071592</v>
      </c>
      <c r="F202" s="378">
        <f>F200-F201</f>
        <v>0</v>
      </c>
    </row>
    <row r="203" spans="1:6" ht="14" thickBot="1">
      <c r="A203" s="271"/>
      <c r="B203" s="272"/>
      <c r="C203" s="272"/>
      <c r="D203" s="272"/>
      <c r="E203" s="272"/>
      <c r="F203" s="273"/>
    </row>
    <row r="208" spans="1:6">
      <c r="A208" s="382" t="s">
        <v>236</v>
      </c>
      <c r="B208" s="383" t="s">
        <v>605</v>
      </c>
    </row>
    <row r="209" spans="1:2">
      <c r="A209" s="375">
        <v>1</v>
      </c>
      <c r="B209" s="270">
        <v>87113</v>
      </c>
    </row>
    <row r="210" spans="1:2" ht="14" thickBot="1">
      <c r="A210" s="376" t="s">
        <v>606</v>
      </c>
      <c r="B210" s="273">
        <v>130000</v>
      </c>
    </row>
  </sheetData>
  <mergeCells count="1">
    <mergeCell ref="G28:K28"/>
  </mergeCells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6"/>
  <sheetViews>
    <sheetView zoomScale="90" zoomScaleNormal="90" workbookViewId="0">
      <selection activeCell="I21" sqref="I21"/>
    </sheetView>
  </sheetViews>
  <sheetFormatPr baseColWidth="10" defaultColWidth="11.33203125" defaultRowHeight="13"/>
  <cols>
    <col min="1" max="1" width="45.5" style="17" customWidth="1"/>
    <col min="2" max="2" width="16" style="17" bestFit="1" customWidth="1"/>
    <col min="3" max="3" width="15.5" style="17" bestFit="1" customWidth="1"/>
    <col min="4" max="7" width="14.83203125" style="17" customWidth="1"/>
    <col min="8" max="8" width="17.33203125" style="17" customWidth="1"/>
    <col min="9" max="9" width="33.6640625" style="17" bestFit="1" customWidth="1"/>
    <col min="10" max="10" width="27.83203125" style="17" bestFit="1" customWidth="1"/>
    <col min="11" max="11" width="10.5" style="17" bestFit="1" customWidth="1"/>
    <col min="12" max="16384" width="11.33203125" style="17"/>
  </cols>
  <sheetData>
    <row r="1" spans="1:16">
      <c r="A1" s="1" t="s">
        <v>0</v>
      </c>
      <c r="B1"/>
      <c r="C1"/>
      <c r="D1"/>
      <c r="E1" s="2">
        <f>[2]InfoInicial!E1</f>
        <v>14</v>
      </c>
    </row>
    <row r="2" spans="1:16" ht="14" thickBot="1">
      <c r="A2" s="1"/>
      <c r="B2"/>
      <c r="C2"/>
      <c r="D2"/>
      <c r="E2" s="105"/>
    </row>
    <row r="3" spans="1:16" ht="16">
      <c r="A3" s="396" t="s">
        <v>167</v>
      </c>
      <c r="B3" s="397"/>
      <c r="C3" s="397"/>
      <c r="D3" s="397"/>
      <c r="E3" s="397"/>
      <c r="F3" s="397"/>
      <c r="G3" s="398"/>
    </row>
    <row r="4" spans="1:16" ht="14" thickBot="1">
      <c r="A4" s="399" t="s">
        <v>94</v>
      </c>
      <c r="B4" s="22" t="s">
        <v>53</v>
      </c>
      <c r="C4" s="22" t="s">
        <v>54</v>
      </c>
      <c r="D4" s="22" t="s">
        <v>95</v>
      </c>
      <c r="E4" s="22" t="s">
        <v>96</v>
      </c>
      <c r="F4" s="22" t="s">
        <v>97</v>
      </c>
      <c r="G4" s="400" t="s">
        <v>98</v>
      </c>
    </row>
    <row r="5" spans="1:16" ht="14" thickTop="1">
      <c r="A5" s="401" t="s">
        <v>168</v>
      </c>
      <c r="B5" s="107"/>
      <c r="C5" s="107"/>
      <c r="D5" s="107"/>
      <c r="E5" s="107"/>
      <c r="F5" s="107"/>
      <c r="G5" s="402"/>
    </row>
    <row r="6" spans="1:16">
      <c r="A6" s="401" t="s">
        <v>169</v>
      </c>
      <c r="B6" s="65">
        <f>'E-InvAT Datos y links'!G5*C6</f>
        <v>800000</v>
      </c>
      <c r="C6" s="65">
        <f>InfoInicial!$B$19*'E-InvAT Datos y links'!$D$5*InfoInicial!$B$20</f>
        <v>1000000</v>
      </c>
      <c r="D6" s="65">
        <f>InfoInicial!$B$19*'E-InvAT Datos y links'!$D$5*InfoInicial!$B$20</f>
        <v>1000000</v>
      </c>
      <c r="E6" s="65">
        <f>InfoInicial!$B$19*'E-InvAT Datos y links'!$D$5*InfoInicial!$B$20</f>
        <v>1000000</v>
      </c>
      <c r="F6" s="65">
        <f>InfoInicial!$B$19*'E-InvAT Datos y links'!$D$5*InfoInicial!$B$20</f>
        <v>1000000</v>
      </c>
      <c r="G6" s="403">
        <f>InfoInicial!$B$19*'E-InvAT Datos y links'!$D$5*InfoInicial!$B$20</f>
        <v>1000000</v>
      </c>
      <c r="P6" s="250" t="s">
        <v>579</v>
      </c>
    </row>
    <row r="7" spans="1:16">
      <c r="A7" s="401" t="s">
        <v>170</v>
      </c>
      <c r="B7" s="65">
        <v>0</v>
      </c>
      <c r="C7" s="65">
        <f>InfoInicial!$B$19*InfoInicial!$B$20*30/365</f>
        <v>4109589.0410958906</v>
      </c>
      <c r="D7" s="65">
        <f>InfoInicial!$B$19*InfoInicial!$B$20*30/365</f>
        <v>4109589.0410958906</v>
      </c>
      <c r="E7" s="65">
        <f>InfoInicial!$B$19*InfoInicial!$B$20*30/365</f>
        <v>4109589.0410958906</v>
      </c>
      <c r="F7" s="65">
        <f>InfoInicial!$B$19*InfoInicial!$B$20*30/365</f>
        <v>4109589.0410958906</v>
      </c>
      <c r="G7" s="403">
        <f>InfoInicial!$B$19*InfoInicial!$B$20*30/365</f>
        <v>4109589.0410958906</v>
      </c>
      <c r="O7" s="250" t="s">
        <v>579</v>
      </c>
    </row>
    <row r="8" spans="1:16">
      <c r="A8" s="404"/>
      <c r="B8" s="86"/>
      <c r="C8" s="86"/>
      <c r="D8" s="86"/>
      <c r="E8" s="86"/>
      <c r="F8" s="86"/>
      <c r="G8" s="405"/>
    </row>
    <row r="9" spans="1:16">
      <c r="A9" s="401" t="s">
        <v>171</v>
      </c>
      <c r="B9" s="86"/>
      <c r="C9" s="86"/>
      <c r="D9" s="86"/>
      <c r="E9" s="86"/>
      <c r="F9" s="86"/>
      <c r="G9" s="405"/>
    </row>
    <row r="10" spans="1:16">
      <c r="A10" s="404" t="s">
        <v>730</v>
      </c>
      <c r="B10" s="65">
        <f>'E-InvAT Datos y links'!C21*'E-InvAT Datos y links'!D12</f>
        <v>11880000</v>
      </c>
      <c r="C10" s="65">
        <f>'E-InvAT Datos y links'!$D$21*('E-InvAT Datos y links'!$D$12)</f>
        <v>1833480</v>
      </c>
      <c r="D10" s="65">
        <f>'E-InvAT Datos y links'!$E$21*('E-InvAT Datos y links'!$D$12)</f>
        <v>1833480</v>
      </c>
      <c r="E10" s="65">
        <f>'E-InvAT Datos y links'!$E$21*('E-InvAT Datos y links'!$D$12)</f>
        <v>1833480</v>
      </c>
      <c r="F10" s="65">
        <f>'E-InvAT Datos y links'!$E$21*('E-InvAT Datos y links'!$D$12)</f>
        <v>1833480</v>
      </c>
      <c r="G10" s="403">
        <f>'E-InvAT Datos y links'!$E$21*('E-InvAT Datos y links'!$D$12)</f>
        <v>1833480</v>
      </c>
    </row>
    <row r="11" spans="1:16">
      <c r="A11" s="404" t="s">
        <v>172</v>
      </c>
      <c r="B11" s="65">
        <f>'E-InvAT Datos y links'!G5*C11</f>
        <v>176442.14304144742</v>
      </c>
      <c r="C11" s="65">
        <f>'E-Costos'!B12*'E-InvAT Datos y links'!$C$27/12+'E-Costos'!B53*'E-InvAT Datos y links'!$C$28/12+'E-Costos'!B70*'E-InvAT Datos y links'!$C$29/12</f>
        <v>220552.67880180926</v>
      </c>
      <c r="D11" s="65">
        <f>'E-Costos'!C12*'E-InvAT Datos y links'!$C$27/12+'E-Costos'!C53*'E-InvAT Datos y links'!$C$28/12+'E-Costos'!C70*'E-InvAT Datos y links'!$C$29/12</f>
        <v>245058.5320020103</v>
      </c>
      <c r="E11" s="65">
        <f>'E-Costos'!D12*'E-InvAT Datos y links'!$C$27/12+'E-Costos'!D53*'E-InvAT Datos y links'!$C$28/12+'E-Costos'!D70*'E-InvAT Datos y links'!$C$29/12</f>
        <v>245058.5320020103</v>
      </c>
      <c r="F11" s="65">
        <f>'E-Costos'!E12*'E-InvAT Datos y links'!$C$27/12+'E-Costos'!E53*'E-InvAT Datos y links'!$C$28/12+'E-Costos'!E70*'E-InvAT Datos y links'!$C$29/12</f>
        <v>247070.82232201032</v>
      </c>
      <c r="G11" s="403">
        <f>'E-Costos'!F12*'E-InvAT Datos y links'!$C$27/12+'E-Costos'!F53*'E-InvAT Datos y links'!$C$28/12+'E-Costos'!F70*'E-InvAT Datos y links'!$C$29/12</f>
        <v>247070.82232201032</v>
      </c>
    </row>
    <row r="12" spans="1:16">
      <c r="A12" s="404" t="s">
        <v>173</v>
      </c>
      <c r="B12" s="65">
        <f>'E-InvAT Datos y links'!C19*'E-InvAT Datos y links'!D12</f>
        <v>0</v>
      </c>
      <c r="C12" s="65">
        <f>'E-InvAT Datos y links'!D19*'E-InvAT Datos y links'!D12</f>
        <v>26532</v>
      </c>
      <c r="D12" s="65">
        <f>'E-InvAT Datos y links'!$E$19*'E-InvAT Datos y links'!$D$12</f>
        <v>26532</v>
      </c>
      <c r="E12" s="65">
        <f>'E-InvAT Datos y links'!$E$19*'E-InvAT Datos y links'!$D$12</f>
        <v>26532</v>
      </c>
      <c r="F12" s="65">
        <f>'E-InvAT Datos y links'!$E$19*'E-InvAT Datos y links'!$D$12</f>
        <v>26532</v>
      </c>
      <c r="G12" s="403">
        <f>'E-InvAT Datos y links'!$E$19*'E-InvAT Datos y links'!$D$12</f>
        <v>26532</v>
      </c>
    </row>
    <row r="13" spans="1:16">
      <c r="A13" s="404" t="s">
        <v>174</v>
      </c>
      <c r="B13" s="65">
        <f>'E-InvAT Datos y links'!C16*'E-InvAT Datos y links'!D12</f>
        <v>0</v>
      </c>
      <c r="C13" s="65">
        <f>'E-InvAT Datos y links'!D16*'E-InvAT Datos y links'!D12</f>
        <v>317328</v>
      </c>
      <c r="D13" s="65">
        <f>'E-InvAT Datos y links'!$E$16*'E-InvAT Datos y links'!$D$12</f>
        <v>317328</v>
      </c>
      <c r="E13" s="65">
        <f>'E-InvAT Datos y links'!$E$16*'E-InvAT Datos y links'!$D$12</f>
        <v>317328</v>
      </c>
      <c r="F13" s="65">
        <f>'E-InvAT Datos y links'!$E$16*'E-InvAT Datos y links'!$D$12</f>
        <v>317328</v>
      </c>
      <c r="G13" s="403">
        <f>'E-InvAT Datos y links'!$E$16*'E-InvAT Datos y links'!$D$12</f>
        <v>317328</v>
      </c>
    </row>
    <row r="14" spans="1:16">
      <c r="A14" s="404"/>
      <c r="B14" s="86"/>
      <c r="C14" s="86"/>
      <c r="D14" s="86"/>
      <c r="E14" s="86"/>
      <c r="F14" s="86"/>
      <c r="G14" s="405"/>
    </row>
    <row r="15" spans="1:16">
      <c r="A15" s="401" t="s">
        <v>175</v>
      </c>
      <c r="B15" s="65">
        <f>B6+B7+SUM(B10:B13)</f>
        <v>12856442.143041447</v>
      </c>
      <c r="C15" s="65">
        <f t="shared" ref="C15:G15" si="0">C6+C7+SUM(C10:C13)</f>
        <v>7507481.7198976995</v>
      </c>
      <c r="D15" s="65">
        <f t="shared" si="0"/>
        <v>7531987.5730979005</v>
      </c>
      <c r="E15" s="65">
        <f t="shared" si="0"/>
        <v>7531987.5730979005</v>
      </c>
      <c r="F15" s="65">
        <f t="shared" si="0"/>
        <v>7533999.8634179002</v>
      </c>
      <c r="G15" s="403">
        <f t="shared" si="0"/>
        <v>7533999.8634179002</v>
      </c>
    </row>
    <row r="16" spans="1:16">
      <c r="A16" s="401" t="s">
        <v>176</v>
      </c>
      <c r="B16" s="86"/>
      <c r="C16" s="86"/>
      <c r="D16" s="86"/>
      <c r="E16" s="86"/>
      <c r="F16" s="86"/>
      <c r="G16" s="405"/>
    </row>
    <row r="17" spans="1:7">
      <c r="A17" s="404" t="s">
        <v>177</v>
      </c>
      <c r="B17" s="65">
        <v>0</v>
      </c>
      <c r="C17" s="65">
        <f>'E-Costos'!B27</f>
        <v>2579.8721035900303</v>
      </c>
      <c r="D17" s="65">
        <f>'E-Costos'!C27</f>
        <v>1664.7398710045745</v>
      </c>
      <c r="E17" s="65">
        <f>'E-Costos'!D27</f>
        <v>1664.7398710045745</v>
      </c>
      <c r="F17" s="65">
        <f>'E-Costos'!E27</f>
        <v>1662.7381801045747</v>
      </c>
      <c r="G17" s="403">
        <f>'E-Costos'!F27</f>
        <v>1662.7381801045747</v>
      </c>
    </row>
    <row r="18" spans="1:7">
      <c r="A18" s="404" t="s">
        <v>178</v>
      </c>
      <c r="B18" s="65">
        <v>0</v>
      </c>
      <c r="C18" s="65">
        <f>('E-Costos'!B10-'E-InvAT'!C17+'E-InvAT'!B17)/'E-InvAT Datos y links'!D17*'E-InvAT Datos y links'!D19</f>
        <v>5635.8570878317869</v>
      </c>
      <c r="D18" s="65">
        <f>('E-Costos'!C10-'E-InvAT'!D17+'E-InvAT'!C17)/'E-InvAT Datos y links'!$E$17*'E-InvAT Datos y links'!$E$19</f>
        <v>3642.3258286086652</v>
      </c>
      <c r="E18" s="65">
        <f>('E-Costos'!D10-'E-InvAT'!E17+'E-InvAT'!D17)/'E-InvAT Datos y links'!$E$17*'E-InvAT Datos y links'!$E$19</f>
        <v>3640.8542959786682</v>
      </c>
      <c r="F18" s="65">
        <f>('E-Costos'!E10-'E-InvAT'!F17+'E-InvAT'!E17)/'E-InvAT Datos y links'!$E$17*'E-InvAT Datos y links'!$E$19</f>
        <v>3636.4797346976356</v>
      </c>
      <c r="G18" s="403">
        <f>('E-Costos'!F10-'E-InvAT'!G17+'E-InvAT'!F17)/'E-InvAT Datos y links'!$E$17*'E-InvAT Datos y links'!$E$19</f>
        <v>3636.476515978668</v>
      </c>
    </row>
    <row r="19" spans="1:7">
      <c r="A19" s="404" t="s">
        <v>179</v>
      </c>
      <c r="B19" s="65">
        <v>0</v>
      </c>
      <c r="C19" s="65">
        <f>C7*'E-Costos'!B120</f>
        <v>548336.87299806788</v>
      </c>
      <c r="D19" s="65">
        <f>D7*'E-Costos'!C120</f>
        <v>751201.33048063843</v>
      </c>
      <c r="E19" s="65">
        <f>E7*'E-Costos'!D120</f>
        <v>752767.36859110591</v>
      </c>
      <c r="F19" s="65">
        <f>F7*'E-Costos'!E120</f>
        <v>752702.71418375592</v>
      </c>
      <c r="G19" s="403">
        <f>G7*'E-Costos'!F120</f>
        <v>752701.44636755227</v>
      </c>
    </row>
    <row r="20" spans="1:7">
      <c r="A20" s="404" t="s">
        <v>180</v>
      </c>
      <c r="B20" s="65">
        <v>0</v>
      </c>
      <c r="C20" s="65">
        <f>('E-Inv AF y Am'!$D$56-'E-InvAT'!C17-'E-InvAT'!C18+'E-InvAT'!B17+'E-InvAT'!B18)/365*30</f>
        <v>206077.30268138999</v>
      </c>
      <c r="D20" s="65">
        <f>('E-Inv AF y Am'!$D$56-'E-InvAT'!D17-'E-InvAT'!D18+'E-InvAT'!C17+'E-InvAT'!C18)/365*30</f>
        <v>206991.63632658703</v>
      </c>
      <c r="E20" s="65">
        <f>('E-Inv AF y Am'!$E$56-'E-InvAT'!E17-'E-InvAT'!E18+'E-InvAT'!D17+'E-InvAT'!D18)/365*30</f>
        <v>206528.92191898328</v>
      </c>
      <c r="F20" s="65">
        <f>('E-Inv AF y Am'!$E$56-'E-InvAT'!F17-'E-InvAT'!F18+'E-InvAT'!E17+'E-InvAT'!E18)/365*30</f>
        <v>206529.32504661763</v>
      </c>
      <c r="G20" s="403">
        <f>('E-Inv AF y Am'!$E$56-'E-InvAT'!G17-'E-InvAT'!G18+'E-InvAT'!F17+'E-InvAT'!F18)/365*30</f>
        <v>206528.80123564816</v>
      </c>
    </row>
    <row r="21" spans="1:7">
      <c r="A21" s="404"/>
      <c r="B21" s="86"/>
      <c r="C21" s="86"/>
      <c r="D21" s="86"/>
      <c r="E21" s="86"/>
      <c r="F21" s="86"/>
      <c r="G21" s="405"/>
    </row>
    <row r="22" spans="1:7">
      <c r="A22" s="401" t="s">
        <v>181</v>
      </c>
      <c r="B22" s="65">
        <f>B15-SUM(B17:B20)</f>
        <v>12856442.143041447</v>
      </c>
      <c r="C22" s="65">
        <f t="shared" ref="C22:G22" si="1">C15-SUM(C17:C20)</f>
        <v>6744851.8150268197</v>
      </c>
      <c r="D22" s="65">
        <f t="shared" si="1"/>
        <v>6568487.540591062</v>
      </c>
      <c r="E22" s="65">
        <f t="shared" si="1"/>
        <v>6567385.6884208284</v>
      </c>
      <c r="F22" s="65">
        <f t="shared" si="1"/>
        <v>6569468.6062727245</v>
      </c>
      <c r="G22" s="403">
        <f t="shared" si="1"/>
        <v>6569470.4011186166</v>
      </c>
    </row>
    <row r="23" spans="1:7">
      <c r="A23" s="404"/>
      <c r="B23" s="86"/>
      <c r="C23" s="86"/>
      <c r="D23" s="86"/>
      <c r="E23" s="86"/>
      <c r="F23" s="86"/>
      <c r="G23" s="405"/>
    </row>
    <row r="24" spans="1:7">
      <c r="A24" s="401" t="s">
        <v>182</v>
      </c>
      <c r="B24" s="65">
        <f>B22</f>
        <v>12856442.143041447</v>
      </c>
      <c r="C24" s="65">
        <f>C15-B15</f>
        <v>-5348960.4231437473</v>
      </c>
      <c r="D24" s="65">
        <f t="shared" ref="D24:G24" si="2">D15-C15</f>
        <v>24505.853200200945</v>
      </c>
      <c r="E24" s="65">
        <f t="shared" si="2"/>
        <v>0</v>
      </c>
      <c r="F24" s="65">
        <f t="shared" si="2"/>
        <v>2012.2903199996799</v>
      </c>
      <c r="G24" s="403">
        <f t="shared" si="2"/>
        <v>0</v>
      </c>
    </row>
    <row r="25" spans="1:7">
      <c r="A25" s="401" t="s">
        <v>183</v>
      </c>
      <c r="B25" s="65">
        <f>B22</f>
        <v>12856442.143041447</v>
      </c>
      <c r="C25" s="65">
        <f>C22-B22</f>
        <v>-6111590.3280146271</v>
      </c>
      <c r="D25" s="65">
        <f t="shared" ref="D25:G25" si="3">D22-C22</f>
        <v>-176364.27443575766</v>
      </c>
      <c r="E25" s="65">
        <f t="shared" si="3"/>
        <v>-1101.8521702336147</v>
      </c>
      <c r="F25" s="65">
        <f t="shared" si="3"/>
        <v>2082.9178518960252</v>
      </c>
      <c r="G25" s="403">
        <f t="shared" si="3"/>
        <v>1.7948458921164274</v>
      </c>
    </row>
    <row r="26" spans="1:7">
      <c r="A26" s="404"/>
      <c r="B26" s="86"/>
      <c r="C26" s="86"/>
      <c r="D26" s="86"/>
      <c r="E26" s="86"/>
      <c r="F26" s="86"/>
      <c r="G26" s="405"/>
    </row>
    <row r="27" spans="1:7">
      <c r="A27" s="401" t="s">
        <v>184</v>
      </c>
      <c r="B27" s="86"/>
      <c r="C27" s="86"/>
      <c r="D27" s="86"/>
      <c r="E27" s="86"/>
      <c r="F27" s="86"/>
      <c r="G27" s="405"/>
    </row>
    <row r="28" spans="1:7">
      <c r="A28" s="404" t="s">
        <v>185</v>
      </c>
      <c r="B28" s="65"/>
      <c r="C28" s="65"/>
      <c r="D28" s="65"/>
      <c r="E28" s="65"/>
      <c r="F28" s="65"/>
      <c r="G28" s="403"/>
    </row>
    <row r="29" spans="1:7">
      <c r="A29" s="404" t="s">
        <v>186</v>
      </c>
      <c r="B29" s="65"/>
      <c r="C29" s="65"/>
      <c r="D29" s="65"/>
      <c r="E29" s="65"/>
      <c r="F29" s="65"/>
      <c r="G29" s="403"/>
    </row>
    <row r="30" spans="1:7">
      <c r="A30" s="404" t="s">
        <v>187</v>
      </c>
      <c r="B30" s="65">
        <f>B10*InfoInicial!B3</f>
        <v>2494800</v>
      </c>
      <c r="C30" s="65">
        <f>(C10-B10)*InfoInicial!$B$3</f>
        <v>-2109769.1999999997</v>
      </c>
      <c r="D30" s="65">
        <f>(D10-C10)*InfoInicial!$B$3</f>
        <v>0</v>
      </c>
      <c r="E30" s="65">
        <f>(E10-D10)*InfoInicial!$B$3</f>
        <v>0</v>
      </c>
      <c r="F30" s="65">
        <f>(F10-E10)*InfoInicial!$B$3</f>
        <v>0</v>
      </c>
      <c r="G30" s="403">
        <f>(G10-F10)*InfoInicial!$B$3</f>
        <v>0</v>
      </c>
    </row>
    <row r="31" spans="1:7">
      <c r="A31" s="404" t="s">
        <v>188</v>
      </c>
      <c r="B31" s="65">
        <f>B11*InfoInicial!B4</f>
        <v>61754.750064506588</v>
      </c>
      <c r="C31" s="65">
        <f>(C11-B11)*InfoInicial!$B$3</f>
        <v>9263.2125096759883</v>
      </c>
      <c r="D31" s="65">
        <f>(D11-C11)*InfoInicial!$B$3</f>
        <v>5146.2291720422163</v>
      </c>
      <c r="E31" s="65">
        <f>(E11-D11)*InfoInicial!$B$3</f>
        <v>0</v>
      </c>
      <c r="F31" s="65">
        <f>(F11-E11)*InfoInicial!$B$3</f>
        <v>422.58096720000611</v>
      </c>
      <c r="G31" s="403">
        <f>(G11-F11)*InfoInicial!$B$3</f>
        <v>0</v>
      </c>
    </row>
    <row r="32" spans="1:7">
      <c r="A32" s="404" t="s">
        <v>189</v>
      </c>
      <c r="B32" s="255">
        <v>0</v>
      </c>
      <c r="C32" s="65">
        <f>('E-Costos'!B24+'E-Costos'!B29+'E-Costos'!B30+'E-Costos'!B31)*InfoInicial!B3</f>
        <v>5646.8270544553261</v>
      </c>
      <c r="D32" s="65">
        <f>('E-Costos'!C24+'E-Costos'!C29+'E-Costos'!C30+'E-Costos'!C31-'E-Costos'!B24-'E-Costos'!B29-'E-Costos'!B30-'E-Costos'!B31)*InfoInicial!$B$3</f>
        <v>-2.4098056883303797E-13</v>
      </c>
      <c r="E32" s="65">
        <f>('E-Costos'!D24+'E-Costos'!D29+'E-Costos'!D30+'E-Costos'!D31-'E-Costos'!C24-'E-Costos'!C29-'E-Costos'!C30-'E-Costos'!C31)*InfoInicial!$B$3</f>
        <v>-2.4098056883303797E-13</v>
      </c>
      <c r="F32" s="65">
        <f>('E-Costos'!E24+'E-Costos'!E29+'E-Costos'!E30+'E-Costos'!E31-'E-Costos'!D24-'E-Costos'!D29-'E-Costos'!D30-'E-Costos'!D31)*InfoInicial!$B$3</f>
        <v>-2.4098056883303797E-13</v>
      </c>
      <c r="G32" s="403">
        <f>('E-Costos'!F24+'E-Costos'!F29+'E-Costos'!F30+'E-Costos'!F31-'E-Costos'!E24-'E-Costos'!E29-'E-Costos'!E30-'E-Costos'!E31)*InfoInicial!$B$3</f>
        <v>-2.4098056883303797E-13</v>
      </c>
    </row>
    <row r="33" spans="1:7">
      <c r="A33" s="404" t="s">
        <v>190</v>
      </c>
      <c r="B33" s="338">
        <v>0</v>
      </c>
      <c r="C33" s="338">
        <f>'E-InvAT Datos y links'!C39</f>
        <v>71269.043860144768</v>
      </c>
      <c r="D33" s="338">
        <f>'E-InvAT Datos y links'!D39</f>
        <v>-124.85393223367282</v>
      </c>
      <c r="E33" s="338">
        <f>'E-InvAT Datos y links'!E39</f>
        <v>0</v>
      </c>
      <c r="F33" s="338">
        <f>'E-InvAT Datos y links'!F39</f>
        <v>16.254154322392424</v>
      </c>
      <c r="G33" s="406">
        <f>'E-InvAT Datos y links'!G39</f>
        <v>0</v>
      </c>
    </row>
    <row r="34" spans="1:7">
      <c r="A34" s="401" t="s">
        <v>191</v>
      </c>
      <c r="B34" s="339">
        <f>SUM(B30:B33)</f>
        <v>2556554.7500645067</v>
      </c>
      <c r="C34" s="339">
        <f t="shared" ref="C34:G34" si="4">SUM(C30:C33)</f>
        <v>-2023590.1165757237</v>
      </c>
      <c r="D34" s="339">
        <f t="shared" si="4"/>
        <v>5021.3752398085435</v>
      </c>
      <c r="E34" s="339">
        <f t="shared" si="4"/>
        <v>-2.4098056883303797E-13</v>
      </c>
      <c r="F34" s="339">
        <f t="shared" si="4"/>
        <v>438.83512152239831</v>
      </c>
      <c r="G34" s="407">
        <f t="shared" si="4"/>
        <v>-2.4098056883303797E-13</v>
      </c>
    </row>
    <row r="35" spans="1:7">
      <c r="A35" s="404"/>
      <c r="B35" s="340"/>
      <c r="C35" s="340"/>
      <c r="D35" s="340"/>
      <c r="E35" s="340"/>
      <c r="F35" s="340"/>
      <c r="G35" s="408"/>
    </row>
    <row r="36" spans="1:7" ht="14" thickBot="1">
      <c r="A36" s="409" t="s">
        <v>192</v>
      </c>
      <c r="B36" s="410">
        <f>B25+B34</f>
        <v>15412996.893105954</v>
      </c>
      <c r="C36" s="410">
        <f t="shared" ref="C36:G36" si="5">C25+C34</f>
        <v>-8135180.4445903506</v>
      </c>
      <c r="D36" s="410">
        <f t="shared" si="5"/>
        <v>-171342.89919594911</v>
      </c>
      <c r="E36" s="410">
        <f t="shared" si="5"/>
        <v>-1101.852170233615</v>
      </c>
      <c r="F36" s="410">
        <f t="shared" si="5"/>
        <v>2521.7529734184236</v>
      </c>
      <c r="G36" s="411">
        <f t="shared" si="5"/>
        <v>1.7948458921161865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H39"/>
  <sheetViews>
    <sheetView topLeftCell="A5" workbookViewId="0">
      <selection activeCell="C21" sqref="C21"/>
    </sheetView>
  </sheetViews>
  <sheetFormatPr baseColWidth="10" defaultRowHeight="13"/>
  <cols>
    <col min="2" max="2" width="33.33203125" bestFit="1" customWidth="1"/>
    <col min="4" max="4" width="11.1640625" bestFit="1" customWidth="1"/>
  </cols>
  <sheetData>
    <row r="5" spans="2:8">
      <c r="B5" s="76" t="s">
        <v>578</v>
      </c>
      <c r="C5" s="337" t="s">
        <v>727</v>
      </c>
      <c r="D5" s="242">
        <v>0.02</v>
      </c>
      <c r="F5" s="17" t="s">
        <v>53</v>
      </c>
      <c r="G5" s="242">
        <v>0.8</v>
      </c>
      <c r="H5" s="17" t="s">
        <v>728</v>
      </c>
    </row>
    <row r="6" spans="2:8">
      <c r="B6" s="251" t="s">
        <v>580</v>
      </c>
      <c r="C6" s="17" t="s">
        <v>581</v>
      </c>
      <c r="D6" s="17"/>
      <c r="E6" s="17"/>
      <c r="F6" s="17"/>
      <c r="G6" s="17"/>
    </row>
    <row r="7" spans="2:8" ht="14" thickBot="1">
      <c r="B7" s="17"/>
      <c r="C7" s="17"/>
      <c r="D7" s="17"/>
      <c r="E7" s="17"/>
      <c r="F7" s="17"/>
      <c r="G7" s="17"/>
    </row>
    <row r="8" spans="2:8">
      <c r="B8" s="266" t="s">
        <v>99</v>
      </c>
      <c r="C8" s="267" t="s">
        <v>582</v>
      </c>
      <c r="D8" s="267" t="s">
        <v>583</v>
      </c>
      <c r="E8" s="268" t="s">
        <v>584</v>
      </c>
      <c r="F8" s="17"/>
      <c r="G8" s="17"/>
    </row>
    <row r="9" spans="2:8">
      <c r="B9" s="269" t="s">
        <v>585</v>
      </c>
      <c r="C9" s="250" t="s">
        <v>586</v>
      </c>
      <c r="D9" s="250">
        <v>48</v>
      </c>
      <c r="E9" s="270" t="s">
        <v>587</v>
      </c>
      <c r="F9" s="250" t="s">
        <v>579</v>
      </c>
      <c r="G9" s="17"/>
    </row>
    <row r="10" spans="2:8">
      <c r="B10" s="269" t="s">
        <v>588</v>
      </c>
      <c r="C10" s="250" t="s">
        <v>589</v>
      </c>
      <c r="D10" s="250">
        <v>60</v>
      </c>
      <c r="E10" s="270" t="s">
        <v>590</v>
      </c>
      <c r="F10" s="250" t="s">
        <v>579</v>
      </c>
      <c r="G10" s="17"/>
    </row>
    <row r="11" spans="2:8" ht="14" thickBot="1">
      <c r="B11" s="271" t="s">
        <v>591</v>
      </c>
      <c r="C11" s="272"/>
      <c r="D11" s="272">
        <v>24</v>
      </c>
      <c r="E11" s="273" t="s">
        <v>592</v>
      </c>
      <c r="F11" s="250" t="s">
        <v>579</v>
      </c>
      <c r="G11" s="17"/>
    </row>
    <row r="12" spans="2:8">
      <c r="B12" s="17"/>
      <c r="C12" s="250" t="s">
        <v>157</v>
      </c>
      <c r="D12" s="17">
        <f>SUM(D9:D11)</f>
        <v>132</v>
      </c>
      <c r="E12" s="17"/>
      <c r="F12" s="17"/>
      <c r="G12" s="17"/>
    </row>
    <row r="13" spans="2:8" ht="14" thickBot="1">
      <c r="B13" s="17"/>
      <c r="C13" s="17"/>
      <c r="D13" s="17"/>
      <c r="E13" s="17"/>
      <c r="F13" s="17"/>
      <c r="G13" s="17"/>
    </row>
    <row r="14" spans="2:8">
      <c r="B14" s="274"/>
      <c r="C14" s="275" t="s">
        <v>431</v>
      </c>
      <c r="D14" s="275" t="s">
        <v>432</v>
      </c>
      <c r="E14" s="276" t="s">
        <v>593</v>
      </c>
      <c r="F14" s="17"/>
      <c r="G14" s="17"/>
    </row>
    <row r="15" spans="2:8" ht="18">
      <c r="B15" s="277" t="s">
        <v>594</v>
      </c>
      <c r="C15" s="278"/>
      <c r="D15" s="279">
        <v>78256</v>
      </c>
      <c r="E15" s="280">
        <v>125000</v>
      </c>
      <c r="F15" s="17"/>
      <c r="G15" s="17"/>
    </row>
    <row r="16" spans="2:8" ht="18">
      <c r="B16" s="277" t="s">
        <v>595</v>
      </c>
      <c r="C16" s="278"/>
      <c r="D16" s="279">
        <v>2404</v>
      </c>
      <c r="E16" s="280">
        <v>2404</v>
      </c>
      <c r="F16" s="17"/>
      <c r="G16" s="17"/>
    </row>
    <row r="17" spans="2:7" ht="18">
      <c r="B17" s="277" t="s">
        <v>533</v>
      </c>
      <c r="C17" s="278"/>
      <c r="D17" s="279">
        <v>80660</v>
      </c>
      <c r="E17" s="280">
        <v>125000</v>
      </c>
      <c r="F17" s="17"/>
      <c r="G17" s="17"/>
    </row>
    <row r="18" spans="2:7" ht="18">
      <c r="B18" s="277" t="s">
        <v>596</v>
      </c>
      <c r="C18" s="278"/>
      <c r="D18" s="279">
        <v>6453</v>
      </c>
      <c r="E18" s="280">
        <v>5000</v>
      </c>
      <c r="F18" s="17"/>
      <c r="G18" s="17"/>
    </row>
    <row r="19" spans="2:7" ht="18">
      <c r="B19" s="277" t="s">
        <v>597</v>
      </c>
      <c r="C19" s="278"/>
      <c r="D19" s="278">
        <v>201</v>
      </c>
      <c r="E19" s="281">
        <v>201</v>
      </c>
      <c r="F19" s="17"/>
      <c r="G19" s="17"/>
    </row>
    <row r="20" spans="2:7" ht="18">
      <c r="B20" s="277" t="s">
        <v>598</v>
      </c>
      <c r="C20" s="278"/>
      <c r="D20" s="279">
        <v>87314</v>
      </c>
      <c r="E20" s="280">
        <v>130000</v>
      </c>
      <c r="F20" s="17"/>
      <c r="G20" s="17"/>
    </row>
    <row r="21" spans="2:7" ht="18">
      <c r="B21" s="277" t="s">
        <v>599</v>
      </c>
      <c r="C21" s="279">
        <v>90000</v>
      </c>
      <c r="D21" s="279">
        <v>13890</v>
      </c>
      <c r="E21" s="280">
        <v>13890</v>
      </c>
      <c r="F21" s="17"/>
      <c r="G21" s="17"/>
    </row>
    <row r="22" spans="2:7" ht="19" thickBot="1">
      <c r="B22" s="282" t="s">
        <v>600</v>
      </c>
      <c r="C22" s="283">
        <v>90000</v>
      </c>
      <c r="D22" s="283">
        <v>11204</v>
      </c>
      <c r="E22" s="284">
        <v>130000</v>
      </c>
      <c r="F22" s="17"/>
      <c r="G22" s="17"/>
    </row>
    <row r="23" spans="2:7">
      <c r="B23" s="17"/>
      <c r="C23" s="17"/>
      <c r="D23" s="17"/>
      <c r="E23" s="17"/>
      <c r="F23" s="17"/>
      <c r="G23" s="17"/>
    </row>
    <row r="24" spans="2:7">
      <c r="B24" s="17"/>
      <c r="C24" s="17"/>
      <c r="D24" s="17"/>
      <c r="E24" s="17"/>
      <c r="F24" s="17"/>
      <c r="G24" s="17"/>
    </row>
    <row r="25" spans="2:7">
      <c r="B25" s="17"/>
      <c r="C25" s="17"/>
      <c r="D25" s="17"/>
      <c r="E25" s="17"/>
      <c r="F25" s="17"/>
      <c r="G25" s="17"/>
    </row>
    <row r="26" spans="2:7">
      <c r="B26" s="17" t="s">
        <v>601</v>
      </c>
      <c r="C26" s="17" t="s">
        <v>602</v>
      </c>
      <c r="D26" s="17"/>
      <c r="E26" s="17"/>
      <c r="F26" s="17"/>
      <c r="G26" s="17"/>
    </row>
    <row r="27" spans="2:7">
      <c r="B27" s="17" t="s">
        <v>533</v>
      </c>
      <c r="C27" s="17">
        <v>6</v>
      </c>
      <c r="D27" s="17" t="s">
        <v>729</v>
      </c>
      <c r="E27" s="17"/>
      <c r="F27" s="17"/>
      <c r="G27" s="17"/>
    </row>
    <row r="28" spans="2:7">
      <c r="B28" s="17" t="s">
        <v>603</v>
      </c>
      <c r="C28" s="17">
        <v>1</v>
      </c>
      <c r="D28" s="17" t="s">
        <v>729</v>
      </c>
      <c r="E28" s="17"/>
      <c r="F28" s="17"/>
      <c r="G28" s="17"/>
    </row>
    <row r="29" spans="2:7">
      <c r="B29" s="17" t="s">
        <v>604</v>
      </c>
      <c r="C29" s="17">
        <v>1</v>
      </c>
      <c r="D29" s="17" t="s">
        <v>729</v>
      </c>
      <c r="E29" s="17"/>
      <c r="F29" s="17"/>
      <c r="G29" s="17"/>
    </row>
    <row r="33" spans="2:7">
      <c r="B33" t="s">
        <v>734</v>
      </c>
      <c r="C33" t="s">
        <v>432</v>
      </c>
      <c r="D33" t="s">
        <v>593</v>
      </c>
      <c r="E33" t="s">
        <v>731</v>
      </c>
      <c r="F33" t="s">
        <v>732</v>
      </c>
      <c r="G33" t="s">
        <v>733</v>
      </c>
    </row>
    <row r="34" spans="2:7">
      <c r="B34" t="s">
        <v>99</v>
      </c>
      <c r="C34" s="341">
        <f>('E-Costos'!B7-'E-Costos'!B24-'E-Costos'!G24)*InfoInicial!$B$3*'E-InvAT Datos y links'!$D$16/'E-InvAT Datos y links'!$D$17</f>
        <v>69304.435199999993</v>
      </c>
      <c r="D34" s="341">
        <f>('E-Costos'!C7-'E-Costos'!C24)*InfoInicial!$B$3*'E-InvAT Datos y links'!$E$16/'E-InvAT Datos y links'!$E$17</f>
        <v>69197.279880959992</v>
      </c>
      <c r="E34" s="341">
        <f>('E-Costos'!D7-'E-Costos'!D24)*InfoInicial!$B$3*'E-InvAT Datos y links'!$E$16/'E-InvAT Datos y links'!$E$17</f>
        <v>69197.279880959992</v>
      </c>
      <c r="F34" s="341">
        <f>('E-Costos'!E7-'E-Costos'!E24)*InfoInicial!$B$3*'E-InvAT Datos y links'!$E$16/'E-InvAT Datos y links'!$E$17</f>
        <v>69197.279880959992</v>
      </c>
      <c r="G34" s="341">
        <f>('E-Costos'!F7-'E-Costos'!F24)*InfoInicial!$B$3*'E-InvAT Datos y links'!$E$16/'E-InvAT Datos y links'!$E$17</f>
        <v>69197.279880959992</v>
      </c>
    </row>
    <row r="35" spans="2:7">
      <c r="B35" t="s">
        <v>104</v>
      </c>
      <c r="C35" s="341">
        <f>('E-Costos'!B12-'E-Costos'!B29-'E-Costos'!G29)*InfoInicial!$B$3*'E-InvAT Datos y links'!$D$16/'E-InvAT Datos y links'!$D$17</f>
        <v>1894.819578544771</v>
      </c>
      <c r="D35" s="341">
        <f>('E-Costos'!C12-'E-Costos'!C29)*InfoInicial!$B$3*'E-InvAT Datos y links'!$E$16/'E-InvAT Datos y links'!$E$17</f>
        <v>1877.1722770754611</v>
      </c>
      <c r="E35" s="341">
        <f>('E-Costos'!D12-'E-Costos'!D29)*InfoInicial!$B$3*'E-InvAT Datos y links'!$E$16/'E-InvAT Datos y links'!$E$17</f>
        <v>1877.1722770754611</v>
      </c>
      <c r="F35" s="341">
        <f>('E-Costos'!E12-'E-Costos'!E29)*InfoInicial!$B$3*'E-InvAT Datos y links'!$E$16/'E-InvAT Datos y links'!$E$17</f>
        <v>1893.4264313978422</v>
      </c>
      <c r="G35" s="341">
        <f>('E-Costos'!F12-'E-Costos'!F29)*InfoInicial!$B$3*'E-InvAT Datos y links'!$E$16/'E-InvAT Datos y links'!$E$17</f>
        <v>1893.4264313978422</v>
      </c>
    </row>
    <row r="36" spans="2:7">
      <c r="B36" t="s">
        <v>219</v>
      </c>
      <c r="C36" s="341">
        <f>(-'E-Costos'!B30-'E-Costos'!G30)*InfoInicial!$B$3*'E-InvAT Datos y links'!$D$16/'E-InvAT Datos y links'!$D$17</f>
        <v>0</v>
      </c>
      <c r="D36" s="341">
        <f>(-'E-Costos'!C30)*InfoInicial!$B$3*'E-InvAT Datos y links'!$E$16/'E-InvAT Datos y links'!$E$17</f>
        <v>0</v>
      </c>
      <c r="E36" s="341">
        <f>(-'E-Costos'!D30)*InfoInicial!$B$3*'E-InvAT Datos y links'!$E$16/'E-InvAT Datos y links'!$E$17</f>
        <v>0</v>
      </c>
      <c r="F36" s="341">
        <f>(-'E-Costos'!E30)*InfoInicial!$B$3*'E-InvAT Datos y links'!$E$16/'E-InvAT Datos y links'!$E$17</f>
        <v>0</v>
      </c>
      <c r="G36" s="341">
        <f>(-'E-Costos'!F30)*InfoInicial!$B$3*'E-InvAT Datos y links'!$E$16/'E-InvAT Datos y links'!$E$17</f>
        <v>0</v>
      </c>
    </row>
    <row r="37" spans="2:7">
      <c r="B37" t="s">
        <v>105</v>
      </c>
      <c r="C37" s="341">
        <f>('E-Costos'!B13-'E-Costos'!B31-'E-Costos'!G31)*InfoInicial!$B$3*'E-InvAT Datos y links'!$D$16/'E-InvAT Datos y links'!$D$17</f>
        <v>69.789081600000017</v>
      </c>
      <c r="D37" s="341">
        <f>('E-Costos'!C13-'E-Costos'!C31)*InfoInicial!$B$3*'E-InvAT Datos y links'!$E$16/'E-InvAT Datos y links'!$E$17</f>
        <v>69.737769875644432</v>
      </c>
      <c r="E37" s="341">
        <f>('E-Costos'!D13-'E-Costos'!D31)*InfoInicial!$B$3*'E-InvAT Datos y links'!$E$16/'E-InvAT Datos y links'!$E$17</f>
        <v>69.737769875644432</v>
      </c>
      <c r="F37" s="341">
        <f>('E-Costos'!E13-'E-Costos'!E31)*InfoInicial!$B$3*'E-InvAT Datos y links'!$E$16/'E-InvAT Datos y links'!$E$17</f>
        <v>69.737769875644432</v>
      </c>
      <c r="G37" s="341">
        <f>('E-Costos'!F13-'E-Costos'!F31)*InfoInicial!$B$3*'E-InvAT Datos y links'!$E$16/'E-InvAT Datos y links'!$E$17</f>
        <v>69.737769875644432</v>
      </c>
    </row>
    <row r="38" spans="2:7">
      <c r="B38" t="s">
        <v>157</v>
      </c>
      <c r="C38" s="341">
        <f>SUM(C34:C37)</f>
        <v>71269.043860144768</v>
      </c>
      <c r="D38" s="341">
        <f>SUM(D34:D37)</f>
        <v>71144.189927911095</v>
      </c>
      <c r="E38" s="341">
        <f t="shared" ref="E38:G38" si="0">SUM(E34:E37)</f>
        <v>71144.189927911095</v>
      </c>
      <c r="F38" s="341">
        <f t="shared" si="0"/>
        <v>71160.444082233487</v>
      </c>
      <c r="G38" s="341">
        <f t="shared" si="0"/>
        <v>71160.444082233487</v>
      </c>
    </row>
    <row r="39" spans="2:7">
      <c r="B39" t="s">
        <v>735</v>
      </c>
      <c r="C39" s="341">
        <f>C38</f>
        <v>71269.043860144768</v>
      </c>
      <c r="D39" s="341">
        <f>D38-C38</f>
        <v>-124.85393223367282</v>
      </c>
      <c r="E39" s="341">
        <f t="shared" ref="E39:G39" si="1">E38-D38</f>
        <v>0</v>
      </c>
      <c r="F39" s="341">
        <f t="shared" si="1"/>
        <v>16.254154322392424</v>
      </c>
      <c r="G39" s="341">
        <f t="shared" si="1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5"/>
  <sheetViews>
    <sheetView zoomScale="90" zoomScaleNormal="90" workbookViewId="0">
      <selection activeCell="K33" sqref="K33"/>
    </sheetView>
  </sheetViews>
  <sheetFormatPr baseColWidth="10" defaultColWidth="11.33203125" defaultRowHeight="13"/>
  <cols>
    <col min="1" max="1" width="28" style="17" customWidth="1"/>
    <col min="2" max="2" width="13.33203125" style="17" bestFit="1" customWidth="1"/>
    <col min="3" max="3" width="16" style="17" bestFit="1" customWidth="1"/>
    <col min="4" max="4" width="16.6640625" style="17" bestFit="1" customWidth="1"/>
    <col min="5" max="8" width="13.83203125" style="17" customWidth="1"/>
    <col min="9" max="9" width="16" style="17" bestFit="1" customWidth="1"/>
    <col min="10" max="10" width="17.33203125" style="17" customWidth="1"/>
    <col min="11" max="16384" width="11.33203125" style="17"/>
  </cols>
  <sheetData>
    <row r="1" spans="1:9">
      <c r="A1" s="1" t="s">
        <v>0</v>
      </c>
      <c r="B1"/>
      <c r="C1"/>
      <c r="D1"/>
      <c r="G1" s="2">
        <f>InfoInicial!E1</f>
        <v>14</v>
      </c>
    </row>
    <row r="3" spans="1:9" ht="16">
      <c r="A3" s="57" t="s">
        <v>193</v>
      </c>
      <c r="B3" s="58"/>
      <c r="C3" s="58"/>
      <c r="D3" s="58"/>
      <c r="E3" s="58"/>
      <c r="F3" s="58"/>
      <c r="G3" s="58"/>
      <c r="H3" s="58"/>
      <c r="I3" s="59"/>
    </row>
    <row r="4" spans="1:9" ht="26">
      <c r="A4" s="60" t="s">
        <v>94</v>
      </c>
      <c r="B4" s="110" t="s">
        <v>194</v>
      </c>
      <c r="C4" s="110" t="s">
        <v>195</v>
      </c>
      <c r="D4" s="22" t="s">
        <v>54</v>
      </c>
      <c r="E4" s="22" t="s">
        <v>95</v>
      </c>
      <c r="F4" s="22" t="s">
        <v>96</v>
      </c>
      <c r="G4" s="22" t="s">
        <v>97</v>
      </c>
      <c r="H4" s="111" t="s">
        <v>98</v>
      </c>
      <c r="I4" s="23" t="s">
        <v>196</v>
      </c>
    </row>
    <row r="5" spans="1:9">
      <c r="A5" s="106" t="s">
        <v>197</v>
      </c>
      <c r="B5" s="107"/>
      <c r="C5" s="107"/>
      <c r="D5" s="107"/>
      <c r="E5" s="107"/>
      <c r="F5" s="107"/>
      <c r="G5" s="107"/>
      <c r="H5" s="112"/>
      <c r="I5" s="108"/>
    </row>
    <row r="6" spans="1:9">
      <c r="A6" s="113" t="s">
        <v>198</v>
      </c>
      <c r="B6" s="65"/>
      <c r="C6" s="65">
        <f>'E-Inv AF y Am'!B20+'E-Inv AF y Am'!D20</f>
        <v>34482733.831574999</v>
      </c>
      <c r="D6" s="65"/>
      <c r="E6" s="65"/>
      <c r="F6" s="65"/>
      <c r="G6" s="65"/>
      <c r="H6" s="114"/>
      <c r="I6" s="66">
        <f>SUM(B6:H6)</f>
        <v>34482733.831574999</v>
      </c>
    </row>
    <row r="7" spans="1:9">
      <c r="A7" s="113" t="s">
        <v>199</v>
      </c>
      <c r="B7" s="65">
        <f>'E-Inv AF y Am'!B23+'E-Inv AF y Am'!B23*InfoInicial!B15</f>
        <v>155250</v>
      </c>
      <c r="C7" s="65">
        <f>SUM('E-Inv AF y Am'!B24:B28)+SUM('E-Inv AF y Am'!B24:B28)*InfoInicial!B15</f>
        <v>1138500</v>
      </c>
      <c r="D7" s="65">
        <f>'E-Inv AF y Am'!C31</f>
        <v>155250</v>
      </c>
      <c r="E7" s="65"/>
      <c r="F7" s="65"/>
      <c r="G7" s="65"/>
      <c r="H7" s="114"/>
      <c r="I7" s="66">
        <f t="shared" ref="I7:I25" si="0">SUM(B7:H7)</f>
        <v>1449000</v>
      </c>
    </row>
    <row r="8" spans="1:9">
      <c r="A8" s="106" t="s">
        <v>200</v>
      </c>
      <c r="B8" s="65">
        <f>B6+B7</f>
        <v>155250</v>
      </c>
      <c r="C8" s="65">
        <f>C6+C7</f>
        <v>35621233.831574999</v>
      </c>
      <c r="D8" s="65">
        <f>D6+D7</f>
        <v>155250</v>
      </c>
      <c r="E8" s="65"/>
      <c r="F8" s="65"/>
      <c r="G8" s="65"/>
      <c r="H8" s="114"/>
      <c r="I8" s="66">
        <f t="shared" si="0"/>
        <v>35931733.831574999</v>
      </c>
    </row>
    <row r="9" spans="1:9">
      <c r="A9" s="113"/>
      <c r="B9" s="86"/>
      <c r="C9" s="86"/>
      <c r="D9" s="86"/>
      <c r="E9" s="86"/>
      <c r="F9" s="86"/>
      <c r="G9" s="86"/>
      <c r="H9" s="115"/>
      <c r="I9" s="66"/>
    </row>
    <row r="10" spans="1:9">
      <c r="A10" s="106" t="s">
        <v>201</v>
      </c>
      <c r="B10" s="65"/>
      <c r="C10" s="65"/>
      <c r="D10" s="65"/>
      <c r="E10" s="65"/>
      <c r="F10" s="65"/>
      <c r="G10" s="65"/>
      <c r="H10" s="114"/>
      <c r="I10" s="66"/>
    </row>
    <row r="11" spans="1:9">
      <c r="A11" s="113" t="s">
        <v>202</v>
      </c>
      <c r="B11" s="65"/>
      <c r="C11" s="65">
        <f>'E-InvAT'!B6</f>
        <v>800000</v>
      </c>
      <c r="D11" s="65">
        <f>'E-InvAT'!C6-'E-InvAT'!B6</f>
        <v>200000</v>
      </c>
      <c r="E11" s="65">
        <f>'E-InvAT'!D6-'E-InvAT'!C6</f>
        <v>0</v>
      </c>
      <c r="F11" s="65">
        <f>'E-InvAT'!E6-'E-InvAT'!D6</f>
        <v>0</v>
      </c>
      <c r="G11" s="65">
        <f>'E-InvAT'!F6-'E-InvAT'!E6</f>
        <v>0</v>
      </c>
      <c r="H11" s="65">
        <f>'E-InvAT'!G6-'E-InvAT'!F6</f>
        <v>0</v>
      </c>
      <c r="I11" s="66">
        <f t="shared" si="0"/>
        <v>1000000</v>
      </c>
    </row>
    <row r="12" spans="1:9">
      <c r="A12" s="113" t="s">
        <v>203</v>
      </c>
      <c r="B12" s="65"/>
      <c r="C12" s="65"/>
      <c r="D12" s="65"/>
      <c r="E12" s="65"/>
      <c r="F12" s="65"/>
      <c r="G12" s="65"/>
      <c r="H12" s="114"/>
      <c r="I12" s="66">
        <f t="shared" si="0"/>
        <v>0</v>
      </c>
    </row>
    <row r="13" spans="1:9">
      <c r="A13" s="113" t="s">
        <v>204</v>
      </c>
      <c r="B13" s="65"/>
      <c r="C13" s="65"/>
      <c r="D13" s="65"/>
      <c r="E13" s="65"/>
      <c r="F13" s="65"/>
      <c r="G13" s="65"/>
      <c r="H13" s="114"/>
      <c r="I13" s="66"/>
    </row>
    <row r="14" spans="1:9">
      <c r="A14" s="113" t="s">
        <v>205</v>
      </c>
      <c r="B14" s="65"/>
      <c r="C14" s="65">
        <f>'E-InvAT'!B10</f>
        <v>11880000</v>
      </c>
      <c r="D14" s="65">
        <f>'E-InvAT'!C10-'E-InvAT'!B10</f>
        <v>-10046520</v>
      </c>
      <c r="E14" s="65">
        <f>'E-InvAT'!D10-'E-InvAT'!C10</f>
        <v>0</v>
      </c>
      <c r="F14" s="65">
        <f>'E-InvAT'!E10-'E-InvAT'!D10</f>
        <v>0</v>
      </c>
      <c r="G14" s="65">
        <f>'E-InvAT'!F10-'E-InvAT'!E10</f>
        <v>0</v>
      </c>
      <c r="H14" s="65">
        <f>'E-InvAT'!G10-'E-InvAT'!F10</f>
        <v>0</v>
      </c>
      <c r="I14" s="66">
        <f t="shared" si="0"/>
        <v>1833480</v>
      </c>
    </row>
    <row r="15" spans="1:9">
      <c r="A15" s="113" t="s">
        <v>206</v>
      </c>
      <c r="B15" s="65"/>
      <c r="C15" s="65">
        <f>'E-InvAT'!B11</f>
        <v>176442.14304144742</v>
      </c>
      <c r="D15" s="65">
        <f>'E-InvAT'!C11-'E-InvAT'!B11</f>
        <v>44110.535760361847</v>
      </c>
      <c r="E15" s="65">
        <f>'E-InvAT'!D11-'E-InvAT'!C11</f>
        <v>24505.853200201032</v>
      </c>
      <c r="F15" s="65">
        <f>'E-InvAT'!E11-'E-InvAT'!D11</f>
        <v>0</v>
      </c>
      <c r="G15" s="65">
        <f>'E-InvAT'!F11-'E-InvAT'!E11</f>
        <v>2012.2903200000292</v>
      </c>
      <c r="H15" s="65">
        <f>'E-InvAT'!G11-'E-InvAT'!F11</f>
        <v>0</v>
      </c>
      <c r="I15" s="66">
        <f t="shared" si="0"/>
        <v>247070.82232201032</v>
      </c>
    </row>
    <row r="16" spans="1:9">
      <c r="A16" s="113" t="s">
        <v>207</v>
      </c>
      <c r="B16" s="65"/>
      <c r="C16" s="374">
        <f>'E-InvAT'!B12</f>
        <v>0</v>
      </c>
      <c r="D16" s="374">
        <f>'E-InvAT'!C12-'E-InvAT'!B12</f>
        <v>26532</v>
      </c>
      <c r="E16" s="374">
        <f>'E-InvAT'!D12-'E-InvAT'!C12</f>
        <v>0</v>
      </c>
      <c r="F16" s="374">
        <f>'E-InvAT'!E12-'E-InvAT'!D12</f>
        <v>0</v>
      </c>
      <c r="G16" s="374">
        <f>'E-InvAT'!F12-'E-InvAT'!E12</f>
        <v>0</v>
      </c>
      <c r="H16" s="374">
        <f>'E-InvAT'!G12-'E-InvAT'!F12</f>
        <v>0</v>
      </c>
      <c r="I16" s="66">
        <f t="shared" si="0"/>
        <v>26532</v>
      </c>
    </row>
    <row r="17" spans="1:9">
      <c r="A17" s="113" t="s">
        <v>208</v>
      </c>
      <c r="B17" s="65"/>
      <c r="C17" s="374">
        <f>'E-InvAT'!B13</f>
        <v>0</v>
      </c>
      <c r="D17" s="374">
        <f>'E-InvAT'!C13-'E-InvAT'!B13</f>
        <v>317328</v>
      </c>
      <c r="E17" s="374">
        <f>'E-InvAT'!D13-'E-InvAT'!C13</f>
        <v>0</v>
      </c>
      <c r="F17" s="374">
        <f>'E-InvAT'!E13-'E-InvAT'!D13</f>
        <v>0</v>
      </c>
      <c r="G17" s="374">
        <f>'E-InvAT'!F13-'E-InvAT'!E13</f>
        <v>0</v>
      </c>
      <c r="H17" s="374">
        <f>'E-InvAT'!G13-'E-InvAT'!F13</f>
        <v>0</v>
      </c>
      <c r="I17" s="66">
        <f t="shared" si="0"/>
        <v>317328</v>
      </c>
    </row>
    <row r="18" spans="1:9">
      <c r="A18" s="106" t="s">
        <v>209</v>
      </c>
      <c r="B18" s="65">
        <f>SUM(B11:B17)</f>
        <v>0</v>
      </c>
      <c r="C18" s="65">
        <f t="shared" ref="C18:H18" si="1">SUM(C11:C17)</f>
        <v>12856442.143041447</v>
      </c>
      <c r="D18" s="65">
        <f t="shared" si="1"/>
        <v>-9458549.4642396383</v>
      </c>
      <c r="E18" s="65">
        <f t="shared" si="1"/>
        <v>24505.853200201032</v>
      </c>
      <c r="F18" s="65">
        <f t="shared" si="1"/>
        <v>0</v>
      </c>
      <c r="G18" s="65">
        <f t="shared" si="1"/>
        <v>2012.2903200000292</v>
      </c>
      <c r="H18" s="65">
        <f t="shared" si="1"/>
        <v>0</v>
      </c>
      <c r="I18" s="66">
        <f t="shared" si="0"/>
        <v>3424410.8223220096</v>
      </c>
    </row>
    <row r="19" spans="1:9">
      <c r="A19" s="113"/>
      <c r="B19" s="86"/>
      <c r="C19" s="86"/>
      <c r="D19" s="86"/>
      <c r="E19" s="86"/>
      <c r="F19" s="86"/>
      <c r="G19" s="86"/>
      <c r="H19" s="115"/>
      <c r="I19" s="66"/>
    </row>
    <row r="20" spans="1:9">
      <c r="A20" s="106" t="s">
        <v>210</v>
      </c>
      <c r="B20" s="86"/>
      <c r="C20" s="86"/>
      <c r="D20" s="86"/>
      <c r="E20" s="86"/>
      <c r="F20" s="86"/>
      <c r="G20" s="86"/>
      <c r="H20" s="115"/>
      <c r="I20" s="66"/>
    </row>
    <row r="21" spans="1:9">
      <c r="A21" s="113" t="s">
        <v>211</v>
      </c>
      <c r="B21" s="65">
        <f>B8*InfoInicial!B3</f>
        <v>32602.5</v>
      </c>
      <c r="C21" s="65">
        <f>C8*InfoInicial!B3</f>
        <v>7480459.1046307497</v>
      </c>
      <c r="D21" s="65">
        <f>D8*InfoInicial!B3</f>
        <v>32602.5</v>
      </c>
      <c r="E21" s="65"/>
      <c r="F21" s="65"/>
      <c r="G21" s="65"/>
      <c r="H21" s="114"/>
      <c r="I21" s="66">
        <f t="shared" si="0"/>
        <v>7545664.1046307497</v>
      </c>
    </row>
    <row r="22" spans="1:9">
      <c r="A22" s="113" t="s">
        <v>212</v>
      </c>
      <c r="B22" s="65">
        <f>InfoInicial!$B$3*'E-Cal Inv.'!B18</f>
        <v>0</v>
      </c>
      <c r="C22" s="65">
        <f>InfoInicial!$B$3*'E-Cal Inv.'!C18</f>
        <v>2699852.8500387035</v>
      </c>
      <c r="D22" s="65">
        <f>InfoInicial!$B$3*'E-Cal Inv.'!D18</f>
        <v>-1986295.387490324</v>
      </c>
      <c r="E22" s="65">
        <f>InfoInicial!$B$3*'E-Cal Inv.'!E18</f>
        <v>5146.2291720422163</v>
      </c>
      <c r="F22" s="65">
        <f>InfoInicial!$B$3*'E-Cal Inv.'!F18</f>
        <v>0</v>
      </c>
      <c r="G22" s="65">
        <f>InfoInicial!$B$3*'E-Cal Inv.'!G18</f>
        <v>422.58096720000611</v>
      </c>
      <c r="H22" s="65">
        <f>InfoInicial!$B$3*'E-Cal Inv.'!H18</f>
        <v>0</v>
      </c>
      <c r="I22" s="66">
        <f t="shared" si="0"/>
        <v>719126.27268762176</v>
      </c>
    </row>
    <row r="23" spans="1:9">
      <c r="A23" s="106" t="s">
        <v>213</v>
      </c>
      <c r="B23" s="65">
        <f>SUM(B21:B22)</f>
        <v>32602.5</v>
      </c>
      <c r="C23" s="65">
        <f t="shared" ref="C23:H23" si="2">SUM(C21:C22)</f>
        <v>10180311.954669453</v>
      </c>
      <c r="D23" s="65">
        <f>SUM(D21:D22)</f>
        <v>-1953692.887490324</v>
      </c>
      <c r="E23" s="65">
        <f t="shared" si="2"/>
        <v>5146.2291720422163</v>
      </c>
      <c r="F23" s="65">
        <f t="shared" si="2"/>
        <v>0</v>
      </c>
      <c r="G23" s="65">
        <f t="shared" si="2"/>
        <v>422.58096720000611</v>
      </c>
      <c r="H23" s="65">
        <f t="shared" si="2"/>
        <v>0</v>
      </c>
      <c r="I23" s="66">
        <f t="shared" si="0"/>
        <v>8264790.377318372</v>
      </c>
    </row>
    <row r="24" spans="1:9">
      <c r="A24" s="106"/>
      <c r="B24" s="86"/>
      <c r="C24" s="86"/>
      <c r="D24" s="86"/>
      <c r="E24" s="86"/>
      <c r="F24" s="86"/>
      <c r="G24" s="86"/>
      <c r="H24" s="115"/>
      <c r="I24" s="66"/>
    </row>
    <row r="25" spans="1:9">
      <c r="A25" s="109" t="s">
        <v>214</v>
      </c>
      <c r="B25" s="71">
        <f>B8+B18+B23</f>
        <v>187852.5</v>
      </c>
      <c r="C25" s="71">
        <f t="shared" ref="C25:H25" si="3">C8+C18+C23</f>
        <v>58657987.929285899</v>
      </c>
      <c r="D25" s="71">
        <f t="shared" si="3"/>
        <v>-11256992.351729963</v>
      </c>
      <c r="E25" s="71">
        <f t="shared" si="3"/>
        <v>29652.082372243247</v>
      </c>
      <c r="F25" s="71">
        <f t="shared" si="3"/>
        <v>0</v>
      </c>
      <c r="G25" s="71">
        <f t="shared" si="3"/>
        <v>2434.8712872000351</v>
      </c>
      <c r="H25" s="71">
        <f t="shared" si="3"/>
        <v>0</v>
      </c>
      <c r="I25" s="66">
        <f t="shared" si="0"/>
        <v>47620935.031215377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0"/>
  <sheetViews>
    <sheetView zoomScale="90" zoomScaleNormal="90" workbookViewId="0">
      <selection activeCell="I18" sqref="I18"/>
    </sheetView>
  </sheetViews>
  <sheetFormatPr baseColWidth="10" defaultColWidth="11.33203125" defaultRowHeight="13"/>
  <cols>
    <col min="1" max="1" width="28" style="17" customWidth="1"/>
    <col min="2" max="5" width="13.83203125" style="17" customWidth="1"/>
    <col min="6" max="6" width="14.33203125" style="17" bestFit="1" customWidth="1"/>
    <col min="7" max="7" width="13.1640625" style="17" bestFit="1" customWidth="1"/>
    <col min="8" max="8" width="17.33203125" style="17" customWidth="1"/>
    <col min="9" max="9" width="20.33203125" style="17" bestFit="1" customWidth="1"/>
    <col min="10" max="16384" width="11.33203125" style="17"/>
  </cols>
  <sheetData>
    <row r="1" spans="1:11">
      <c r="A1" s="386" t="s">
        <v>0</v>
      </c>
      <c r="B1" s="387">
        <v>14</v>
      </c>
      <c r="C1" s="290"/>
      <c r="D1" s="290"/>
      <c r="E1" s="290"/>
      <c r="F1" s="290"/>
      <c r="G1" s="291"/>
      <c r="H1"/>
      <c r="I1"/>
      <c r="J1"/>
      <c r="K1"/>
    </row>
    <row r="2" spans="1:11" ht="16">
      <c r="A2" s="388" t="s">
        <v>215</v>
      </c>
      <c r="B2" s="335"/>
      <c r="C2" s="335"/>
      <c r="D2" s="335"/>
      <c r="E2" s="335"/>
      <c r="F2" s="105"/>
      <c r="G2" s="293"/>
      <c r="H2"/>
      <c r="I2"/>
      <c r="J2"/>
      <c r="K2"/>
    </row>
    <row r="3" spans="1:11" ht="16">
      <c r="A3" s="388"/>
      <c r="B3" s="335" t="s">
        <v>216</v>
      </c>
      <c r="C3" s="335"/>
      <c r="D3" s="335"/>
      <c r="E3" s="335"/>
      <c r="F3" s="335"/>
      <c r="G3" s="293"/>
      <c r="H3"/>
      <c r="I3"/>
      <c r="J3"/>
      <c r="K3"/>
    </row>
    <row r="4" spans="1:11">
      <c r="A4" s="389" t="s">
        <v>94</v>
      </c>
      <c r="B4" s="336" t="s">
        <v>53</v>
      </c>
      <c r="C4" s="336" t="s">
        <v>54</v>
      </c>
      <c r="D4" s="336" t="s">
        <v>95</v>
      </c>
      <c r="E4" s="336" t="s">
        <v>96</v>
      </c>
      <c r="F4" s="336" t="s">
        <v>97</v>
      </c>
      <c r="G4" s="390" t="s">
        <v>98</v>
      </c>
      <c r="H4"/>
      <c r="I4" s="13"/>
      <c r="J4" s="334"/>
      <c r="K4"/>
    </row>
    <row r="5" spans="1:11">
      <c r="A5" s="389" t="s">
        <v>217</v>
      </c>
      <c r="B5" s="105"/>
      <c r="C5" s="105"/>
      <c r="D5" s="105"/>
      <c r="E5" s="105"/>
      <c r="F5" s="105"/>
      <c r="G5" s="293"/>
      <c r="H5"/>
      <c r="I5"/>
      <c r="J5"/>
      <c r="K5"/>
    </row>
    <row r="6" spans="1:11">
      <c r="A6" s="292" t="s">
        <v>218</v>
      </c>
      <c r="B6" s="342" t="s">
        <v>724</v>
      </c>
      <c r="C6" s="342">
        <f>InfoInicial!$B$3*'E-Costos'!B7</f>
        <v>2414772.36</v>
      </c>
      <c r="D6" s="342">
        <f>InfoInicial!$B$3*'E-Costos'!C7</f>
        <v>3603600</v>
      </c>
      <c r="E6" s="342">
        <f>InfoInicial!$B$3*'E-Costos'!D7</f>
        <v>3603600</v>
      </c>
      <c r="F6" s="342">
        <f>InfoInicial!$B$3*'E-Costos'!E7</f>
        <v>3603600</v>
      </c>
      <c r="G6" s="391">
        <f>InfoInicial!$B$3*'E-Costos'!F7</f>
        <v>3603600</v>
      </c>
      <c r="H6"/>
      <c r="I6"/>
      <c r="J6"/>
      <c r="K6"/>
    </row>
    <row r="7" spans="1:11">
      <c r="A7" s="292" t="s">
        <v>104</v>
      </c>
      <c r="B7" s="342" t="s">
        <v>724</v>
      </c>
      <c r="C7" s="342">
        <f>InfoInicial!$B$3*'E-Costos'!B12</f>
        <v>87911.235534533669</v>
      </c>
      <c r="D7" s="342">
        <f>InfoInicial!$B$3*'E-Costos'!C12</f>
        <v>97679.150593926301</v>
      </c>
      <c r="E7" s="342">
        <f>InfoInicial!$B$3*'E-Costos'!D12</f>
        <v>97679.150593926301</v>
      </c>
      <c r="F7" s="342">
        <f>InfoInicial!$B$3*'E-Costos'!E12</f>
        <v>98524.312528326293</v>
      </c>
      <c r="G7" s="391">
        <f>InfoInicial!$B$3*'E-Costos'!F12</f>
        <v>98524.312528326293</v>
      </c>
      <c r="H7"/>
      <c r="I7"/>
      <c r="J7"/>
      <c r="K7"/>
    </row>
    <row r="8" spans="1:11">
      <c r="A8" s="292" t="s">
        <v>219</v>
      </c>
      <c r="B8" s="342" t="s">
        <v>724</v>
      </c>
      <c r="C8" s="342" t="s">
        <v>576</v>
      </c>
      <c r="D8" s="342" t="s">
        <v>576</v>
      </c>
      <c r="E8" s="342" t="s">
        <v>576</v>
      </c>
      <c r="F8" s="342" t="s">
        <v>576</v>
      </c>
      <c r="G8" s="391" t="s">
        <v>576</v>
      </c>
      <c r="H8"/>
      <c r="I8"/>
      <c r="J8"/>
      <c r="K8"/>
    </row>
    <row r="9" spans="1:11">
      <c r="A9" s="292" t="s">
        <v>105</v>
      </c>
      <c r="B9" s="342" t="s">
        <v>724</v>
      </c>
      <c r="C9" s="342">
        <f>InfoInicial!$B$3*'E-Costos'!B13</f>
        <v>3447.3600000000006</v>
      </c>
      <c r="D9" s="342">
        <f>InfoInicial!$B$3*'E-Costos'!C13</f>
        <v>3628.8000000000006</v>
      </c>
      <c r="E9" s="342">
        <f>InfoInicial!$B$3*'E-Costos'!D13</f>
        <v>3628.8000000000006</v>
      </c>
      <c r="F9" s="342">
        <f>InfoInicial!$B$3*'E-Costos'!E13</f>
        <v>3628.8000000000006</v>
      </c>
      <c r="G9" s="391">
        <f>InfoInicial!$B$3*'E-Costos'!F13</f>
        <v>3628.8000000000006</v>
      </c>
      <c r="H9"/>
      <c r="I9"/>
      <c r="J9"/>
      <c r="K9"/>
    </row>
    <row r="10" spans="1:11">
      <c r="A10" s="292" t="s">
        <v>220</v>
      </c>
      <c r="B10" s="342" t="s">
        <v>724</v>
      </c>
      <c r="C10" s="342" t="s">
        <v>576</v>
      </c>
      <c r="D10" s="342" t="s">
        <v>576</v>
      </c>
      <c r="E10" s="342" t="s">
        <v>576</v>
      </c>
      <c r="F10" s="342" t="s">
        <v>576</v>
      </c>
      <c r="G10" s="391" t="s">
        <v>576</v>
      </c>
      <c r="H10"/>
      <c r="I10"/>
      <c r="J10"/>
      <c r="K10"/>
    </row>
    <row r="11" spans="1:11">
      <c r="A11" s="292" t="s">
        <v>129</v>
      </c>
      <c r="B11" s="342" t="s">
        <v>724</v>
      </c>
      <c r="C11" s="342" t="s">
        <v>576</v>
      </c>
      <c r="D11" s="342" t="s">
        <v>576</v>
      </c>
      <c r="E11" s="342" t="s">
        <v>576</v>
      </c>
      <c r="F11" s="342" t="s">
        <v>576</v>
      </c>
      <c r="G11" s="391" t="s">
        <v>576</v>
      </c>
      <c r="H11"/>
      <c r="I11"/>
      <c r="J11"/>
      <c r="K11"/>
    </row>
    <row r="12" spans="1:11">
      <c r="A12" s="389" t="s">
        <v>89</v>
      </c>
      <c r="B12" s="342" t="s">
        <v>724</v>
      </c>
      <c r="C12" s="342">
        <f>SUM(C6:C11)</f>
        <v>2506130.9555345336</v>
      </c>
      <c r="D12" s="342">
        <f t="shared" ref="D12:G12" si="0">SUM(D6:D11)</f>
        <v>3704907.950593926</v>
      </c>
      <c r="E12" s="342">
        <f t="shared" si="0"/>
        <v>3704907.950593926</v>
      </c>
      <c r="F12" s="342">
        <f t="shared" si="0"/>
        <v>3705753.112528326</v>
      </c>
      <c r="G12" s="391">
        <f t="shared" si="0"/>
        <v>3705753.112528326</v>
      </c>
      <c r="H12"/>
      <c r="I12"/>
      <c r="J12"/>
      <c r="K12"/>
    </row>
    <row r="13" spans="1:11">
      <c r="A13" s="292" t="s">
        <v>221</v>
      </c>
      <c r="B13" s="342" t="s">
        <v>724</v>
      </c>
      <c r="C13" s="342">
        <f>('E-Costos'!G34-'E-Costos'!G25)*InfoInicial!B3</f>
        <v>109235.7600277997</v>
      </c>
      <c r="D13" s="342">
        <v>0</v>
      </c>
      <c r="E13" s="342">
        <v>0</v>
      </c>
      <c r="F13" s="342">
        <v>0</v>
      </c>
      <c r="G13" s="391">
        <v>0</v>
      </c>
      <c r="H13"/>
      <c r="I13"/>
      <c r="J13"/>
      <c r="K13"/>
    </row>
    <row r="14" spans="1:11">
      <c r="A14" s="292" t="s">
        <v>725</v>
      </c>
      <c r="B14" s="342"/>
      <c r="C14" s="342"/>
      <c r="D14" s="342"/>
      <c r="E14" s="342"/>
      <c r="F14" s="342"/>
      <c r="G14" s="391"/>
      <c r="H14"/>
      <c r="I14"/>
      <c r="J14"/>
      <c r="K14"/>
    </row>
    <row r="15" spans="1:11">
      <c r="A15" s="292" t="s">
        <v>222</v>
      </c>
      <c r="B15" s="342" t="s">
        <v>724</v>
      </c>
      <c r="C15" s="342">
        <f>'E-InvAT'!C32</f>
        <v>5646.8270544553261</v>
      </c>
      <c r="D15" s="342">
        <f>'E-InvAT'!D32</f>
        <v>-2.4098056883303797E-13</v>
      </c>
      <c r="E15" s="342">
        <f>'E-InvAT'!E32</f>
        <v>-2.4098056883303797E-13</v>
      </c>
      <c r="F15" s="342">
        <f>'E-InvAT'!F32</f>
        <v>-2.4098056883303797E-13</v>
      </c>
      <c r="G15" s="391">
        <f>'E-InvAT'!G32</f>
        <v>-2.4098056883303797E-13</v>
      </c>
      <c r="H15"/>
      <c r="I15"/>
      <c r="J15"/>
      <c r="K15"/>
    </row>
    <row r="16" spans="1:11">
      <c r="A16" s="292" t="s">
        <v>223</v>
      </c>
      <c r="B16" s="342" t="s">
        <v>724</v>
      </c>
      <c r="C16" s="342">
        <f>'E-InvAT'!C33</f>
        <v>71269.043860144768</v>
      </c>
      <c r="D16" s="342">
        <f>'E-InvAT'!D33</f>
        <v>-124.85393223367282</v>
      </c>
      <c r="E16" s="342">
        <f>'E-InvAT'!E33</f>
        <v>0</v>
      </c>
      <c r="F16" s="342">
        <f>'E-InvAT'!F33</f>
        <v>16.254154322392424</v>
      </c>
      <c r="G16" s="391">
        <f>'E-InvAT'!G33</f>
        <v>0</v>
      </c>
      <c r="H16"/>
      <c r="I16"/>
      <c r="J16"/>
      <c r="K16"/>
    </row>
    <row r="17" spans="1:11">
      <c r="A17" s="389" t="s">
        <v>224</v>
      </c>
      <c r="B17" s="342" t="s">
        <v>724</v>
      </c>
      <c r="C17" s="342">
        <f>C12-C13-C15-C16</f>
        <v>2319979.3245921335</v>
      </c>
      <c r="D17" s="342">
        <f>D12-D13-D15-D16</f>
        <v>3705032.8045261595</v>
      </c>
      <c r="E17" s="342">
        <f>E12-E13-E15-E16</f>
        <v>3704907.950593926</v>
      </c>
      <c r="F17" s="342">
        <f>F12-F13-F15-F16</f>
        <v>3705736.8583740038</v>
      </c>
      <c r="G17" s="391">
        <f>G12-G13-G15-G16</f>
        <v>3705753.112528326</v>
      </c>
      <c r="H17"/>
      <c r="I17"/>
      <c r="J17"/>
      <c r="K17"/>
    </row>
    <row r="18" spans="1:11">
      <c r="A18" s="389" t="s">
        <v>225</v>
      </c>
      <c r="B18" s="342" t="s">
        <v>724</v>
      </c>
      <c r="C18" s="344">
        <f>InfoInicial!$B$3*('E-Costos'!B53+'E-Costos'!B54+'E-Costos'!B55+'E-Costos'!B56)</f>
        <v>41780.837913074916</v>
      </c>
      <c r="D18" s="344">
        <f>InfoInicial!$B$3*('E-Costos'!C53+'E-Costos'!C54+'E-Costos'!C55+'E-Costos'!C56)</f>
        <v>44308.955535983252</v>
      </c>
      <c r="E18" s="344">
        <f>InfoInicial!$B$3*('E-Costos'!D53+'E-Costos'!D54+'E-Costos'!D55+'E-Costos'!D56)</f>
        <v>44308.955535983252</v>
      </c>
      <c r="F18" s="344">
        <f>InfoInicial!$B$3*('E-Costos'!E53+'E-Costos'!E54+'E-Costos'!E55+'E-Costos'!E56)</f>
        <v>44308.955535983252</v>
      </c>
      <c r="G18" s="392">
        <f>InfoInicial!$B$3*('E-Costos'!F53+'E-Costos'!F54+'E-Costos'!F55+'E-Costos'!F56)</f>
        <v>44308.955535983252</v>
      </c>
      <c r="H18"/>
      <c r="I18"/>
      <c r="J18"/>
      <c r="K18"/>
    </row>
    <row r="19" spans="1:11">
      <c r="A19" s="389" t="s">
        <v>226</v>
      </c>
      <c r="B19" s="342" t="s">
        <v>724</v>
      </c>
      <c r="C19" s="344">
        <f>InfoInicial!$B$3*('E-Costos'!B70+'E-Costos'!B71+'E-Costos'!B72+'E-Costos'!B73)</f>
        <v>41160.053945452448</v>
      </c>
      <c r="D19" s="344">
        <f>InfoInicial!$B$3*('E-Costos'!C70+'E-Costos'!C71+'E-Costos'!C72+'E-Costos'!C73)</f>
        <v>42685.862238624934</v>
      </c>
      <c r="E19" s="344">
        <f>InfoInicial!$B$3*('E-Costos'!D70+'E-Costos'!D71+'E-Costos'!D72+'E-Costos'!D73)</f>
        <v>42685.862238624934</v>
      </c>
      <c r="F19" s="344">
        <f>InfoInicial!$B$3*('E-Costos'!E70+'E-Costos'!E71+'E-Costos'!E72+'E-Costos'!E73)</f>
        <v>42685.862238624934</v>
      </c>
      <c r="G19" s="392">
        <f>InfoInicial!$B$3*('E-Costos'!F70+'E-Costos'!F71+'E-Costos'!F72+'E-Costos'!F73)</f>
        <v>42685.862238624934</v>
      </c>
      <c r="H19"/>
      <c r="I19"/>
      <c r="J19"/>
      <c r="K19"/>
    </row>
    <row r="20" spans="1:11">
      <c r="A20" s="389"/>
      <c r="B20" s="342"/>
      <c r="C20" s="342"/>
      <c r="D20" s="342"/>
      <c r="E20" s="342"/>
      <c r="F20" s="342"/>
      <c r="G20" s="391"/>
      <c r="H20"/>
      <c r="I20"/>
      <c r="J20"/>
      <c r="K20"/>
    </row>
    <row r="21" spans="1:11">
      <c r="A21" s="292" t="s">
        <v>227</v>
      </c>
      <c r="B21" s="342"/>
      <c r="C21" s="342">
        <f>C17+C18+C19</f>
        <v>2402920.216450661</v>
      </c>
      <c r="D21" s="342">
        <f>D17+D18+D19</f>
        <v>3792027.6223007678</v>
      </c>
      <c r="E21" s="342">
        <f>E17+E18+E19</f>
        <v>3791902.7683685343</v>
      </c>
      <c r="F21" s="342">
        <f>F17+F18+F19</f>
        <v>3792731.6761486121</v>
      </c>
      <c r="G21" s="391">
        <f>G17+G18+G19</f>
        <v>3792747.9303029343</v>
      </c>
      <c r="H21"/>
      <c r="I21"/>
      <c r="J21"/>
      <c r="K21"/>
    </row>
    <row r="22" spans="1:11">
      <c r="A22" s="292" t="s">
        <v>228</v>
      </c>
      <c r="B22" s="342"/>
      <c r="C22" s="342">
        <f>'E-Costos'!B87*InfoInicial!$B$3</f>
        <v>6573504</v>
      </c>
      <c r="D22" s="342">
        <f>'E-Costos'!C87*InfoInicial!$B$3</f>
        <v>10500000</v>
      </c>
      <c r="E22" s="342">
        <f>'E-Costos'!D87*InfoInicial!$B$3</f>
        <v>10500000</v>
      </c>
      <c r="F22" s="342">
        <f>'E-Costos'!E87*InfoInicial!$B$3</f>
        <v>10500000</v>
      </c>
      <c r="G22" s="391">
        <f>'E-Costos'!F87*InfoInicial!$B$3</f>
        <v>10500000</v>
      </c>
      <c r="H22"/>
      <c r="I22"/>
      <c r="J22"/>
      <c r="K22"/>
    </row>
    <row r="23" spans="1:11">
      <c r="A23" s="389" t="s">
        <v>229</v>
      </c>
      <c r="B23" s="342"/>
      <c r="C23" s="342">
        <f>C22-C21</f>
        <v>4170583.783549339</v>
      </c>
      <c r="D23" s="342">
        <f>D22-D21</f>
        <v>6707972.3776992317</v>
      </c>
      <c r="E23" s="342">
        <f t="shared" ref="E23:G23" si="1">E22-E21</f>
        <v>6708097.2316314653</v>
      </c>
      <c r="F23" s="342">
        <f t="shared" si="1"/>
        <v>6707268.3238513879</v>
      </c>
      <c r="G23" s="391">
        <f t="shared" si="1"/>
        <v>6707252.0696970653</v>
      </c>
      <c r="H23"/>
      <c r="I23"/>
      <c r="J23"/>
      <c r="K23"/>
    </row>
    <row r="24" spans="1:11">
      <c r="A24" s="292"/>
      <c r="B24" s="342"/>
      <c r="C24" s="342"/>
      <c r="D24" s="342"/>
      <c r="E24" s="342"/>
      <c r="F24" s="342"/>
      <c r="G24" s="391"/>
      <c r="H24"/>
      <c r="I24"/>
      <c r="J24"/>
      <c r="K24"/>
    </row>
    <row r="25" spans="1:11">
      <c r="A25" s="389" t="s">
        <v>230</v>
      </c>
      <c r="B25" s="342"/>
      <c r="C25" s="342">
        <f>B27</f>
        <v>10212914.454669453</v>
      </c>
      <c r="D25" s="342">
        <f t="shared" ref="D25:G25" si="2">C27</f>
        <v>4088637.7836297904</v>
      </c>
      <c r="E25" s="342">
        <f t="shared" si="2"/>
        <v>0</v>
      </c>
      <c r="F25" s="342">
        <f t="shared" si="2"/>
        <v>0</v>
      </c>
      <c r="G25" s="391">
        <f t="shared" si="2"/>
        <v>0</v>
      </c>
      <c r="H25"/>
      <c r="I25"/>
      <c r="J25"/>
      <c r="K25"/>
    </row>
    <row r="26" spans="1:11">
      <c r="A26" s="389" t="s">
        <v>231</v>
      </c>
      <c r="B26" s="342">
        <f>'E-Cal Inv.'!B23+'E-Cal Inv.'!C23</f>
        <v>10212914.454669453</v>
      </c>
      <c r="C26" s="342">
        <f>'E-Cal Inv.'!D23</f>
        <v>-1953692.887490324</v>
      </c>
      <c r="D26" s="342">
        <f>'E-Cal Inv.'!E23</f>
        <v>5146.2291720422163</v>
      </c>
      <c r="E26" s="342">
        <f>'E-Cal Inv.'!F23</f>
        <v>0</v>
      </c>
      <c r="F26" s="342">
        <f>'E-Cal Inv.'!G23</f>
        <v>422.58096720000611</v>
      </c>
      <c r="G26" s="391">
        <f>'E-Cal Inv.'!H23</f>
        <v>0</v>
      </c>
      <c r="H26"/>
      <c r="I26"/>
      <c r="J26"/>
      <c r="K26"/>
    </row>
    <row r="27" spans="1:11">
      <c r="A27" s="389" t="s">
        <v>232</v>
      </c>
      <c r="B27" s="342">
        <f>B25+B26-B23</f>
        <v>10212914.454669453</v>
      </c>
      <c r="C27" s="342">
        <f t="shared" ref="C27" si="3">C25+C26-C23</f>
        <v>4088637.7836297904</v>
      </c>
      <c r="D27" s="342">
        <v>0</v>
      </c>
      <c r="E27" s="342">
        <v>0</v>
      </c>
      <c r="F27" s="342">
        <v>0</v>
      </c>
      <c r="G27" s="391">
        <v>0</v>
      </c>
      <c r="H27"/>
      <c r="I27"/>
      <c r="J27"/>
      <c r="K27"/>
    </row>
    <row r="28" spans="1:11" ht="14" thickBot="1">
      <c r="A28" s="393" t="s">
        <v>233</v>
      </c>
      <c r="B28" s="394">
        <f>B25+B26-B27</f>
        <v>0</v>
      </c>
      <c r="C28" s="394">
        <f t="shared" ref="C28:G28" si="4">C25+C26-C27</f>
        <v>4170583.783549339</v>
      </c>
      <c r="D28" s="394">
        <f t="shared" si="4"/>
        <v>4093784.0128018325</v>
      </c>
      <c r="E28" s="394">
        <f t="shared" si="4"/>
        <v>0</v>
      </c>
      <c r="F28" s="394">
        <f t="shared" si="4"/>
        <v>422.58096720000611</v>
      </c>
      <c r="G28" s="395">
        <f t="shared" si="4"/>
        <v>0</v>
      </c>
      <c r="H28"/>
      <c r="I28"/>
      <c r="J28"/>
      <c r="K28"/>
    </row>
    <row r="29" spans="1:11">
      <c r="A29"/>
      <c r="B29" s="343"/>
      <c r="C29" s="343"/>
      <c r="D29" s="343"/>
      <c r="E29" s="343"/>
      <c r="F29" s="343"/>
      <c r="G29" s="343"/>
      <c r="H29"/>
      <c r="I29"/>
      <c r="J29"/>
      <c r="K29"/>
    </row>
    <row r="30" spans="1:11">
      <c r="A30" s="13" t="s">
        <v>726</v>
      </c>
      <c r="B30" s="345">
        <f>B23-B28</f>
        <v>0</v>
      </c>
      <c r="C30" s="345">
        <f t="shared" ref="C30:E30" si="5">C23-C28</f>
        <v>0</v>
      </c>
      <c r="D30" s="345">
        <f t="shared" si="5"/>
        <v>2614188.3648973992</v>
      </c>
      <c r="E30" s="345">
        <f t="shared" si="5"/>
        <v>6708097.2316314653</v>
      </c>
      <c r="F30" s="345">
        <f>F23-F27</f>
        <v>6707268.3238513879</v>
      </c>
      <c r="G30" s="345">
        <f>G23-G27</f>
        <v>6707252.0696970653</v>
      </c>
      <c r="H30"/>
      <c r="I30"/>
      <c r="J30"/>
      <c r="K30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InfoInicial</vt:lpstr>
      <vt:lpstr>E-Inv AF y Am</vt:lpstr>
      <vt:lpstr>E-Inv AF y Am Datos y links</vt:lpstr>
      <vt:lpstr>E-Costos</vt:lpstr>
      <vt:lpstr>E-Costos Datos y links</vt:lpstr>
      <vt:lpstr>E-InvAT</vt:lpstr>
      <vt:lpstr>E-InvAT Datos y links</vt:lpstr>
      <vt:lpstr>E-Cal Inv.</vt:lpstr>
      <vt:lpstr>E-IVA 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Laritines</dc:creator>
  <cp:lastModifiedBy>Matias Benedetto</cp:lastModifiedBy>
  <dcterms:created xsi:type="dcterms:W3CDTF">2018-09-19T18:30:49Z</dcterms:created>
  <dcterms:modified xsi:type="dcterms:W3CDTF">2018-09-21T18:35:15Z</dcterms:modified>
</cp:coreProperties>
</file>