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1f43da1d9f56de74/Facu/Evaluación de Proyectos/"/>
    </mc:Choice>
  </mc:AlternateContent>
  <bookViews>
    <workbookView xWindow="0" yWindow="0" windowWidth="28800" windowHeight="12435"/>
  </bookViews>
  <sheets>
    <sheet name="Desperdicios" sheetId="9" r:id="rId1"/>
    <sheet name="Ritmo trabajo" sheetId="2" r:id="rId2"/>
    <sheet name="Capacidades" sheetId="3" r:id="rId3"/>
    <sheet name="Stock PT" sheetId="5" r:id="rId4"/>
    <sheet name="Ev.  Prod." sheetId="4" r:id="rId5"/>
    <sheet name="Consmo MP" sheetId="7" r:id="rId6"/>
    <sheet name="Ventas" sheetId="6" r:id="rId7"/>
    <sheet name="Stock MP" sheetId="8" r:id="rId8"/>
    <sheet name="Resumen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0" l="1"/>
  <c r="H20" i="10"/>
  <c r="H19" i="10"/>
  <c r="G21" i="10"/>
  <c r="G20" i="10"/>
  <c r="G19" i="10"/>
  <c r="N22" i="8"/>
  <c r="I22" i="8"/>
  <c r="H22" i="8"/>
  <c r="D22" i="8"/>
  <c r="H11" i="10"/>
  <c r="H12" i="10"/>
  <c r="H10" i="10"/>
  <c r="G12" i="10"/>
  <c r="G11" i="10"/>
  <c r="G10" i="10"/>
  <c r="F21" i="10"/>
  <c r="F18" i="10" s="1"/>
  <c r="F20" i="10"/>
  <c r="F17" i="10" s="1"/>
  <c r="F19" i="10"/>
  <c r="F16" i="10" s="1"/>
  <c r="H16" i="10"/>
  <c r="G18" i="10"/>
  <c r="H18" i="10" s="1"/>
  <c r="G17" i="10"/>
  <c r="H17" i="10" s="1"/>
  <c r="G16" i="10"/>
  <c r="M22" i="8"/>
  <c r="C22" i="8"/>
  <c r="G7" i="10"/>
  <c r="H7" i="10"/>
  <c r="H6" i="10"/>
  <c r="G6" i="10"/>
  <c r="H5" i="10"/>
  <c r="G5" i="10"/>
  <c r="H4" i="10"/>
  <c r="G4" i="10"/>
  <c r="M14" i="8"/>
  <c r="M15" i="8"/>
  <c r="M16" i="8"/>
  <c r="M17" i="8"/>
  <c r="M18" i="8"/>
  <c r="M19" i="8"/>
  <c r="M20" i="8"/>
  <c r="M21" i="8"/>
  <c r="M13" i="8"/>
  <c r="M12" i="8"/>
  <c r="N13" i="8"/>
  <c r="N14" i="8"/>
  <c r="N15" i="8"/>
  <c r="N16" i="8"/>
  <c r="N17" i="8"/>
  <c r="N18" i="8"/>
  <c r="N19" i="8"/>
  <c r="N20" i="8"/>
  <c r="N21" i="8"/>
  <c r="N12" i="8"/>
  <c r="M11" i="8"/>
  <c r="M10" i="8"/>
  <c r="N9" i="8"/>
  <c r="M9" i="8"/>
  <c r="H14" i="8"/>
  <c r="H15" i="8"/>
  <c r="H16" i="8"/>
  <c r="H17" i="8"/>
  <c r="H18" i="8"/>
  <c r="H19" i="8"/>
  <c r="H20" i="8"/>
  <c r="H21" i="8"/>
  <c r="H13" i="8"/>
  <c r="I13" i="8"/>
  <c r="I14" i="8"/>
  <c r="I15" i="8"/>
  <c r="I16" i="8"/>
  <c r="I17" i="8"/>
  <c r="I18" i="8"/>
  <c r="I19" i="8"/>
  <c r="I20" i="8"/>
  <c r="I21" i="8"/>
  <c r="I12" i="8"/>
  <c r="H12" i="8"/>
  <c r="H11" i="8"/>
  <c r="H10" i="8"/>
  <c r="H9" i="8"/>
  <c r="I9" i="8"/>
  <c r="C14" i="8"/>
  <c r="C15" i="8"/>
  <c r="C16" i="8"/>
  <c r="C17" i="8"/>
  <c r="C18" i="8"/>
  <c r="C19" i="8"/>
  <c r="C20" i="8"/>
  <c r="C21" i="8"/>
  <c r="C13" i="8"/>
  <c r="D13" i="8"/>
  <c r="D14" i="8"/>
  <c r="D15" i="8"/>
  <c r="D16" i="8"/>
  <c r="D17" i="8"/>
  <c r="D18" i="8"/>
  <c r="D19" i="8"/>
  <c r="D20" i="8"/>
  <c r="D21" i="8"/>
  <c r="D12" i="8"/>
  <c r="C12" i="8"/>
  <c r="C11" i="8"/>
  <c r="C10" i="8"/>
  <c r="D9" i="8"/>
  <c r="C9" i="8"/>
  <c r="D11" i="9"/>
  <c r="C17" i="9" s="1"/>
  <c r="L10" i="9"/>
  <c r="E6" i="9"/>
  <c r="L11" i="9" s="1"/>
  <c r="E5" i="9"/>
  <c r="E4" i="9"/>
  <c r="I17" i="9" s="1"/>
  <c r="K34" i="7"/>
  <c r="K26" i="7"/>
  <c r="K27" i="7"/>
  <c r="K28" i="7"/>
  <c r="K29" i="7"/>
  <c r="K30" i="7"/>
  <c r="K31" i="7"/>
  <c r="K32" i="7"/>
  <c r="K33" i="7"/>
  <c r="K25" i="7"/>
  <c r="L9" i="9" l="1"/>
  <c r="G17" i="9" s="1"/>
  <c r="E17" i="9" s="1"/>
  <c r="P7" i="7" l="1"/>
  <c r="P8" i="7"/>
  <c r="P9" i="7"/>
  <c r="P10" i="7"/>
  <c r="P11" i="7"/>
  <c r="P12" i="7"/>
  <c r="P13" i="7"/>
  <c r="P14" i="7"/>
  <c r="P15" i="7"/>
  <c r="P6" i="7"/>
  <c r="N7" i="7"/>
  <c r="N8" i="7"/>
  <c r="N9" i="7"/>
  <c r="N10" i="7"/>
  <c r="N11" i="7"/>
  <c r="N12" i="7"/>
  <c r="N13" i="7"/>
  <c r="N14" i="7"/>
  <c r="N15" i="7"/>
  <c r="N6" i="7"/>
  <c r="O7" i="7"/>
  <c r="O8" i="7"/>
  <c r="O9" i="7"/>
  <c r="O10" i="7"/>
  <c r="O11" i="7"/>
  <c r="O12" i="7"/>
  <c r="O13" i="7"/>
  <c r="O14" i="7"/>
  <c r="O15" i="7"/>
  <c r="O6" i="7"/>
  <c r="M7" i="7"/>
  <c r="M8" i="7"/>
  <c r="M9" i="7"/>
  <c r="M10" i="7"/>
  <c r="M11" i="7"/>
  <c r="M12" i="7"/>
  <c r="M13" i="7"/>
  <c r="M14" i="7"/>
  <c r="M15" i="7"/>
  <c r="L7" i="7"/>
  <c r="L8" i="7"/>
  <c r="L9" i="7"/>
  <c r="L10" i="7"/>
  <c r="L11" i="7"/>
  <c r="L12" i="7"/>
  <c r="L13" i="7"/>
  <c r="L14" i="7"/>
  <c r="L15" i="7"/>
  <c r="M6" i="7"/>
  <c r="L6" i="7"/>
  <c r="K7" i="7"/>
  <c r="K8" i="7"/>
  <c r="K9" i="7"/>
  <c r="K10" i="7"/>
  <c r="K11" i="7"/>
  <c r="K12" i="7"/>
  <c r="K13" i="7"/>
  <c r="K14" i="7"/>
  <c r="K15" i="7"/>
  <c r="K6" i="7"/>
  <c r="E6" i="7"/>
  <c r="I11" i="4"/>
  <c r="I12" i="4"/>
  <c r="I10" i="4"/>
  <c r="D10" i="5"/>
  <c r="B8" i="5"/>
  <c r="F18" i="4"/>
  <c r="F16" i="4"/>
  <c r="K11" i="4"/>
  <c r="K12" i="4"/>
  <c r="K13" i="4" s="1"/>
  <c r="F17" i="4" s="1"/>
  <c r="C4" i="6" s="1"/>
  <c r="K10" i="4"/>
  <c r="G11" i="4"/>
  <c r="G12" i="4"/>
  <c r="G10" i="4"/>
  <c r="E12" i="4"/>
  <c r="C12" i="4"/>
  <c r="E11" i="4"/>
  <c r="C11" i="4"/>
  <c r="E10" i="4"/>
  <c r="G5" i="3" l="1"/>
  <c r="I5" i="3" s="1"/>
  <c r="G7" i="3"/>
  <c r="I7" i="3" s="1"/>
  <c r="G9" i="3"/>
  <c r="I9" i="3" s="1"/>
  <c r="G11" i="3"/>
  <c r="I11" i="3" s="1"/>
  <c r="G13" i="3"/>
  <c r="I13" i="3" s="1"/>
  <c r="G15" i="3"/>
  <c r="I15" i="3" s="1"/>
  <c r="G17" i="3"/>
  <c r="I17" i="3" s="1"/>
  <c r="G19" i="3"/>
  <c r="I19" i="3" s="1"/>
  <c r="G21" i="3"/>
  <c r="I21" i="3" s="1"/>
  <c r="G23" i="3"/>
  <c r="I23" i="3" s="1"/>
  <c r="G25" i="3"/>
  <c r="I25" i="3" s="1"/>
  <c r="G4" i="3"/>
  <c r="I4" i="3" s="1"/>
  <c r="F10" i="2"/>
  <c r="G6" i="3" s="1"/>
  <c r="I6" i="3" s="1"/>
  <c r="G26" i="3" l="1"/>
  <c r="I26" i="3" s="1"/>
  <c r="G24" i="3"/>
  <c r="I24" i="3" s="1"/>
  <c r="G22" i="3"/>
  <c r="I22" i="3" s="1"/>
  <c r="G20" i="3"/>
  <c r="I20" i="3" s="1"/>
  <c r="G18" i="3"/>
  <c r="I18" i="3" s="1"/>
  <c r="G16" i="3"/>
  <c r="I16" i="3" s="1"/>
  <c r="G14" i="3"/>
  <c r="I14" i="3" s="1"/>
  <c r="G12" i="3"/>
  <c r="I12" i="3" s="1"/>
  <c r="G10" i="3"/>
  <c r="I10" i="3" s="1"/>
  <c r="G8" i="3"/>
  <c r="I8" i="3" s="1"/>
</calcChain>
</file>

<file path=xl/sharedStrings.xml><?xml version="1.0" encoding="utf-8"?>
<sst xmlns="http://schemas.openxmlformats.org/spreadsheetml/2006/main" count="238" uniqueCount="150">
  <si>
    <t>Ritmo de trabajo</t>
  </si>
  <si>
    <t>Se trabaja con:</t>
  </si>
  <si>
    <t>hs/turno</t>
  </si>
  <si>
    <t>días/semana</t>
  </si>
  <si>
    <t>días/año</t>
  </si>
  <si>
    <t>días de vacaciones</t>
  </si>
  <si>
    <t>feriados obligatorios</t>
  </si>
  <si>
    <t>hs/año</t>
  </si>
  <si>
    <t>Horas/año trabajadas:</t>
  </si>
  <si>
    <t>domingos</t>
  </si>
  <si>
    <t>turno</t>
  </si>
  <si>
    <t>Cilindrada</t>
  </si>
  <si>
    <t>Soldadura longitudinal</t>
  </si>
  <si>
    <t>Corte chapa</t>
  </si>
  <si>
    <t>Amoladora</t>
  </si>
  <si>
    <t>Prensa</t>
  </si>
  <si>
    <t>Colocado de tapa superior</t>
  </si>
  <si>
    <t>Soldadura de rosca</t>
  </si>
  <si>
    <t>Soldadura de las tapas</t>
  </si>
  <si>
    <t>Granalladora</t>
  </si>
  <si>
    <t>Pintura</t>
  </si>
  <si>
    <t>Colocado de polvo</t>
  </si>
  <si>
    <t>Armado</t>
  </si>
  <si>
    <t>Etiquetado</t>
  </si>
  <si>
    <t>Introducción en caja</t>
  </si>
  <si>
    <t>Pallet</t>
  </si>
  <si>
    <t>Numeración de chapa</t>
  </si>
  <si>
    <t>Colocación de suncho y anilla</t>
  </si>
  <si>
    <t>Secado de sellador</t>
  </si>
  <si>
    <t>Prueba hidráulica</t>
  </si>
  <si>
    <t>Armado de conjunto caño resorte vastago y válvula</t>
  </si>
  <si>
    <t>Colocación de manómetro en válvula</t>
  </si>
  <si>
    <t>Muescado de tapa exterior</t>
  </si>
  <si>
    <t>Reposo en control de despresurización</t>
  </si>
  <si>
    <t>Unidades/hr</t>
  </si>
  <si>
    <t>Unidades/año</t>
  </si>
  <si>
    <t>Programa anual de producción</t>
  </si>
  <si>
    <t>Aprovechamiento seccional</t>
  </si>
  <si>
    <t>Capacidades seccionales</t>
  </si>
  <si>
    <t>Cuello de botella</t>
  </si>
  <si>
    <t>Secciones</t>
  </si>
  <si>
    <t>Evolución de la producción</t>
  </si>
  <si>
    <t>Producción anual:</t>
  </si>
  <si>
    <t>unidades</t>
  </si>
  <si>
    <t>Producción mensual:</t>
  </si>
  <si>
    <t>Puesta en marcha:</t>
  </si>
  <si>
    <t>meses</t>
  </si>
  <si>
    <t>Mes</t>
  </si>
  <si>
    <t>Volumen de producción durante el resto del año 1:</t>
  </si>
  <si>
    <t>Volúmen de producción el en año 1:</t>
  </si>
  <si>
    <t>Volúmen de producción anual en los años 2 a 10:</t>
  </si>
  <si>
    <t>Total:</t>
  </si>
  <si>
    <t>Ritmo de producción al inicio (%)</t>
  </si>
  <si>
    <t>Producción mensual promedio (unidades)</t>
  </si>
  <si>
    <t>Producción propuesta (unidades)</t>
  </si>
  <si>
    <t>Ritmo de producción al final (%)</t>
  </si>
  <si>
    <t>Producción promedio  (%)</t>
  </si>
  <si>
    <t>Stock promedio de producto elaborado</t>
  </si>
  <si>
    <t>Entregas cada 1 semana</t>
  </si>
  <si>
    <t>Semanas/año</t>
  </si>
  <si>
    <t>unid./año</t>
  </si>
  <si>
    <t>unid./semana</t>
  </si>
  <si>
    <t>Stock promedio:</t>
  </si>
  <si>
    <t>Evolución de las ventas</t>
  </si>
  <si>
    <t>Unidades</t>
  </si>
  <si>
    <t>Año 1</t>
  </si>
  <si>
    <t>Año 2 a 10</t>
  </si>
  <si>
    <t>(Producción de año 1-Stock promedio de PT)</t>
  </si>
  <si>
    <t>(Producción anual)</t>
  </si>
  <si>
    <t>Consumo de materia prima</t>
  </si>
  <si>
    <t>láminas</t>
  </si>
  <si>
    <t>Láminas de acero de 1,5x3m para cuerpo:</t>
  </si>
  <si>
    <t>Polvo químico ABC:</t>
  </si>
  <si>
    <t>Nitrógeno:</t>
  </si>
  <si>
    <t>Válvula:</t>
  </si>
  <si>
    <t>Manija:</t>
  </si>
  <si>
    <t>Manómetro:</t>
  </si>
  <si>
    <t>Sunchos:</t>
  </si>
  <si>
    <t>Cuello roscado:</t>
  </si>
  <si>
    <t>Manguera:</t>
  </si>
  <si>
    <t xml:space="preserve"> Alambre (para el seguro):</t>
  </si>
  <si>
    <t>Sellador:</t>
  </si>
  <si>
    <t>Pintura:</t>
  </si>
  <si>
    <t>O'ring (caucho):</t>
  </si>
  <si>
    <t>kg</t>
  </si>
  <si>
    <t>gr</t>
  </si>
  <si>
    <t>Para fabricar 1 extinor</t>
  </si>
  <si>
    <t>Meses</t>
  </si>
  <si>
    <t>Total</t>
  </si>
  <si>
    <t>4-11,5</t>
  </si>
  <si>
    <t>Total PM</t>
  </si>
  <si>
    <t>Años 2 a 10</t>
  </si>
  <si>
    <t>Cálculo de desperdicio en el sector de corte (el único con desperdicios)</t>
  </si>
  <si>
    <t>Área cilindro:</t>
  </si>
  <si>
    <t>m2</t>
  </si>
  <si>
    <t>por lámina</t>
  </si>
  <si>
    <t>Área tapa superior (agujereada):</t>
  </si>
  <si>
    <t>Área tapa inferior:</t>
  </si>
  <si>
    <t>Desperdicio no recuperable por lámina</t>
  </si>
  <si>
    <t xml:space="preserve"> Láminas de acero de 1,5x3 (m)</t>
  </si>
  <si>
    <t>Área cilindro</t>
  </si>
  <si>
    <t xml:space="preserve">Para hacer </t>
  </si>
  <si>
    <t>extintores se necesitan</t>
  </si>
  <si>
    <t>Área tapa superior</t>
  </si>
  <si>
    <t>Área de las láminas:</t>
  </si>
  <si>
    <t>Área tapa inferior</t>
  </si>
  <si>
    <t>Sección</t>
  </si>
  <si>
    <t>Alimentación</t>
  </si>
  <si>
    <t>Desperdicios</t>
  </si>
  <si>
    <t>Producción seccional</t>
  </si>
  <si>
    <t>Recuperables</t>
  </si>
  <si>
    <t>No recuperables</t>
  </si>
  <si>
    <t>Corte</t>
  </si>
  <si>
    <t>*Unidades en m2</t>
  </si>
  <si>
    <t>Stock de láminas de acero</t>
  </si>
  <si>
    <t xml:space="preserve"> - Se hace una primera compra para los meses de puesta en marcha y luego se repone mensualmente en las cantidades necesarias</t>
  </si>
  <si>
    <t>Al fin del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</si>
  <si>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</si>
  <si>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</si>
  <si>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</si>
  <si>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</si>
  <si>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</si>
  <si>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</si>
  <si>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</si>
  <si>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</si>
  <si>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</si>
  <si>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</si>
  <si>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</si>
  <si>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</si>
  <si>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Dic. Año 0</t>
  </si>
  <si>
    <t>Stock</t>
  </si>
  <si>
    <t>Compras</t>
  </si>
  <si>
    <t>Stock de polvo químico</t>
  </si>
  <si>
    <t>Stock de nitrógeno</t>
  </si>
  <si>
    <t>Ventas</t>
  </si>
  <si>
    <t>Stock promedio de elaborado</t>
  </si>
  <si>
    <t>Producción</t>
  </si>
  <si>
    <t>Desperdicio no recuperables</t>
  </si>
  <si>
    <t>En curso y semielaborados</t>
  </si>
  <si>
    <t>Compra</t>
  </si>
  <si>
    <t>Consumo MP</t>
  </si>
  <si>
    <t>Stock de MP</t>
  </si>
  <si>
    <t>Périodo Inst</t>
  </si>
  <si>
    <t>Años 2-10</t>
  </si>
  <si>
    <t>Promedio:</t>
  </si>
  <si>
    <t>Acero (m2)</t>
  </si>
  <si>
    <t>Polvo (kg)</t>
  </si>
  <si>
    <t>Nitrógeno (g)</t>
  </si>
  <si>
    <t>Láminas (u)</t>
  </si>
  <si>
    <t xml:space="preserve"> Evolución de compras y stock de las principales materias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</si>
</sst>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000"/>
    <numFmt numFmtId="168" formatCode="0.0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0" xfId="0" applyBorder="1"/>
    <xf numFmtId="10" fontId="0" fillId="0" borderId="10" xfId="0" applyNumberFormat="1" applyBorder="1" applyAlignment="1">
      <alignment horizontal="center" vertical="center"/>
    </xf>
    <xf numFmtId="10" fontId="0" fillId="3" borderId="10" xfId="0" applyNumberFormat="1" applyFill="1" applyBorder="1" applyAlignment="1">
      <alignment horizontal="center" vertical="center"/>
    </xf>
    <xf numFmtId="0" fontId="0" fillId="0" borderId="14" xfId="0" applyBorder="1"/>
    <xf numFmtId="10" fontId="0" fillId="0" borderId="15" xfId="0" applyNumberFormat="1" applyBorder="1" applyAlignment="1">
      <alignment horizontal="center" vertical="center"/>
    </xf>
    <xf numFmtId="0" fontId="2" fillId="3" borderId="1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2" borderId="1" xfId="0" applyFill="1" applyBorder="1"/>
    <xf numFmtId="0" fontId="0" fillId="0" borderId="19" xfId="0" applyBorder="1"/>
    <xf numFmtId="0" fontId="0" fillId="0" borderId="19" xfId="0" applyBorder="1" applyAlignment="1"/>
    <xf numFmtId="10" fontId="0" fillId="0" borderId="20" xfId="0" applyNumberFormat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wrapText="1"/>
    </xf>
    <xf numFmtId="0" fontId="0" fillId="4" borderId="2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4" borderId="16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2" fontId="0" fillId="0" borderId="0" xfId="0" applyNumberFormat="1"/>
    <xf numFmtId="1" fontId="0" fillId="0" borderId="0" xfId="0" applyNumberFormat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167" fontId="0" fillId="0" borderId="0" xfId="0" applyNumberFormat="1" applyBorder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68" fontId="0" fillId="0" borderId="0" xfId="0" applyNumberFormat="1"/>
    <xf numFmtId="0" fontId="0" fillId="5" borderId="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" fontId="0" fillId="0" borderId="1" xfId="0" applyNumberFormat="1" applyBorder="1"/>
    <xf numFmtId="2" fontId="0" fillId="0" borderId="1" xfId="0" applyNumberFormat="1" applyBorder="1"/>
    <xf numFmtId="0" fontId="0" fillId="5" borderId="1" xfId="0" applyFill="1" applyBorder="1"/>
    <xf numFmtId="0" fontId="2" fillId="5" borderId="1" xfId="0" applyFont="1" applyFill="1" applyBorder="1" applyAlignment="1">
      <alignment horizontal="right"/>
    </xf>
    <xf numFmtId="0" fontId="0" fillId="0" borderId="5" xfId="0" applyBorder="1" applyAlignment="1"/>
    <xf numFmtId="0" fontId="0" fillId="0" borderId="4" xfId="0" applyBorder="1" applyAlignment="1"/>
    <xf numFmtId="0" fontId="0" fillId="5" borderId="19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showGridLines="0" tabSelected="1" workbookViewId="0">
      <selection activeCell="H28" sqref="H28"/>
    </sheetView>
  </sheetViews>
  <sheetFormatPr baseColWidth="10" defaultRowHeight="15" x14ac:dyDescent="0.25"/>
  <cols>
    <col min="1" max="2" width="11.42578125" style="3"/>
    <col min="3" max="3" width="6.85546875" style="3" customWidth="1"/>
    <col min="4" max="11" width="11.42578125" style="3"/>
    <col min="12" max="12" width="11.85546875" style="3" bestFit="1" customWidth="1"/>
    <col min="13" max="16384" width="11.42578125" style="3"/>
  </cols>
  <sheetData>
    <row r="2" spans="2:12" ht="15.75" x14ac:dyDescent="0.25">
      <c r="B2" s="61" t="s">
        <v>92</v>
      </c>
    </row>
    <row r="4" spans="2:12" x14ac:dyDescent="0.25">
      <c r="D4" s="1" t="s">
        <v>93</v>
      </c>
      <c r="E4" s="62">
        <f>0.474*0.365</f>
        <v>0.17301</v>
      </c>
      <c r="F4" s="3" t="s">
        <v>94</v>
      </c>
      <c r="G4" s="3">
        <v>24</v>
      </c>
      <c r="H4" s="3" t="s">
        <v>95</v>
      </c>
      <c r="I4" s="3">
        <v>1008</v>
      </c>
    </row>
    <row r="5" spans="2:12" x14ac:dyDescent="0.25">
      <c r="D5" s="1" t="s">
        <v>96</v>
      </c>
      <c r="E5" s="62">
        <f>PI()*(0.084^2-0.0175^2)</f>
        <v>2.1204965013567709E-2</v>
      </c>
      <c r="F5" s="3" t="s">
        <v>94</v>
      </c>
      <c r="G5" s="3">
        <v>136</v>
      </c>
      <c r="H5" s="3" t="s">
        <v>95</v>
      </c>
      <c r="I5" s="3">
        <v>180</v>
      </c>
    </row>
    <row r="6" spans="2:12" x14ac:dyDescent="0.25">
      <c r="D6" s="1" t="s">
        <v>97</v>
      </c>
      <c r="E6" s="62">
        <f>PI()*0.08^2</f>
        <v>2.0106192982974676E-2</v>
      </c>
      <c r="F6" s="3" t="s">
        <v>94</v>
      </c>
      <c r="G6" s="3">
        <v>162</v>
      </c>
      <c r="H6" s="3" t="s">
        <v>95</v>
      </c>
      <c r="I6" s="3">
        <v>156</v>
      </c>
    </row>
    <row r="8" spans="2:12" x14ac:dyDescent="0.25">
      <c r="L8" s="1" t="s">
        <v>98</v>
      </c>
    </row>
    <row r="9" spans="2:12" x14ac:dyDescent="0.25">
      <c r="B9" s="3" t="s">
        <v>99</v>
      </c>
      <c r="K9" s="1" t="s">
        <v>100</v>
      </c>
      <c r="L9" s="62">
        <f>$D$11-E4*G4</f>
        <v>0.34776000000000007</v>
      </c>
    </row>
    <row r="10" spans="2:12" x14ac:dyDescent="0.25">
      <c r="B10" s="1" t="s">
        <v>101</v>
      </c>
      <c r="C10" s="7">
        <v>24000</v>
      </c>
      <c r="D10" s="32" t="s">
        <v>102</v>
      </c>
      <c r="E10" s="32"/>
      <c r="F10" s="7">
        <v>1344</v>
      </c>
      <c r="G10" s="3" t="s">
        <v>70</v>
      </c>
      <c r="K10" s="1" t="s">
        <v>103</v>
      </c>
      <c r="L10" s="62">
        <f>$D$11-E5*G5</f>
        <v>1.6161247581547915</v>
      </c>
    </row>
    <row r="11" spans="2:12" x14ac:dyDescent="0.25">
      <c r="C11" s="1" t="s">
        <v>104</v>
      </c>
      <c r="D11" s="3">
        <f>1.5*3</f>
        <v>4.5</v>
      </c>
      <c r="E11" s="3" t="s">
        <v>94</v>
      </c>
      <c r="K11" s="1" t="s">
        <v>105</v>
      </c>
      <c r="L11" s="62">
        <f>$D$11-E6*G6</f>
        <v>1.2427967367581023</v>
      </c>
    </row>
    <row r="15" spans="2:12" x14ac:dyDescent="0.25">
      <c r="B15" s="63" t="s">
        <v>106</v>
      </c>
      <c r="C15" s="63" t="s">
        <v>107</v>
      </c>
      <c r="D15" s="63"/>
      <c r="E15" s="63" t="s">
        <v>108</v>
      </c>
      <c r="F15" s="63"/>
      <c r="G15" s="63"/>
      <c r="H15" s="63"/>
      <c r="I15" s="63" t="s">
        <v>109</v>
      </c>
      <c r="J15" s="63"/>
    </row>
    <row r="16" spans="2:12" x14ac:dyDescent="0.25">
      <c r="B16" s="63"/>
      <c r="C16" s="63"/>
      <c r="D16" s="63"/>
      <c r="E16" s="63" t="s">
        <v>110</v>
      </c>
      <c r="F16" s="63"/>
      <c r="G16" s="63" t="s">
        <v>111</v>
      </c>
      <c r="H16" s="63"/>
      <c r="I16" s="63"/>
      <c r="J16" s="63"/>
    </row>
    <row r="17" spans="2:10" x14ac:dyDescent="0.25">
      <c r="B17" s="15" t="s">
        <v>112</v>
      </c>
      <c r="C17" s="55">
        <f>F10*D11</f>
        <v>6048</v>
      </c>
      <c r="D17" s="55"/>
      <c r="E17" s="55">
        <f>C17-I17-G17</f>
        <v>72.178062175769583</v>
      </c>
      <c r="F17" s="55"/>
      <c r="G17" s="55">
        <f>L9*(I4-1)+L10*(I5-1)+L11*(I6-1)</f>
        <v>832.11414590721347</v>
      </c>
      <c r="H17" s="55"/>
      <c r="I17" s="55">
        <f>C10*(E4+E5+E6)</f>
        <v>5143.7077919170169</v>
      </c>
      <c r="J17" s="55"/>
    </row>
    <row r="18" spans="2:10" x14ac:dyDescent="0.25">
      <c r="B18" s="3" t="s">
        <v>113</v>
      </c>
    </row>
  </sheetData>
  <mergeCells count="11">
    <mergeCell ref="C17:D17"/>
    <mergeCell ref="E17:F17"/>
    <mergeCell ref="G17:H17"/>
    <mergeCell ref="I17:J17"/>
    <mergeCell ref="D10:E10"/>
    <mergeCell ref="B15:B16"/>
    <mergeCell ref="C15:D16"/>
    <mergeCell ref="E15:H15"/>
    <mergeCell ref="I15:J16"/>
    <mergeCell ref="E16:F16"/>
    <mergeCell ref="G16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workbookViewId="0">
      <selection activeCell="G14" sqref="G14"/>
    </sheetView>
  </sheetViews>
  <sheetFormatPr baseColWidth="10" defaultRowHeight="15" x14ac:dyDescent="0.25"/>
  <sheetData>
    <row r="2" spans="2:9" ht="21" x14ac:dyDescent="0.35">
      <c r="B2" s="57" t="s">
        <v>0</v>
      </c>
      <c r="C2" s="57"/>
    </row>
    <row r="4" spans="2:9" x14ac:dyDescent="0.25">
      <c r="B4" s="4" t="s">
        <v>1</v>
      </c>
      <c r="C4" s="4"/>
    </row>
    <row r="5" spans="2:9" x14ac:dyDescent="0.25">
      <c r="D5">
        <v>1</v>
      </c>
      <c r="E5" t="s">
        <v>10</v>
      </c>
      <c r="G5">
        <v>365</v>
      </c>
      <c r="H5" t="s">
        <v>4</v>
      </c>
    </row>
    <row r="6" spans="2:9" x14ac:dyDescent="0.25">
      <c r="D6">
        <v>8</v>
      </c>
      <c r="E6" t="s">
        <v>2</v>
      </c>
      <c r="F6" s="2"/>
      <c r="G6">
        <v>15</v>
      </c>
      <c r="H6" s="5" t="s">
        <v>5</v>
      </c>
      <c r="I6" s="5"/>
    </row>
    <row r="7" spans="2:9" x14ac:dyDescent="0.25">
      <c r="D7">
        <v>6</v>
      </c>
      <c r="E7" s="6" t="s">
        <v>3</v>
      </c>
      <c r="F7" s="6"/>
      <c r="G7">
        <v>10</v>
      </c>
      <c r="H7" s="5" t="s">
        <v>6</v>
      </c>
      <c r="I7" s="5"/>
    </row>
    <row r="8" spans="2:9" x14ac:dyDescent="0.25">
      <c r="G8">
        <v>50</v>
      </c>
      <c r="H8" t="s">
        <v>9</v>
      </c>
    </row>
    <row r="10" spans="2:9" x14ac:dyDescent="0.25">
      <c r="C10" s="1"/>
      <c r="D10" s="24"/>
      <c r="E10" s="24" t="s">
        <v>8</v>
      </c>
      <c r="F10" s="17">
        <f>D5*D6*(G5-G6-G7-G8)</f>
        <v>2320</v>
      </c>
      <c r="G10" s="17" t="s">
        <v>7</v>
      </c>
    </row>
    <row r="16" spans="2:9" x14ac:dyDescent="0.25">
      <c r="B16" s="6"/>
      <c r="C16" s="6"/>
      <c r="D16" s="6"/>
      <c r="E16" s="6"/>
    </row>
  </sheetData>
  <mergeCells count="4">
    <mergeCell ref="H6:I6"/>
    <mergeCell ref="H7:I7"/>
    <mergeCell ref="B2:C2"/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showGridLines="0" workbookViewId="0">
      <selection activeCell="E33" sqref="E33"/>
    </sheetView>
  </sheetViews>
  <sheetFormatPr baseColWidth="10" defaultRowHeight="15" x14ac:dyDescent="0.25"/>
  <cols>
    <col min="6" max="6" width="12" bestFit="1" customWidth="1"/>
    <col min="7" max="7" width="13.42578125" bestFit="1" customWidth="1"/>
    <col min="8" max="8" width="14.7109375" bestFit="1" customWidth="1"/>
    <col min="9" max="9" width="16.5703125" style="9" customWidth="1"/>
    <col min="11" max="11" width="5.5703125" customWidth="1"/>
  </cols>
  <sheetData>
    <row r="2" spans="2:9" ht="21.75" thickBot="1" x14ac:dyDescent="0.4">
      <c r="B2" s="16" t="s">
        <v>38</v>
      </c>
    </row>
    <row r="3" spans="2:9" ht="30" customHeight="1" thickBot="1" x14ac:dyDescent="0.3">
      <c r="B3" s="45" t="s">
        <v>40</v>
      </c>
      <c r="C3" s="46"/>
      <c r="D3" s="46"/>
      <c r="E3" s="47"/>
      <c r="F3" s="29" t="s">
        <v>34</v>
      </c>
      <c r="G3" s="29" t="s">
        <v>35</v>
      </c>
      <c r="H3" s="30" t="s">
        <v>36</v>
      </c>
      <c r="I3" s="31" t="s">
        <v>37</v>
      </c>
    </row>
    <row r="4" spans="2:9" x14ac:dyDescent="0.25">
      <c r="B4" s="33" t="s">
        <v>13</v>
      </c>
      <c r="C4" s="34"/>
      <c r="D4" s="34"/>
      <c r="E4" s="35"/>
      <c r="F4" s="26">
        <v>78</v>
      </c>
      <c r="G4" s="27">
        <f>F4*'Ritmo trabajo'!$F$10</f>
        <v>180960</v>
      </c>
      <c r="H4" s="26">
        <v>24000</v>
      </c>
      <c r="I4" s="28">
        <f>H4/G4</f>
        <v>0.13262599469496023</v>
      </c>
    </row>
    <row r="5" spans="2:9" x14ac:dyDescent="0.25">
      <c r="B5" s="36" t="s">
        <v>11</v>
      </c>
      <c r="C5" s="37"/>
      <c r="D5" s="37"/>
      <c r="E5" s="38"/>
      <c r="F5" s="13">
        <v>144</v>
      </c>
      <c r="G5" s="13">
        <f>F5*'Ritmo trabajo'!$F$10</f>
        <v>334080</v>
      </c>
      <c r="H5" s="13">
        <v>24000</v>
      </c>
      <c r="I5" s="18">
        <f t="shared" ref="I5:I26" si="0">H5/G5</f>
        <v>7.183908045977011E-2</v>
      </c>
    </row>
    <row r="6" spans="2:9" x14ac:dyDescent="0.25">
      <c r="B6" s="36" t="s">
        <v>12</v>
      </c>
      <c r="C6" s="37"/>
      <c r="D6" s="37"/>
      <c r="E6" s="38"/>
      <c r="F6" s="13">
        <v>48</v>
      </c>
      <c r="G6" s="13">
        <f>F6*'Ritmo trabajo'!$F$10</f>
        <v>111360</v>
      </c>
      <c r="H6" s="13">
        <v>24000</v>
      </c>
      <c r="I6" s="18">
        <f t="shared" si="0"/>
        <v>0.21551724137931033</v>
      </c>
    </row>
    <row r="7" spans="2:9" x14ac:dyDescent="0.25">
      <c r="B7" s="36" t="s">
        <v>14</v>
      </c>
      <c r="C7" s="37"/>
      <c r="D7" s="37"/>
      <c r="E7" s="38"/>
      <c r="F7" s="13">
        <v>225</v>
      </c>
      <c r="G7" s="13">
        <f>F7*'Ritmo trabajo'!$F$10</f>
        <v>522000</v>
      </c>
      <c r="H7" s="13">
        <v>24000</v>
      </c>
      <c r="I7" s="18">
        <f t="shared" si="0"/>
        <v>4.5977011494252873E-2</v>
      </c>
    </row>
    <row r="8" spans="2:9" x14ac:dyDescent="0.25">
      <c r="B8" s="36" t="s">
        <v>15</v>
      </c>
      <c r="C8" s="37"/>
      <c r="D8" s="37"/>
      <c r="E8" s="38"/>
      <c r="F8" s="13">
        <v>144</v>
      </c>
      <c r="G8" s="13">
        <f>F8*'Ritmo trabajo'!$F$10</f>
        <v>334080</v>
      </c>
      <c r="H8" s="13">
        <v>24000</v>
      </c>
      <c r="I8" s="18">
        <f t="shared" si="0"/>
        <v>7.183908045977011E-2</v>
      </c>
    </row>
    <row r="9" spans="2:9" x14ac:dyDescent="0.25">
      <c r="B9" s="36" t="s">
        <v>16</v>
      </c>
      <c r="C9" s="37"/>
      <c r="D9" s="37"/>
      <c r="E9" s="38"/>
      <c r="F9" s="13">
        <v>120</v>
      </c>
      <c r="G9" s="13">
        <f>F9*'Ritmo trabajo'!$F$10</f>
        <v>278400</v>
      </c>
      <c r="H9" s="13">
        <v>24000</v>
      </c>
      <c r="I9" s="18">
        <f t="shared" si="0"/>
        <v>8.6206896551724144E-2</v>
      </c>
    </row>
    <row r="10" spans="2:9" x14ac:dyDescent="0.25">
      <c r="B10" s="36" t="s">
        <v>17</v>
      </c>
      <c r="C10" s="37"/>
      <c r="D10" s="37"/>
      <c r="E10" s="38"/>
      <c r="F10" s="13">
        <v>72</v>
      </c>
      <c r="G10" s="13">
        <f>F10*'Ritmo trabajo'!$F$10</f>
        <v>167040</v>
      </c>
      <c r="H10" s="13">
        <v>24000</v>
      </c>
      <c r="I10" s="18">
        <f t="shared" si="0"/>
        <v>0.14367816091954022</v>
      </c>
    </row>
    <row r="11" spans="2:9" x14ac:dyDescent="0.25">
      <c r="B11" s="36" t="s">
        <v>18</v>
      </c>
      <c r="C11" s="37"/>
      <c r="D11" s="37"/>
      <c r="E11" s="38"/>
      <c r="F11" s="13">
        <v>40</v>
      </c>
      <c r="G11" s="13">
        <f>F11*'Ritmo trabajo'!$F$10</f>
        <v>92800</v>
      </c>
      <c r="H11" s="13">
        <v>24000</v>
      </c>
      <c r="I11" s="18">
        <f t="shared" si="0"/>
        <v>0.25862068965517243</v>
      </c>
    </row>
    <row r="12" spans="2:9" x14ac:dyDescent="0.25">
      <c r="B12" s="36" t="s">
        <v>19</v>
      </c>
      <c r="C12" s="37"/>
      <c r="D12" s="37"/>
      <c r="E12" s="38"/>
      <c r="F12" s="13">
        <v>300</v>
      </c>
      <c r="G12" s="13">
        <f>F12*'Ritmo trabajo'!$F$10</f>
        <v>696000</v>
      </c>
      <c r="H12" s="13">
        <v>24000</v>
      </c>
      <c r="I12" s="18">
        <f t="shared" si="0"/>
        <v>3.4482758620689655E-2</v>
      </c>
    </row>
    <row r="13" spans="2:9" x14ac:dyDescent="0.25">
      <c r="B13" s="36" t="s">
        <v>20</v>
      </c>
      <c r="C13" s="37"/>
      <c r="D13" s="37"/>
      <c r="E13" s="38"/>
      <c r="F13" s="13">
        <v>120</v>
      </c>
      <c r="G13" s="13">
        <f>F13*'Ritmo trabajo'!$F$10</f>
        <v>278400</v>
      </c>
      <c r="H13" s="13">
        <v>24000</v>
      </c>
      <c r="I13" s="18">
        <f t="shared" si="0"/>
        <v>8.6206896551724144E-2</v>
      </c>
    </row>
    <row r="14" spans="2:9" x14ac:dyDescent="0.25">
      <c r="B14" s="36" t="s">
        <v>21</v>
      </c>
      <c r="C14" s="37"/>
      <c r="D14" s="37"/>
      <c r="E14" s="38"/>
      <c r="F14" s="13">
        <v>120</v>
      </c>
      <c r="G14" s="13">
        <f>F14*'Ritmo trabajo'!$F$10</f>
        <v>278400</v>
      </c>
      <c r="H14" s="13">
        <v>24000</v>
      </c>
      <c r="I14" s="18">
        <f t="shared" si="0"/>
        <v>8.6206896551724144E-2</v>
      </c>
    </row>
    <row r="15" spans="2:9" x14ac:dyDescent="0.25">
      <c r="B15" s="36" t="s">
        <v>22</v>
      </c>
      <c r="C15" s="37"/>
      <c r="D15" s="37"/>
      <c r="E15" s="38"/>
      <c r="F15" s="13">
        <v>103</v>
      </c>
      <c r="G15" s="13">
        <f>F15*'Ritmo trabajo'!$F$10</f>
        <v>238960</v>
      </c>
      <c r="H15" s="13">
        <v>24000</v>
      </c>
      <c r="I15" s="18">
        <f t="shared" si="0"/>
        <v>0.1004352192835621</v>
      </c>
    </row>
    <row r="16" spans="2:9" x14ac:dyDescent="0.25">
      <c r="B16" s="36" t="s">
        <v>23</v>
      </c>
      <c r="C16" s="37"/>
      <c r="D16" s="37"/>
      <c r="E16" s="38"/>
      <c r="F16" s="13">
        <v>87</v>
      </c>
      <c r="G16" s="13">
        <f>F16*'Ritmo trabajo'!$F$10</f>
        <v>201840</v>
      </c>
      <c r="H16" s="13">
        <v>24000</v>
      </c>
      <c r="I16" s="18">
        <f t="shared" si="0"/>
        <v>0.11890606420927467</v>
      </c>
    </row>
    <row r="17" spans="2:11" x14ac:dyDescent="0.25">
      <c r="B17" s="36" t="s">
        <v>24</v>
      </c>
      <c r="C17" s="37"/>
      <c r="D17" s="37"/>
      <c r="E17" s="38"/>
      <c r="F17" s="13">
        <v>156</v>
      </c>
      <c r="G17" s="13">
        <f>F17*'Ritmo trabajo'!$F$10</f>
        <v>361920</v>
      </c>
      <c r="H17" s="13">
        <v>24000</v>
      </c>
      <c r="I17" s="18">
        <f t="shared" si="0"/>
        <v>6.6312997347480113E-2</v>
      </c>
      <c r="J17" s="3"/>
      <c r="K17" s="3"/>
    </row>
    <row r="18" spans="2:11" x14ac:dyDescent="0.25">
      <c r="B18" s="36" t="s">
        <v>25</v>
      </c>
      <c r="C18" s="37"/>
      <c r="D18" s="37"/>
      <c r="E18" s="38"/>
      <c r="F18" s="13">
        <v>75</v>
      </c>
      <c r="G18" s="13">
        <f>F18*'Ritmo trabajo'!$F$10</f>
        <v>174000</v>
      </c>
      <c r="H18" s="13">
        <v>24000</v>
      </c>
      <c r="I18" s="18">
        <f t="shared" si="0"/>
        <v>0.13793103448275862</v>
      </c>
      <c r="J18" s="3"/>
      <c r="K18" s="3"/>
    </row>
    <row r="19" spans="2:11" x14ac:dyDescent="0.25">
      <c r="B19" s="36" t="s">
        <v>26</v>
      </c>
      <c r="C19" s="37"/>
      <c r="D19" s="37"/>
      <c r="E19" s="38"/>
      <c r="F19" s="13">
        <v>87</v>
      </c>
      <c r="G19" s="13">
        <f>F19*'Ritmo trabajo'!$F$10</f>
        <v>201840</v>
      </c>
      <c r="H19" s="13">
        <v>24000</v>
      </c>
      <c r="I19" s="18">
        <f t="shared" si="0"/>
        <v>0.11890606420927467</v>
      </c>
      <c r="J19" s="3"/>
      <c r="K19" s="3"/>
    </row>
    <row r="20" spans="2:11" x14ac:dyDescent="0.25">
      <c r="B20" s="36" t="s">
        <v>27</v>
      </c>
      <c r="C20" s="37"/>
      <c r="D20" s="37"/>
      <c r="E20" s="38"/>
      <c r="F20" s="13">
        <v>257</v>
      </c>
      <c r="G20" s="13">
        <f>F20*'Ritmo trabajo'!$F$10</f>
        <v>596240</v>
      </c>
      <c r="H20" s="13">
        <v>24000</v>
      </c>
      <c r="I20" s="18">
        <f t="shared" si="0"/>
        <v>4.025224741714746E-2</v>
      </c>
      <c r="J20" s="3"/>
      <c r="K20" s="3"/>
    </row>
    <row r="21" spans="2:11" ht="15.75" thickBot="1" x14ac:dyDescent="0.3">
      <c r="B21" s="36" t="s">
        <v>28</v>
      </c>
      <c r="C21" s="37"/>
      <c r="D21" s="37"/>
      <c r="E21" s="38"/>
      <c r="F21" s="13">
        <v>33</v>
      </c>
      <c r="G21" s="13">
        <f>F21*'Ritmo trabajo'!$F$10</f>
        <v>76560</v>
      </c>
      <c r="H21" s="13">
        <v>24000</v>
      </c>
      <c r="I21" s="18">
        <f t="shared" si="0"/>
        <v>0.31347962382445144</v>
      </c>
      <c r="J21" s="3"/>
      <c r="K21" s="3"/>
    </row>
    <row r="22" spans="2:11" ht="15.75" thickBot="1" x14ac:dyDescent="0.3">
      <c r="B22" s="39" t="s">
        <v>29</v>
      </c>
      <c r="C22" s="40"/>
      <c r="D22" s="40"/>
      <c r="E22" s="41"/>
      <c r="F22" s="14">
        <v>30</v>
      </c>
      <c r="G22" s="14">
        <f>F22*'Ritmo trabajo'!$F$10</f>
        <v>69600</v>
      </c>
      <c r="H22" s="25">
        <v>24000</v>
      </c>
      <c r="I22" s="19">
        <f t="shared" si="0"/>
        <v>0.34482758620689657</v>
      </c>
      <c r="J22" s="22" t="s">
        <v>39</v>
      </c>
      <c r="K22" s="23"/>
    </row>
    <row r="23" spans="2:11" x14ac:dyDescent="0.25">
      <c r="B23" s="36" t="s">
        <v>30</v>
      </c>
      <c r="C23" s="37"/>
      <c r="D23" s="37"/>
      <c r="E23" s="38"/>
      <c r="F23" s="13">
        <v>200</v>
      </c>
      <c r="G23" s="13">
        <f>F23*'Ritmo trabajo'!$F$10</f>
        <v>464000</v>
      </c>
      <c r="H23" s="13">
        <v>24000</v>
      </c>
      <c r="I23" s="18">
        <f t="shared" si="0"/>
        <v>5.1724137931034482E-2</v>
      </c>
      <c r="J23" s="3"/>
      <c r="K23" s="3"/>
    </row>
    <row r="24" spans="2:11" x14ac:dyDescent="0.25">
      <c r="B24" s="36" t="s">
        <v>31</v>
      </c>
      <c r="C24" s="37"/>
      <c r="D24" s="37"/>
      <c r="E24" s="38"/>
      <c r="F24" s="13">
        <v>40</v>
      </c>
      <c r="G24" s="13">
        <f>F24*'Ritmo trabajo'!$F$10</f>
        <v>92800</v>
      </c>
      <c r="H24" s="13">
        <v>24000</v>
      </c>
      <c r="I24" s="18">
        <f t="shared" si="0"/>
        <v>0.25862068965517243</v>
      </c>
      <c r="J24" s="3"/>
      <c r="K24" s="3"/>
    </row>
    <row r="25" spans="2:11" x14ac:dyDescent="0.25">
      <c r="B25" s="36" t="s">
        <v>32</v>
      </c>
      <c r="C25" s="37"/>
      <c r="D25" s="37"/>
      <c r="E25" s="38"/>
      <c r="F25" s="13">
        <v>60</v>
      </c>
      <c r="G25" s="13">
        <f>F25*'Ritmo trabajo'!$F$10</f>
        <v>139200</v>
      </c>
      <c r="H25" s="13">
        <v>24000</v>
      </c>
      <c r="I25" s="18">
        <f t="shared" si="0"/>
        <v>0.17241379310344829</v>
      </c>
      <c r="J25" s="3"/>
      <c r="K25" s="3"/>
    </row>
    <row r="26" spans="2:11" ht="15.75" thickBot="1" x14ac:dyDescent="0.3">
      <c r="B26" s="42" t="s">
        <v>33</v>
      </c>
      <c r="C26" s="43"/>
      <c r="D26" s="43"/>
      <c r="E26" s="44"/>
      <c r="F26" s="20">
        <v>29</v>
      </c>
      <c r="G26" s="20">
        <f>F26*'Ritmo trabajo'!$F$10</f>
        <v>67280</v>
      </c>
      <c r="H26" s="20">
        <v>24000</v>
      </c>
      <c r="I26" s="21">
        <f t="shared" si="0"/>
        <v>0.356718192627824</v>
      </c>
      <c r="J26" s="3"/>
      <c r="K26" s="3"/>
    </row>
  </sheetData>
  <mergeCells count="25">
    <mergeCell ref="B25:E25"/>
    <mergeCell ref="B26:E26"/>
    <mergeCell ref="B3:E3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J22:K22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showGridLines="0" workbookViewId="0">
      <selection activeCell="D10" sqref="D10"/>
    </sheetView>
  </sheetViews>
  <sheetFormatPr baseColWidth="10" defaultRowHeight="15" x14ac:dyDescent="0.25"/>
  <sheetData>
    <row r="2" spans="2:5" ht="18.75" x14ac:dyDescent="0.3">
      <c r="B2" s="12" t="s">
        <v>57</v>
      </c>
    </row>
    <row r="4" spans="2:5" x14ac:dyDescent="0.25">
      <c r="B4" t="s">
        <v>58</v>
      </c>
    </row>
    <row r="6" spans="2:5" x14ac:dyDescent="0.25">
      <c r="B6">
        <v>50</v>
      </c>
      <c r="C6" t="s">
        <v>59</v>
      </c>
    </row>
    <row r="7" spans="2:5" x14ac:dyDescent="0.25">
      <c r="B7">
        <v>24000</v>
      </c>
      <c r="C7" t="s">
        <v>60</v>
      </c>
    </row>
    <row r="8" spans="2:5" x14ac:dyDescent="0.25">
      <c r="B8">
        <f>B7/B6</f>
        <v>480</v>
      </c>
      <c r="C8" t="s">
        <v>61</v>
      </c>
    </row>
    <row r="10" spans="2:5" x14ac:dyDescent="0.25">
      <c r="C10" s="1" t="s">
        <v>62</v>
      </c>
      <c r="D10">
        <f>B8/2</f>
        <v>240</v>
      </c>
      <c r="E10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showGridLines="0" workbookViewId="0">
      <selection activeCell="F17" sqref="F17"/>
    </sheetView>
  </sheetViews>
  <sheetFormatPr baseColWidth="10" defaultRowHeight="15" x14ac:dyDescent="0.25"/>
  <sheetData>
    <row r="2" spans="2:12" ht="18.75" x14ac:dyDescent="0.3">
      <c r="B2" s="12" t="s">
        <v>41</v>
      </c>
    </row>
    <row r="4" spans="2:12" x14ac:dyDescent="0.25">
      <c r="C4" s="1" t="s">
        <v>42</v>
      </c>
      <c r="D4">
        <v>24000</v>
      </c>
      <c r="E4" t="s">
        <v>43</v>
      </c>
    </row>
    <row r="5" spans="2:12" x14ac:dyDescent="0.25">
      <c r="C5" s="1" t="s">
        <v>44</v>
      </c>
      <c r="D5">
        <v>2000</v>
      </c>
      <c r="E5" t="s">
        <v>43</v>
      </c>
    </row>
    <row r="6" spans="2:12" x14ac:dyDescent="0.25">
      <c r="C6" s="1" t="s">
        <v>45</v>
      </c>
      <c r="D6">
        <v>3</v>
      </c>
      <c r="E6" t="s">
        <v>46</v>
      </c>
    </row>
    <row r="9" spans="2:12" ht="30" customHeight="1" x14ac:dyDescent="0.25">
      <c r="B9" s="50" t="s">
        <v>47</v>
      </c>
      <c r="C9" s="51" t="s">
        <v>52</v>
      </c>
      <c r="D9" s="51"/>
      <c r="E9" s="51" t="s">
        <v>55</v>
      </c>
      <c r="F9" s="51"/>
      <c r="G9" s="51" t="s">
        <v>56</v>
      </c>
      <c r="H9" s="51"/>
      <c r="I9" s="51" t="s">
        <v>53</v>
      </c>
      <c r="J9" s="51"/>
      <c r="K9" s="51" t="s">
        <v>54</v>
      </c>
      <c r="L9" s="51"/>
    </row>
    <row r="10" spans="2:12" x14ac:dyDescent="0.25">
      <c r="B10" s="52">
        <v>1</v>
      </c>
      <c r="C10" s="53">
        <v>0</v>
      </c>
      <c r="D10" s="53"/>
      <c r="E10" s="53">
        <f>1/3</f>
        <v>0.33333333333333331</v>
      </c>
      <c r="F10" s="53"/>
      <c r="G10" s="53">
        <f>AVERAGE(C10:F10)</f>
        <v>0.16666666666666666</v>
      </c>
      <c r="H10" s="53"/>
      <c r="I10" s="55">
        <f>24000/11.5</f>
        <v>2086.9565217391305</v>
      </c>
      <c r="J10" s="55"/>
      <c r="K10" s="55">
        <f>G10*I10</f>
        <v>347.82608695652175</v>
      </c>
      <c r="L10" s="55"/>
    </row>
    <row r="11" spans="2:12" x14ac:dyDescent="0.25">
      <c r="B11" s="52">
        <v>2</v>
      </c>
      <c r="C11" s="53">
        <f>E10</f>
        <v>0.33333333333333331</v>
      </c>
      <c r="D11" s="53"/>
      <c r="E11" s="53">
        <f>C11+E10</f>
        <v>0.66666666666666663</v>
      </c>
      <c r="F11" s="53"/>
      <c r="G11" s="53">
        <f t="shared" ref="G11:G12" si="0">AVERAGE(C11:F11)</f>
        <v>0.5</v>
      </c>
      <c r="H11" s="53"/>
      <c r="I11" s="55">
        <f t="shared" ref="I11:I12" si="1">24000/11.5</f>
        <v>2086.9565217391305</v>
      </c>
      <c r="J11" s="55"/>
      <c r="K11" s="55">
        <f t="shared" ref="K11:K12" si="2">G11*I11</f>
        <v>1043.4782608695652</v>
      </c>
      <c r="L11" s="55"/>
    </row>
    <row r="12" spans="2:12" x14ac:dyDescent="0.25">
      <c r="B12" s="52">
        <v>3</v>
      </c>
      <c r="C12" s="53">
        <f>E11</f>
        <v>0.66666666666666663</v>
      </c>
      <c r="D12" s="53"/>
      <c r="E12" s="53">
        <f>C12+E10</f>
        <v>1</v>
      </c>
      <c r="F12" s="53"/>
      <c r="G12" s="53">
        <f t="shared" si="0"/>
        <v>0.83333333333333326</v>
      </c>
      <c r="H12" s="53"/>
      <c r="I12" s="55">
        <f t="shared" si="1"/>
        <v>2086.9565217391305</v>
      </c>
      <c r="J12" s="55"/>
      <c r="K12" s="55">
        <f t="shared" si="2"/>
        <v>1739.1304347826085</v>
      </c>
      <c r="L12" s="55"/>
    </row>
    <row r="13" spans="2:12" x14ac:dyDescent="0.25">
      <c r="J13" s="56" t="s">
        <v>51</v>
      </c>
      <c r="K13" s="55">
        <f>SUM(K10:L12)</f>
        <v>3130.4347826086955</v>
      </c>
      <c r="L13" s="54"/>
    </row>
    <row r="16" spans="2:12" x14ac:dyDescent="0.25">
      <c r="E16" s="1" t="s">
        <v>48</v>
      </c>
      <c r="F16" s="49">
        <f>2000*9</f>
        <v>18000</v>
      </c>
    </row>
    <row r="17" spans="5:6" x14ac:dyDescent="0.25">
      <c r="E17" s="1" t="s">
        <v>49</v>
      </c>
      <c r="F17" s="49">
        <f>F16+K13</f>
        <v>21130.434782608696</v>
      </c>
    </row>
    <row r="18" spans="5:6" x14ac:dyDescent="0.25">
      <c r="E18" s="1" t="s">
        <v>50</v>
      </c>
      <c r="F18" s="49">
        <f>2000*12</f>
        <v>24000</v>
      </c>
    </row>
  </sheetData>
  <mergeCells count="21">
    <mergeCell ref="I11:J11"/>
    <mergeCell ref="I12:J12"/>
    <mergeCell ref="K10:L10"/>
    <mergeCell ref="K11:L11"/>
    <mergeCell ref="K12:L12"/>
    <mergeCell ref="K13:L13"/>
    <mergeCell ref="C11:D11"/>
    <mergeCell ref="C12:D12"/>
    <mergeCell ref="E10:F10"/>
    <mergeCell ref="E11:F11"/>
    <mergeCell ref="E12:F12"/>
    <mergeCell ref="G10:H10"/>
    <mergeCell ref="G11:H11"/>
    <mergeCell ref="G12:H12"/>
    <mergeCell ref="C9:D9"/>
    <mergeCell ref="E9:F9"/>
    <mergeCell ref="G9:H9"/>
    <mergeCell ref="I9:J9"/>
    <mergeCell ref="K9:L9"/>
    <mergeCell ref="C10:D10"/>
    <mergeCell ref="I10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showGridLines="0" workbookViewId="0">
      <selection activeCell="K25" sqref="K25"/>
    </sheetView>
  </sheetViews>
  <sheetFormatPr baseColWidth="10" defaultRowHeight="15" x14ac:dyDescent="0.25"/>
  <cols>
    <col min="8" max="8" width="14.5703125" customWidth="1"/>
  </cols>
  <sheetData>
    <row r="2" spans="2:16" ht="18.75" x14ac:dyDescent="0.3">
      <c r="B2" s="12" t="s">
        <v>69</v>
      </c>
    </row>
    <row r="3" spans="2:16" x14ac:dyDescent="0.25">
      <c r="I3" s="60" t="s">
        <v>65</v>
      </c>
    </row>
    <row r="4" spans="2:16" x14ac:dyDescent="0.25">
      <c r="K4" s="64" t="s">
        <v>87</v>
      </c>
      <c r="L4" s="64"/>
      <c r="M4" s="64"/>
      <c r="N4" s="64"/>
    </row>
    <row r="5" spans="2:16" ht="15.75" x14ac:dyDescent="0.25">
      <c r="D5" s="59" t="s">
        <v>86</v>
      </c>
      <c r="K5">
        <v>1</v>
      </c>
      <c r="L5">
        <v>2</v>
      </c>
      <c r="M5">
        <v>3</v>
      </c>
      <c r="N5" t="s">
        <v>89</v>
      </c>
      <c r="O5" t="s">
        <v>90</v>
      </c>
      <c r="P5" t="s">
        <v>88</v>
      </c>
    </row>
    <row r="6" spans="2:16" x14ac:dyDescent="0.25">
      <c r="D6" s="1" t="s">
        <v>71</v>
      </c>
      <c r="E6" s="58">
        <f>112/2000</f>
        <v>5.6000000000000001E-2</v>
      </c>
      <c r="F6" s="17" t="s">
        <v>70</v>
      </c>
      <c r="J6" s="1" t="s">
        <v>71</v>
      </c>
      <c r="K6" s="48">
        <f>$E6*'Ev.  Prod.'!$K$10</f>
        <v>19.478260869565219</v>
      </c>
      <c r="L6" s="48">
        <f>$E6*'Ev.  Prod.'!$K$11</f>
        <v>58.434782608695656</v>
      </c>
      <c r="M6" s="48">
        <f>$E6*'Ev.  Prod.'!$K$12</f>
        <v>97.391304347826079</v>
      </c>
      <c r="N6" s="48">
        <f>'Ev.  Prod.'!$I$10*E6</f>
        <v>116.86956521739131</v>
      </c>
      <c r="O6" s="48">
        <f>SUM(K6:M6)</f>
        <v>175.30434782608694</v>
      </c>
      <c r="P6" s="48">
        <f>N6+O6</f>
        <v>292.17391304347825</v>
      </c>
    </row>
    <row r="7" spans="2:16" x14ac:dyDescent="0.25">
      <c r="D7" s="1" t="s">
        <v>72</v>
      </c>
      <c r="E7" s="17">
        <v>5</v>
      </c>
      <c r="F7" s="17" t="s">
        <v>84</v>
      </c>
      <c r="J7" s="1" t="s">
        <v>72</v>
      </c>
      <c r="K7" s="48">
        <f>$E7*'Ev.  Prod.'!$K$10</f>
        <v>1739.1304347826087</v>
      </c>
      <c r="L7" s="48">
        <f>$E7*'Ev.  Prod.'!$K$11</f>
        <v>5217.391304347826</v>
      </c>
      <c r="M7" s="48">
        <f>$E7*'Ev.  Prod.'!$K$12</f>
        <v>8695.6521739130421</v>
      </c>
      <c r="N7" s="48">
        <f>'Ev.  Prod.'!$I$10*E7</f>
        <v>10434.782608695652</v>
      </c>
      <c r="O7" s="48">
        <f t="shared" ref="O7:O18" si="0">SUM(K7:M7)</f>
        <v>15652.173913043476</v>
      </c>
      <c r="P7" s="48">
        <f t="shared" ref="P7:P18" si="1">N7+O7</f>
        <v>26086.956521739128</v>
      </c>
    </row>
    <row r="8" spans="2:16" x14ac:dyDescent="0.25">
      <c r="D8" s="1" t="s">
        <v>73</v>
      </c>
      <c r="E8">
        <v>50</v>
      </c>
      <c r="F8" t="s">
        <v>85</v>
      </c>
      <c r="J8" s="1" t="s">
        <v>73</v>
      </c>
      <c r="K8" s="48">
        <f>$E8*'Ev.  Prod.'!$K$10</f>
        <v>17391.304347826088</v>
      </c>
      <c r="L8" s="48">
        <f>$E8*'Ev.  Prod.'!$K$11</f>
        <v>52173.913043478264</v>
      </c>
      <c r="M8" s="48">
        <f>$E8*'Ev.  Prod.'!$K$12</f>
        <v>86956.521739130432</v>
      </c>
      <c r="N8" s="48">
        <f>'Ev.  Prod.'!$I$10*E8</f>
        <v>104347.82608695653</v>
      </c>
      <c r="O8" s="48">
        <f t="shared" si="0"/>
        <v>156521.73913043478</v>
      </c>
      <c r="P8" s="48">
        <f t="shared" si="1"/>
        <v>260869.5652173913</v>
      </c>
    </row>
    <row r="9" spans="2:16" x14ac:dyDescent="0.25">
      <c r="D9" s="1" t="s">
        <v>74</v>
      </c>
      <c r="E9">
        <v>1</v>
      </c>
      <c r="J9" s="1" t="s">
        <v>74</v>
      </c>
      <c r="K9" s="48">
        <f>$E9*'Ev.  Prod.'!$K$10</f>
        <v>347.82608695652175</v>
      </c>
      <c r="L9" s="48">
        <f>$E9*'Ev.  Prod.'!$K$11</f>
        <v>1043.4782608695652</v>
      </c>
      <c r="M9" s="48">
        <f>$E9*'Ev.  Prod.'!$K$12</f>
        <v>1739.1304347826085</v>
      </c>
      <c r="N9" s="48">
        <f>'Ev.  Prod.'!$I$10*E9</f>
        <v>2086.9565217391305</v>
      </c>
      <c r="O9" s="48">
        <f t="shared" si="0"/>
        <v>3130.4347826086955</v>
      </c>
      <c r="P9" s="48">
        <f t="shared" si="1"/>
        <v>5217.391304347826</v>
      </c>
    </row>
    <row r="10" spans="2:16" x14ac:dyDescent="0.25">
      <c r="D10" s="1" t="s">
        <v>75</v>
      </c>
      <c r="E10">
        <v>1</v>
      </c>
      <c r="J10" s="1" t="s">
        <v>75</v>
      </c>
      <c r="K10" s="48">
        <f>$E10*'Ev.  Prod.'!$K$10</f>
        <v>347.82608695652175</v>
      </c>
      <c r="L10" s="48">
        <f>$E10*'Ev.  Prod.'!$K$11</f>
        <v>1043.4782608695652</v>
      </c>
      <c r="M10" s="48">
        <f>$E10*'Ev.  Prod.'!$K$12</f>
        <v>1739.1304347826085</v>
      </c>
      <c r="N10" s="48">
        <f>'Ev.  Prod.'!$I$10*E10</f>
        <v>2086.9565217391305</v>
      </c>
      <c r="O10" s="48">
        <f t="shared" si="0"/>
        <v>3130.4347826086955</v>
      </c>
      <c r="P10" s="48">
        <f t="shared" si="1"/>
        <v>5217.391304347826</v>
      </c>
    </row>
    <row r="11" spans="2:16" x14ac:dyDescent="0.25">
      <c r="D11" s="1" t="s">
        <v>76</v>
      </c>
      <c r="E11">
        <v>1</v>
      </c>
      <c r="J11" s="1" t="s">
        <v>76</v>
      </c>
      <c r="K11" s="48">
        <f>$E11*'Ev.  Prod.'!$K$10</f>
        <v>347.82608695652175</v>
      </c>
      <c r="L11" s="48">
        <f>$E11*'Ev.  Prod.'!$K$11</f>
        <v>1043.4782608695652</v>
      </c>
      <c r="M11" s="48">
        <f>$E11*'Ev.  Prod.'!$K$12</f>
        <v>1739.1304347826085</v>
      </c>
      <c r="N11" s="48">
        <f>'Ev.  Prod.'!$I$10*E11</f>
        <v>2086.9565217391305</v>
      </c>
      <c r="O11" s="48">
        <f t="shared" si="0"/>
        <v>3130.4347826086955</v>
      </c>
      <c r="P11" s="48">
        <f t="shared" si="1"/>
        <v>5217.391304347826</v>
      </c>
    </row>
    <row r="12" spans="2:16" x14ac:dyDescent="0.25">
      <c r="D12" s="1" t="s">
        <v>77</v>
      </c>
      <c r="E12">
        <v>1</v>
      </c>
      <c r="J12" s="1" t="s">
        <v>77</v>
      </c>
      <c r="K12" s="48">
        <f>$E12*'Ev.  Prod.'!$K$10</f>
        <v>347.82608695652175</v>
      </c>
      <c r="L12" s="48">
        <f>$E12*'Ev.  Prod.'!$K$11</f>
        <v>1043.4782608695652</v>
      </c>
      <c r="M12" s="48">
        <f>$E12*'Ev.  Prod.'!$K$12</f>
        <v>1739.1304347826085</v>
      </c>
      <c r="N12" s="48">
        <f>'Ev.  Prod.'!$I$10*E12</f>
        <v>2086.9565217391305</v>
      </c>
      <c r="O12" s="48">
        <f t="shared" si="0"/>
        <v>3130.4347826086955</v>
      </c>
      <c r="P12" s="48">
        <f t="shared" si="1"/>
        <v>5217.391304347826</v>
      </c>
    </row>
    <row r="13" spans="2:16" x14ac:dyDescent="0.25">
      <c r="D13" s="1" t="s">
        <v>78</v>
      </c>
      <c r="E13">
        <v>1</v>
      </c>
      <c r="J13" s="1" t="s">
        <v>78</v>
      </c>
      <c r="K13" s="48">
        <f>$E13*'Ev.  Prod.'!$K$10</f>
        <v>347.82608695652175</v>
      </c>
      <c r="L13" s="48">
        <f>$E13*'Ev.  Prod.'!$K$11</f>
        <v>1043.4782608695652</v>
      </c>
      <c r="M13" s="48">
        <f>$E13*'Ev.  Prod.'!$K$12</f>
        <v>1739.1304347826085</v>
      </c>
      <c r="N13" s="48">
        <f>'Ev.  Prod.'!$I$10*E13</f>
        <v>2086.9565217391305</v>
      </c>
      <c r="O13" s="48">
        <f t="shared" si="0"/>
        <v>3130.4347826086955</v>
      </c>
      <c r="P13" s="48">
        <f t="shared" si="1"/>
        <v>5217.391304347826</v>
      </c>
    </row>
    <row r="14" spans="2:16" x14ac:dyDescent="0.25">
      <c r="D14" s="1" t="s">
        <v>79</v>
      </c>
      <c r="E14">
        <v>1</v>
      </c>
      <c r="J14" s="1" t="s">
        <v>79</v>
      </c>
      <c r="K14" s="48">
        <f>$E14*'Ev.  Prod.'!$K$10</f>
        <v>347.82608695652175</v>
      </c>
      <c r="L14" s="48">
        <f>$E14*'Ev.  Prod.'!$K$11</f>
        <v>1043.4782608695652</v>
      </c>
      <c r="M14" s="48">
        <f>$E14*'Ev.  Prod.'!$K$12</f>
        <v>1739.1304347826085</v>
      </c>
      <c r="N14" s="48">
        <f>'Ev.  Prod.'!$I$10*E14</f>
        <v>2086.9565217391305</v>
      </c>
      <c r="O14" s="48">
        <f t="shared" si="0"/>
        <v>3130.4347826086955</v>
      </c>
      <c r="P14" s="48">
        <f t="shared" si="1"/>
        <v>5217.391304347826</v>
      </c>
    </row>
    <row r="15" spans="2:16" x14ac:dyDescent="0.25">
      <c r="D15" s="1" t="s">
        <v>83</v>
      </c>
      <c r="E15">
        <v>1</v>
      </c>
      <c r="J15" s="1" t="s">
        <v>83</v>
      </c>
      <c r="K15" s="48">
        <f>$E15*'Ev.  Prod.'!$K$10</f>
        <v>347.82608695652175</v>
      </c>
      <c r="L15" s="48">
        <f>$E15*'Ev.  Prod.'!$K$11</f>
        <v>1043.4782608695652</v>
      </c>
      <c r="M15" s="48">
        <f>$E15*'Ev.  Prod.'!$K$12</f>
        <v>1739.1304347826085</v>
      </c>
      <c r="N15" s="48">
        <f>'Ev.  Prod.'!$I$10*E15</f>
        <v>2086.9565217391305</v>
      </c>
      <c r="O15" s="48">
        <f t="shared" si="0"/>
        <v>3130.4347826086955</v>
      </c>
      <c r="P15" s="48">
        <f t="shared" si="1"/>
        <v>5217.391304347826</v>
      </c>
    </row>
    <row r="16" spans="2:16" x14ac:dyDescent="0.25">
      <c r="D16" s="1" t="s">
        <v>80</v>
      </c>
      <c r="J16" s="1" t="s">
        <v>81</v>
      </c>
      <c r="K16" s="48"/>
      <c r="L16" s="48"/>
      <c r="M16" s="48"/>
      <c r="N16" s="48"/>
      <c r="O16" s="48"/>
      <c r="P16" s="48"/>
    </row>
    <row r="17" spans="4:16" x14ac:dyDescent="0.25">
      <c r="D17" s="1" t="s">
        <v>81</v>
      </c>
      <c r="J17" s="1" t="s">
        <v>82</v>
      </c>
      <c r="K17" s="48"/>
      <c r="L17" s="48"/>
      <c r="M17" s="48"/>
      <c r="N17" s="48"/>
      <c r="O17" s="48"/>
      <c r="P17" s="48"/>
    </row>
    <row r="18" spans="4:16" x14ac:dyDescent="0.25">
      <c r="D18" s="1" t="s">
        <v>82</v>
      </c>
      <c r="J18" s="1" t="s">
        <v>80</v>
      </c>
      <c r="K18" s="48"/>
      <c r="L18" s="48"/>
      <c r="M18" s="48"/>
      <c r="N18" s="48"/>
      <c r="O18" s="48"/>
      <c r="P18" s="48"/>
    </row>
    <row r="22" spans="4:16" x14ac:dyDescent="0.25">
      <c r="I22" s="60" t="s">
        <v>91</v>
      </c>
    </row>
    <row r="25" spans="4:16" x14ac:dyDescent="0.25">
      <c r="J25" s="1" t="s">
        <v>71</v>
      </c>
      <c r="K25">
        <f>N6*11.5</f>
        <v>1344</v>
      </c>
    </row>
    <row r="26" spans="4:16" x14ac:dyDescent="0.25">
      <c r="J26" s="1" t="s">
        <v>72</v>
      </c>
      <c r="K26" s="3">
        <f t="shared" ref="K26:K34" si="2">N7*11.5</f>
        <v>120000</v>
      </c>
    </row>
    <row r="27" spans="4:16" x14ac:dyDescent="0.25">
      <c r="J27" s="1" t="s">
        <v>73</v>
      </c>
      <c r="K27" s="3">
        <f t="shared" si="2"/>
        <v>1200000</v>
      </c>
    </row>
    <row r="28" spans="4:16" x14ac:dyDescent="0.25">
      <c r="J28" s="1" t="s">
        <v>74</v>
      </c>
      <c r="K28" s="3">
        <f t="shared" si="2"/>
        <v>24000</v>
      </c>
    </row>
    <row r="29" spans="4:16" x14ac:dyDescent="0.25">
      <c r="J29" s="1" t="s">
        <v>75</v>
      </c>
      <c r="K29" s="3">
        <f t="shared" si="2"/>
        <v>24000</v>
      </c>
    </row>
    <row r="30" spans="4:16" x14ac:dyDescent="0.25">
      <c r="J30" s="1" t="s">
        <v>76</v>
      </c>
      <c r="K30" s="3">
        <f t="shared" si="2"/>
        <v>24000</v>
      </c>
    </row>
    <row r="31" spans="4:16" x14ac:dyDescent="0.25">
      <c r="J31" s="1" t="s">
        <v>77</v>
      </c>
      <c r="K31" s="3">
        <f t="shared" si="2"/>
        <v>24000</v>
      </c>
    </row>
    <row r="32" spans="4:16" x14ac:dyDescent="0.25">
      <c r="J32" s="1" t="s">
        <v>78</v>
      </c>
      <c r="K32" s="3">
        <f t="shared" si="2"/>
        <v>24000</v>
      </c>
    </row>
    <row r="33" spans="10:11" x14ac:dyDescent="0.25">
      <c r="J33" s="1" t="s">
        <v>79</v>
      </c>
      <c r="K33" s="3">
        <f t="shared" si="2"/>
        <v>24000</v>
      </c>
    </row>
    <row r="34" spans="10:11" x14ac:dyDescent="0.25">
      <c r="J34" s="1" t="s">
        <v>83</v>
      </c>
      <c r="K34" s="3">
        <f t="shared" si="2"/>
        <v>24000</v>
      </c>
    </row>
    <row r="35" spans="10:11" x14ac:dyDescent="0.25">
      <c r="J35" s="1" t="s">
        <v>81</v>
      </c>
    </row>
    <row r="36" spans="10:11" x14ac:dyDescent="0.25">
      <c r="J36" s="1" t="s">
        <v>82</v>
      </c>
    </row>
    <row r="37" spans="10:11" x14ac:dyDescent="0.25">
      <c r="J37" s="1" t="s">
        <v>80</v>
      </c>
    </row>
  </sheetData>
  <mergeCells count="1">
    <mergeCell ref="K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showGridLines="0" workbookViewId="0">
      <selection activeCell="I39" sqref="I39"/>
    </sheetView>
  </sheetViews>
  <sheetFormatPr baseColWidth="10" defaultRowHeight="15" x14ac:dyDescent="0.25"/>
  <sheetData>
    <row r="2" spans="2:5" ht="18.75" x14ac:dyDescent="0.3">
      <c r="B2" s="12" t="s">
        <v>63</v>
      </c>
    </row>
    <row r="4" spans="2:5" x14ac:dyDescent="0.25">
      <c r="B4" s="1" t="s">
        <v>65</v>
      </c>
      <c r="C4" s="49">
        <f>'Ev.  Prod.'!$F$17-'Stock PT'!$D$10</f>
        <v>20890.434782608696</v>
      </c>
      <c r="D4" t="s">
        <v>64</v>
      </c>
      <c r="E4" t="s">
        <v>67</v>
      </c>
    </row>
    <row r="5" spans="2:5" x14ac:dyDescent="0.25">
      <c r="B5" s="1" t="s">
        <v>66</v>
      </c>
      <c r="C5">
        <v>24000</v>
      </c>
      <c r="D5" t="s">
        <v>64</v>
      </c>
      <c r="E5" t="s">
        <v>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"/>
  <sheetViews>
    <sheetView showGridLines="0" workbookViewId="0">
      <selection activeCell="J32" sqref="J32"/>
    </sheetView>
  </sheetViews>
  <sheetFormatPr baseColWidth="10" defaultRowHeight="15" x14ac:dyDescent="0.25"/>
  <cols>
    <col min="2" max="2" width="13" customWidth="1"/>
    <col min="7" max="7" width="13.42578125" customWidth="1"/>
    <col min="12" max="12" width="13.140625" customWidth="1"/>
  </cols>
  <sheetData>
    <row r="2" spans="2:14" ht="18.75" x14ac:dyDescent="0.3">
      <c r="B2" s="12" t="s">
        <v>149</v>
      </c>
    </row>
    <row r="3" spans="2:14" x14ac:dyDescent="0.25">
      <c r="B3" s="2" t="s">
        <v>115</v>
      </c>
    </row>
    <row r="4" spans="2:14" ht="15" customHeight="1" x14ac:dyDescent="0.25">
      <c r="C4" s="8"/>
      <c r="D4" s="8"/>
      <c r="E4" s="8"/>
      <c r="F4" s="8"/>
    </row>
    <row r="5" spans="2:14" ht="15.75" x14ac:dyDescent="0.25">
      <c r="B5" s="11" t="s">
        <v>114</v>
      </c>
      <c r="C5" s="8"/>
      <c r="D5" s="8"/>
      <c r="E5" s="8"/>
      <c r="G5" s="11" t="s">
        <v>132</v>
      </c>
      <c r="L5" s="11" t="s">
        <v>133</v>
      </c>
    </row>
    <row r="7" spans="2:14" ht="15.75" x14ac:dyDescent="0.25">
      <c r="B7" s="11" t="s">
        <v>65</v>
      </c>
      <c r="G7" s="11" t="s">
        <v>65</v>
      </c>
      <c r="L7" s="10" t="s">
        <v>65</v>
      </c>
    </row>
    <row r="8" spans="2:14" x14ac:dyDescent="0.25">
      <c r="B8" s="67" t="s">
        <v>116</v>
      </c>
      <c r="C8" s="67" t="s">
        <v>130</v>
      </c>
      <c r="D8" s="67" t="s">
        <v>131</v>
      </c>
      <c r="G8" s="67" t="s">
        <v>116</v>
      </c>
      <c r="H8" s="67" t="s">
        <v>130</v>
      </c>
      <c r="I8" s="67" t="s">
        <v>131</v>
      </c>
      <c r="L8" s="67" t="s">
        <v>116</v>
      </c>
      <c r="M8" s="67" t="s">
        <v>130</v>
      </c>
      <c r="N8" s="67" t="s">
        <v>131</v>
      </c>
    </row>
    <row r="9" spans="2:14" x14ac:dyDescent="0.25">
      <c r="B9" s="67" t="s">
        <v>129</v>
      </c>
      <c r="C9" s="65">
        <f>'Consmo MP'!$O$6</f>
        <v>175.30434782608694</v>
      </c>
      <c r="D9" s="65">
        <f>'Consmo MP'!$O$6</f>
        <v>175.30434782608694</v>
      </c>
      <c r="G9" s="67" t="s">
        <v>129</v>
      </c>
      <c r="H9" s="66">
        <f>I9</f>
        <v>15652.173913043476</v>
      </c>
      <c r="I9" s="66">
        <f>'Consmo MP'!O7</f>
        <v>15652.173913043476</v>
      </c>
      <c r="L9" s="67" t="s">
        <v>129</v>
      </c>
      <c r="M9" s="66">
        <f>'Consmo MP'!O8</f>
        <v>156521.73913043478</v>
      </c>
      <c r="N9" s="66">
        <f>M9</f>
        <v>156521.73913043478</v>
      </c>
    </row>
    <row r="10" spans="2:14" x14ac:dyDescent="0.25">
      <c r="B10" s="67" t="s">
        <v>117</v>
      </c>
      <c r="C10" s="65">
        <f>C9-'Consmo MP'!K6</f>
        <v>155.82608695652172</v>
      </c>
      <c r="D10" s="65">
        <v>0</v>
      </c>
      <c r="G10" s="67" t="s">
        <v>117</v>
      </c>
      <c r="H10" s="66">
        <f>H9-'Consmo MP'!K7</f>
        <v>13913.043478260868</v>
      </c>
      <c r="I10" s="13">
        <v>0</v>
      </c>
      <c r="L10" s="67" t="s">
        <v>117</v>
      </c>
      <c r="M10" s="66">
        <f>M9-'Consmo MP'!K8</f>
        <v>139130.4347826087</v>
      </c>
      <c r="N10" s="13">
        <v>0</v>
      </c>
    </row>
    <row r="11" spans="2:14" x14ac:dyDescent="0.25">
      <c r="B11" s="67" t="s">
        <v>118</v>
      </c>
      <c r="C11" s="65">
        <f>C10-'Consmo MP'!L6</f>
        <v>97.391304347826065</v>
      </c>
      <c r="D11" s="65">
        <v>0</v>
      </c>
      <c r="G11" s="67" t="s">
        <v>118</v>
      </c>
      <c r="H11" s="66">
        <f>H10-'Consmo MP'!L7</f>
        <v>8695.6521739130421</v>
      </c>
      <c r="I11" s="13">
        <v>0</v>
      </c>
      <c r="L11" s="67" t="s">
        <v>118</v>
      </c>
      <c r="M11" s="66">
        <f>M10-'Consmo MP'!L8</f>
        <v>86956.521739130432</v>
      </c>
      <c r="N11" s="13">
        <v>0</v>
      </c>
    </row>
    <row r="12" spans="2:14" x14ac:dyDescent="0.25">
      <c r="B12" s="67" t="s">
        <v>119</v>
      </c>
      <c r="C12" s="65">
        <f>C11-'Consmo MP'!M6+D12</f>
        <v>116.8695652173913</v>
      </c>
      <c r="D12" s="65">
        <f>'Consmo MP'!$N$6</f>
        <v>116.86956521739131</v>
      </c>
      <c r="G12" s="67" t="s">
        <v>119</v>
      </c>
      <c r="H12" s="66">
        <f>H11-'Consmo MP'!M7+I12</f>
        <v>10434.782608695652</v>
      </c>
      <c r="I12" s="66">
        <f>'Consmo MP'!$N$7</f>
        <v>10434.782608695652</v>
      </c>
      <c r="L12" s="67" t="s">
        <v>119</v>
      </c>
      <c r="M12" s="66">
        <f>M11-'Consmo MP'!M8+N12</f>
        <v>104347.82608695653</v>
      </c>
      <c r="N12" s="66">
        <f>'Consmo MP'!$N$8</f>
        <v>104347.82608695653</v>
      </c>
    </row>
    <row r="13" spans="2:14" x14ac:dyDescent="0.25">
      <c r="B13" s="67" t="s">
        <v>120</v>
      </c>
      <c r="C13" s="65">
        <f>D13</f>
        <v>116.86956521739131</v>
      </c>
      <c r="D13" s="65">
        <f>'Consmo MP'!$N$6</f>
        <v>116.86956521739131</v>
      </c>
      <c r="G13" s="67" t="s">
        <v>120</v>
      </c>
      <c r="H13" s="66">
        <f>I13</f>
        <v>10434.782608695652</v>
      </c>
      <c r="I13" s="66">
        <f>'Consmo MP'!$N$7</f>
        <v>10434.782608695652</v>
      </c>
      <c r="L13" s="67" t="s">
        <v>120</v>
      </c>
      <c r="M13" s="66">
        <f>N13</f>
        <v>104347.82608695653</v>
      </c>
      <c r="N13" s="66">
        <f>'Consmo MP'!$N$8</f>
        <v>104347.82608695653</v>
      </c>
    </row>
    <row r="14" spans="2:14" x14ac:dyDescent="0.25">
      <c r="B14" s="67" t="s">
        <v>121</v>
      </c>
      <c r="C14" s="65">
        <f t="shared" ref="C14:C21" si="0">D14</f>
        <v>116.86956521739131</v>
      </c>
      <c r="D14" s="65">
        <f>'Consmo MP'!$N$6</f>
        <v>116.86956521739131</v>
      </c>
      <c r="G14" s="67" t="s">
        <v>121</v>
      </c>
      <c r="H14" s="66">
        <f t="shared" ref="H14:H21" si="1">I14</f>
        <v>10434.782608695652</v>
      </c>
      <c r="I14" s="66">
        <f>'Consmo MP'!$N$7</f>
        <v>10434.782608695652</v>
      </c>
      <c r="L14" s="67" t="s">
        <v>121</v>
      </c>
      <c r="M14" s="66">
        <f t="shared" ref="M14:M21" si="2">N14</f>
        <v>104347.82608695653</v>
      </c>
      <c r="N14" s="66">
        <f>'Consmo MP'!$N$8</f>
        <v>104347.82608695653</v>
      </c>
    </row>
    <row r="15" spans="2:14" x14ac:dyDescent="0.25">
      <c r="B15" s="67" t="s">
        <v>122</v>
      </c>
      <c r="C15" s="65">
        <f t="shared" si="0"/>
        <v>116.86956521739131</v>
      </c>
      <c r="D15" s="65">
        <f>'Consmo MP'!$N$6</f>
        <v>116.86956521739131</v>
      </c>
      <c r="G15" s="67" t="s">
        <v>122</v>
      </c>
      <c r="H15" s="66">
        <f t="shared" si="1"/>
        <v>10434.782608695652</v>
      </c>
      <c r="I15" s="66">
        <f>'Consmo MP'!$N$7</f>
        <v>10434.782608695652</v>
      </c>
      <c r="L15" s="67" t="s">
        <v>122</v>
      </c>
      <c r="M15" s="66">
        <f t="shared" si="2"/>
        <v>104347.82608695653</v>
      </c>
      <c r="N15" s="66">
        <f>'Consmo MP'!$N$8</f>
        <v>104347.82608695653</v>
      </c>
    </row>
    <row r="16" spans="2:14" x14ac:dyDescent="0.25">
      <c r="B16" s="67" t="s">
        <v>123</v>
      </c>
      <c r="C16" s="65">
        <f t="shared" si="0"/>
        <v>116.86956521739131</v>
      </c>
      <c r="D16" s="65">
        <f>'Consmo MP'!$N$6</f>
        <v>116.86956521739131</v>
      </c>
      <c r="G16" s="67" t="s">
        <v>123</v>
      </c>
      <c r="H16" s="66">
        <f t="shared" si="1"/>
        <v>10434.782608695652</v>
      </c>
      <c r="I16" s="66">
        <f>'Consmo MP'!$N$7</f>
        <v>10434.782608695652</v>
      </c>
      <c r="L16" s="67" t="s">
        <v>123</v>
      </c>
      <c r="M16" s="66">
        <f t="shared" si="2"/>
        <v>104347.82608695653</v>
      </c>
      <c r="N16" s="66">
        <f>'Consmo MP'!$N$8</f>
        <v>104347.82608695653</v>
      </c>
    </row>
    <row r="17" spans="2:15" x14ac:dyDescent="0.25">
      <c r="B17" s="67" t="s">
        <v>124</v>
      </c>
      <c r="C17" s="65">
        <f t="shared" si="0"/>
        <v>116.86956521739131</v>
      </c>
      <c r="D17" s="65">
        <f>'Consmo MP'!$N$6</f>
        <v>116.86956521739131</v>
      </c>
      <c r="G17" s="67" t="s">
        <v>124</v>
      </c>
      <c r="H17" s="66">
        <f t="shared" si="1"/>
        <v>10434.782608695652</v>
      </c>
      <c r="I17" s="66">
        <f>'Consmo MP'!$N$7</f>
        <v>10434.782608695652</v>
      </c>
      <c r="L17" s="67" t="s">
        <v>124</v>
      </c>
      <c r="M17" s="66">
        <f t="shared" si="2"/>
        <v>104347.82608695653</v>
      </c>
      <c r="N17" s="66">
        <f>'Consmo MP'!$N$8</f>
        <v>104347.82608695653</v>
      </c>
    </row>
    <row r="18" spans="2:15" x14ac:dyDescent="0.25">
      <c r="B18" s="67" t="s">
        <v>125</v>
      </c>
      <c r="C18" s="65">
        <f t="shared" si="0"/>
        <v>116.86956521739131</v>
      </c>
      <c r="D18" s="65">
        <f>'Consmo MP'!$N$6</f>
        <v>116.86956521739131</v>
      </c>
      <c r="G18" s="67" t="s">
        <v>125</v>
      </c>
      <c r="H18" s="66">
        <f t="shared" si="1"/>
        <v>10434.782608695652</v>
      </c>
      <c r="I18" s="66">
        <f>'Consmo MP'!$N$7</f>
        <v>10434.782608695652</v>
      </c>
      <c r="L18" s="67" t="s">
        <v>125</v>
      </c>
      <c r="M18" s="66">
        <f t="shared" si="2"/>
        <v>104347.82608695653</v>
      </c>
      <c r="N18" s="66">
        <f>'Consmo MP'!$N$8</f>
        <v>104347.82608695653</v>
      </c>
    </row>
    <row r="19" spans="2:15" x14ac:dyDescent="0.25">
      <c r="B19" s="67" t="s">
        <v>126</v>
      </c>
      <c r="C19" s="65">
        <f t="shared" si="0"/>
        <v>116.86956521739131</v>
      </c>
      <c r="D19" s="65">
        <f>'Consmo MP'!$N$6</f>
        <v>116.86956521739131</v>
      </c>
      <c r="G19" s="67" t="s">
        <v>126</v>
      </c>
      <c r="H19" s="66">
        <f t="shared" si="1"/>
        <v>10434.782608695652</v>
      </c>
      <c r="I19" s="66">
        <f>'Consmo MP'!$N$7</f>
        <v>10434.782608695652</v>
      </c>
      <c r="L19" s="67" t="s">
        <v>126</v>
      </c>
      <c r="M19" s="66">
        <f t="shared" si="2"/>
        <v>104347.82608695653</v>
      </c>
      <c r="N19" s="66">
        <f>'Consmo MP'!$N$8</f>
        <v>104347.82608695653</v>
      </c>
    </row>
    <row r="20" spans="2:15" x14ac:dyDescent="0.25">
      <c r="B20" s="67" t="s">
        <v>127</v>
      </c>
      <c r="C20" s="65">
        <f t="shared" si="0"/>
        <v>116.86956521739131</v>
      </c>
      <c r="D20" s="65">
        <f>'Consmo MP'!$N$6</f>
        <v>116.86956521739131</v>
      </c>
      <c r="G20" s="67" t="s">
        <v>127</v>
      </c>
      <c r="H20" s="66">
        <f t="shared" si="1"/>
        <v>10434.782608695652</v>
      </c>
      <c r="I20" s="66">
        <f>'Consmo MP'!$N$7</f>
        <v>10434.782608695652</v>
      </c>
      <c r="L20" s="67" t="s">
        <v>127</v>
      </c>
      <c r="M20" s="66">
        <f t="shared" si="2"/>
        <v>104347.82608695653</v>
      </c>
      <c r="N20" s="66">
        <f>'Consmo MP'!$N$8</f>
        <v>104347.82608695653</v>
      </c>
    </row>
    <row r="21" spans="2:15" x14ac:dyDescent="0.25">
      <c r="B21" s="67" t="s">
        <v>128</v>
      </c>
      <c r="C21" s="65">
        <f t="shared" si="0"/>
        <v>116.86956521739131</v>
      </c>
      <c r="D21" s="65">
        <f>'Consmo MP'!$N$6</f>
        <v>116.86956521739131</v>
      </c>
      <c r="G21" s="67" t="s">
        <v>128</v>
      </c>
      <c r="H21" s="66">
        <f t="shared" si="1"/>
        <v>10434.782608695652</v>
      </c>
      <c r="I21" s="66">
        <f>'Consmo MP'!$N$7</f>
        <v>10434.782608695652</v>
      </c>
      <c r="L21" s="67" t="s">
        <v>128</v>
      </c>
      <c r="M21" s="66">
        <f t="shared" si="2"/>
        <v>104347.82608695653</v>
      </c>
      <c r="N21" s="66">
        <f>'Consmo MP'!$N$8</f>
        <v>104347.82608695653</v>
      </c>
    </row>
    <row r="22" spans="2:15" x14ac:dyDescent="0.25">
      <c r="B22" s="68" t="s">
        <v>144</v>
      </c>
      <c r="C22" s="65">
        <f>AVERAGE(C9:C21)</f>
        <v>122.86287625418056</v>
      </c>
      <c r="D22" s="65">
        <f>SUM(D10:D21)</f>
        <v>1168.6956521739128</v>
      </c>
      <c r="E22" s="10" t="s">
        <v>88</v>
      </c>
      <c r="G22" s="68" t="s">
        <v>144</v>
      </c>
      <c r="H22" s="66">
        <f>AVERAGE(H9:H21)</f>
        <v>10969.899665551839</v>
      </c>
      <c r="I22" s="66">
        <f>SUM(I10:I21)</f>
        <v>104347.8260869565</v>
      </c>
      <c r="J22" s="10" t="s">
        <v>88</v>
      </c>
      <c r="L22" s="68" t="s">
        <v>144</v>
      </c>
      <c r="M22" s="66">
        <f>AVERAGE(M9:M21)</f>
        <v>109698.99665551841</v>
      </c>
      <c r="N22" s="66">
        <f>SUM(N10:N21)</f>
        <v>1043478.2608695653</v>
      </c>
      <c r="O22" s="10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1"/>
  <sheetViews>
    <sheetView showGridLines="0" workbookViewId="0">
      <selection activeCell="I31" sqref="I31"/>
    </sheetView>
  </sheetViews>
  <sheetFormatPr baseColWidth="10" defaultRowHeight="15" x14ac:dyDescent="0.25"/>
  <cols>
    <col min="3" max="3" width="11.42578125" customWidth="1"/>
    <col min="5" max="5" width="12.85546875" bestFit="1" customWidth="1"/>
    <col min="6" max="6" width="11.42578125" customWidth="1"/>
  </cols>
  <sheetData>
    <row r="3" spans="3:8" x14ac:dyDescent="0.25">
      <c r="C3" s="69"/>
      <c r="D3" s="69"/>
      <c r="E3" s="70"/>
      <c r="F3" s="74" t="s">
        <v>142</v>
      </c>
      <c r="G3" s="67" t="s">
        <v>65</v>
      </c>
      <c r="H3" s="67" t="s">
        <v>143</v>
      </c>
    </row>
    <row r="4" spans="3:8" x14ac:dyDescent="0.25">
      <c r="C4" s="71" t="s">
        <v>134</v>
      </c>
      <c r="D4" s="71"/>
      <c r="E4" s="71"/>
      <c r="F4" s="13"/>
      <c r="G4" s="65">
        <f>Ventas!C4</f>
        <v>20890.434782608696</v>
      </c>
      <c r="H4" s="13">
        <f>Ventas!C5</f>
        <v>24000</v>
      </c>
    </row>
    <row r="5" spans="3:8" x14ac:dyDescent="0.25">
      <c r="C5" s="72" t="s">
        <v>135</v>
      </c>
      <c r="D5" s="72"/>
      <c r="E5" s="72"/>
      <c r="F5" s="13"/>
      <c r="G5" s="13">
        <f>'Stock PT'!$B$8</f>
        <v>480</v>
      </c>
      <c r="H5" s="13">
        <f>'Stock PT'!$B$8</f>
        <v>480</v>
      </c>
    </row>
    <row r="6" spans="3:8" x14ac:dyDescent="0.25">
      <c r="C6" s="72" t="s">
        <v>136</v>
      </c>
      <c r="D6" s="72"/>
      <c r="E6" s="72"/>
      <c r="F6" s="13"/>
      <c r="G6" s="65">
        <f>'Ev.  Prod.'!F17</f>
        <v>21130.434782608696</v>
      </c>
      <c r="H6" s="65">
        <f>'Ev.  Prod.'!F18</f>
        <v>24000</v>
      </c>
    </row>
    <row r="7" spans="3:8" ht="15" customHeight="1" x14ac:dyDescent="0.25">
      <c r="C7" s="73" t="s">
        <v>137</v>
      </c>
      <c r="D7" s="73"/>
      <c r="E7" s="67" t="s">
        <v>145</v>
      </c>
      <c r="F7" s="13"/>
      <c r="G7" s="66">
        <f>('Ev.  Prod.'!F17/'Ev.  Prod.'!F18)*H7</f>
        <v>732.62223715743801</v>
      </c>
      <c r="H7" s="66">
        <f>Desperdicios!G17</f>
        <v>832.11414590721347</v>
      </c>
    </row>
    <row r="8" spans="3:8" x14ac:dyDescent="0.25">
      <c r="C8" s="73"/>
      <c r="D8" s="73"/>
      <c r="E8" s="67" t="s">
        <v>146</v>
      </c>
      <c r="F8" s="13"/>
      <c r="G8" s="13">
        <v>0</v>
      </c>
      <c r="H8" s="13">
        <v>0</v>
      </c>
    </row>
    <row r="9" spans="3:8" x14ac:dyDescent="0.25">
      <c r="C9" s="73"/>
      <c r="D9" s="73"/>
      <c r="E9" s="67" t="s">
        <v>147</v>
      </c>
      <c r="F9" s="13"/>
      <c r="G9" s="13">
        <v>0</v>
      </c>
      <c r="H9" s="13">
        <v>0</v>
      </c>
    </row>
    <row r="10" spans="3:8" ht="15" customHeight="1" x14ac:dyDescent="0.25">
      <c r="C10" s="73" t="s">
        <v>138</v>
      </c>
      <c r="D10" s="73"/>
      <c r="E10" s="67" t="s">
        <v>148</v>
      </c>
      <c r="F10" s="13"/>
      <c r="G10" s="13">
        <f>'Consmo MP'!K25/50/2</f>
        <v>13.44</v>
      </c>
      <c r="H10" s="13">
        <f>G10</f>
        <v>13.44</v>
      </c>
    </row>
    <row r="11" spans="3:8" x14ac:dyDescent="0.25">
      <c r="C11" s="73"/>
      <c r="D11" s="73"/>
      <c r="E11" s="67" t="s">
        <v>146</v>
      </c>
      <c r="F11" s="13"/>
      <c r="G11" s="13">
        <f>'Consmo MP'!K26/2/2</f>
        <v>30000</v>
      </c>
      <c r="H11" s="13">
        <f t="shared" ref="H11:H12" si="0">G11</f>
        <v>30000</v>
      </c>
    </row>
    <row r="12" spans="3:8" x14ac:dyDescent="0.25">
      <c r="C12" s="73"/>
      <c r="D12" s="73"/>
      <c r="E12" s="67" t="s">
        <v>147</v>
      </c>
      <c r="F12" s="13"/>
      <c r="G12" s="13">
        <f>'Consmo MP'!K27/2/2</f>
        <v>300000</v>
      </c>
      <c r="H12" s="13">
        <f t="shared" si="0"/>
        <v>300000</v>
      </c>
    </row>
    <row r="13" spans="3:8" x14ac:dyDescent="0.25">
      <c r="C13" s="63" t="s">
        <v>140</v>
      </c>
      <c r="D13" s="63"/>
      <c r="E13" s="67" t="s">
        <v>148</v>
      </c>
      <c r="F13" s="13"/>
      <c r="G13" s="66">
        <v>292.17391304347825</v>
      </c>
      <c r="H13" s="13">
        <v>1344</v>
      </c>
    </row>
    <row r="14" spans="3:8" x14ac:dyDescent="0.25">
      <c r="C14" s="63"/>
      <c r="D14" s="63"/>
      <c r="E14" s="67" t="s">
        <v>146</v>
      </c>
      <c r="F14" s="13"/>
      <c r="G14" s="66">
        <v>26086.956521739128</v>
      </c>
      <c r="H14" s="13">
        <v>120000</v>
      </c>
    </row>
    <row r="15" spans="3:8" x14ac:dyDescent="0.25">
      <c r="C15" s="63"/>
      <c r="D15" s="63"/>
      <c r="E15" s="67" t="s">
        <v>147</v>
      </c>
      <c r="F15" s="13"/>
      <c r="G15" s="66">
        <v>260869.5652173913</v>
      </c>
      <c r="H15" s="13">
        <v>1200000</v>
      </c>
    </row>
    <row r="16" spans="3:8" x14ac:dyDescent="0.25">
      <c r="C16" s="63" t="s">
        <v>141</v>
      </c>
      <c r="D16" s="63"/>
      <c r="E16" s="67" t="s">
        <v>148</v>
      </c>
      <c r="F16" s="65">
        <f>F19</f>
        <v>175.30434782608694</v>
      </c>
      <c r="G16" s="65">
        <f>'Stock MP'!C22</f>
        <v>122.86287625418056</v>
      </c>
      <c r="H16" s="65">
        <f>G16</f>
        <v>122.86287625418056</v>
      </c>
    </row>
    <row r="17" spans="3:8" x14ac:dyDescent="0.25">
      <c r="C17" s="63"/>
      <c r="D17" s="63"/>
      <c r="E17" s="67" t="s">
        <v>146</v>
      </c>
      <c r="F17" s="65">
        <f t="shared" ref="F17:F18" si="1">F20</f>
        <v>15652.173913043476</v>
      </c>
      <c r="G17" s="66">
        <f>'Stock MP'!H22</f>
        <v>10969.899665551839</v>
      </c>
      <c r="H17" s="65">
        <f t="shared" ref="H17:H18" si="2">G17</f>
        <v>10969.899665551839</v>
      </c>
    </row>
    <row r="18" spans="3:8" x14ac:dyDescent="0.25">
      <c r="C18" s="63"/>
      <c r="D18" s="63"/>
      <c r="E18" s="67" t="s">
        <v>147</v>
      </c>
      <c r="F18" s="65">
        <f t="shared" si="1"/>
        <v>156521.73913043478</v>
      </c>
      <c r="G18" s="66">
        <f>'Stock MP'!M22</f>
        <v>109698.99665551841</v>
      </c>
      <c r="H18" s="65">
        <f t="shared" si="2"/>
        <v>109698.99665551841</v>
      </c>
    </row>
    <row r="19" spans="3:8" x14ac:dyDescent="0.25">
      <c r="C19" s="63" t="s">
        <v>139</v>
      </c>
      <c r="D19" s="63"/>
      <c r="E19" s="67" t="s">
        <v>148</v>
      </c>
      <c r="F19" s="65">
        <f>'Stock MP'!D9</f>
        <v>175.30434782608694</v>
      </c>
      <c r="G19" s="65">
        <f>'Stock MP'!D22</f>
        <v>1168.6956521739128</v>
      </c>
      <c r="H19" s="13">
        <f>'Consmo MP'!K25</f>
        <v>1344</v>
      </c>
    </row>
    <row r="20" spans="3:8" x14ac:dyDescent="0.25">
      <c r="C20" s="63"/>
      <c r="D20" s="63"/>
      <c r="E20" s="67" t="s">
        <v>146</v>
      </c>
      <c r="F20" s="66">
        <f>'Stock MP'!I9</f>
        <v>15652.173913043476</v>
      </c>
      <c r="G20" s="66">
        <f>'Stock MP'!I22</f>
        <v>104347.8260869565</v>
      </c>
      <c r="H20" s="13">
        <f>'Consmo MP'!K26</f>
        <v>120000</v>
      </c>
    </row>
    <row r="21" spans="3:8" x14ac:dyDescent="0.25">
      <c r="C21" s="63"/>
      <c r="D21" s="63"/>
      <c r="E21" s="67" t="s">
        <v>147</v>
      </c>
      <c r="F21" s="66">
        <f>'Stock MP'!N9</f>
        <v>156521.73913043478</v>
      </c>
      <c r="G21" s="66">
        <f>'Stock MP'!N22</f>
        <v>1043478.2608695653</v>
      </c>
      <c r="H21" s="13">
        <f>'Consmo MP'!K27</f>
        <v>1200000</v>
      </c>
    </row>
  </sheetData>
  <mergeCells count="8">
    <mergeCell ref="C4:E4"/>
    <mergeCell ref="C5:E5"/>
    <mergeCell ref="C6:E6"/>
    <mergeCell ref="C10:D12"/>
    <mergeCell ref="C19:D21"/>
    <mergeCell ref="C16:D18"/>
    <mergeCell ref="C7:D9"/>
    <mergeCell ref="C13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Desperdicios</vt:lpstr>
      <vt:lpstr>Ritmo trabajo</vt:lpstr>
      <vt:lpstr>Capacidades</vt:lpstr>
      <vt:lpstr>Stock PT</vt:lpstr>
      <vt:lpstr>Ev.  Prod.</vt:lpstr>
      <vt:lpstr>Consmo MP</vt:lpstr>
      <vt:lpstr>Ventas</vt:lpstr>
      <vt:lpstr>Stock MP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saenz</dc:creator>
  <cp:lastModifiedBy>santiago saenz</cp:lastModifiedBy>
  <dcterms:created xsi:type="dcterms:W3CDTF">2016-06-27T20:12:58Z</dcterms:created>
  <dcterms:modified xsi:type="dcterms:W3CDTF">2016-07-01T20:21:21Z</dcterms:modified>
</cp:coreProperties>
</file>