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Fierens\Desktop\"/>
    </mc:Choice>
  </mc:AlternateContent>
  <bookViews>
    <workbookView xWindow="0" yWindow="0" windowWidth="15345" windowHeight="4635" activeTab="5"/>
  </bookViews>
  <sheets>
    <sheet name="6 Stock" sheetId="14" r:id="rId1"/>
    <sheet name="7 Ev.  Prod." sheetId="4" r:id="rId2"/>
    <sheet name="8 Consmo MP" sheetId="7" r:id="rId3"/>
    <sheet name="9 Ventas" sheetId="6" r:id="rId4"/>
    <sheet name="10 Stock MP" sheetId="8" r:id="rId5"/>
    <sheet name="11 Resumen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0" l="1"/>
  <c r="G5" i="10"/>
  <c r="I12" i="4"/>
  <c r="I10" i="4"/>
  <c r="N10" i="7" s="1"/>
  <c r="I11" i="4"/>
  <c r="N9" i="7" l="1"/>
  <c r="N11" i="7"/>
  <c r="F18" i="4" l="1"/>
  <c r="D5" i="4"/>
  <c r="H7" i="10" l="1"/>
  <c r="B8" i="14"/>
  <c r="D10" i="14" s="1"/>
  <c r="E8" i="7"/>
  <c r="E7" i="7"/>
  <c r="E6" i="7"/>
  <c r="H6" i="10" l="1"/>
  <c r="H4" i="10"/>
  <c r="N7" i="7" l="1"/>
  <c r="K25" i="7" s="1"/>
  <c r="N8" i="7"/>
  <c r="K27" i="7"/>
  <c r="K28" i="7"/>
  <c r="K29" i="7"/>
  <c r="N6" i="7"/>
  <c r="K24" i="7" s="1"/>
  <c r="E10" i="4"/>
  <c r="G10" i="4" s="1"/>
  <c r="K10" i="4" s="1"/>
  <c r="K6" i="7" l="1"/>
  <c r="K8" i="7"/>
  <c r="C11" i="4"/>
  <c r="K26" i="7"/>
  <c r="N18" i="8"/>
  <c r="N17" i="8"/>
  <c r="N16" i="8"/>
  <c r="N15" i="8"/>
  <c r="M15" i="8" s="1"/>
  <c r="N21" i="8"/>
  <c r="N13" i="8"/>
  <c r="M13" i="8" s="1"/>
  <c r="N20" i="8"/>
  <c r="N12" i="8"/>
  <c r="N19" i="8"/>
  <c r="M19" i="8" s="1"/>
  <c r="N14" i="8"/>
  <c r="K11" i="7"/>
  <c r="K10" i="7"/>
  <c r="K7" i="7"/>
  <c r="I13" i="8"/>
  <c r="H13" i="8" s="1"/>
  <c r="I17" i="8"/>
  <c r="H17" i="8" s="1"/>
  <c r="I21" i="8"/>
  <c r="H21" i="8" s="1"/>
  <c r="I18" i="8"/>
  <c r="H18" i="8" s="1"/>
  <c r="I19" i="8"/>
  <c r="H19" i="8" s="1"/>
  <c r="I15" i="8"/>
  <c r="H15" i="8" s="1"/>
  <c r="I16" i="8"/>
  <c r="H16" i="8" s="1"/>
  <c r="I20" i="8"/>
  <c r="H20" i="8" s="1"/>
  <c r="I14" i="8"/>
  <c r="H14" i="8" s="1"/>
  <c r="I12" i="8"/>
  <c r="K9" i="7"/>
  <c r="D13" i="8"/>
  <c r="C13" i="8" s="1"/>
  <c r="D21" i="8"/>
  <c r="C21" i="8" s="1"/>
  <c r="D14" i="8"/>
  <c r="C14" i="8" s="1"/>
  <c r="D12" i="8"/>
  <c r="D19" i="8"/>
  <c r="C19" i="8" s="1"/>
  <c r="D15" i="8"/>
  <c r="C15" i="8" s="1"/>
  <c r="D16" i="8"/>
  <c r="C16" i="8" s="1"/>
  <c r="D20" i="8"/>
  <c r="C20" i="8" s="1"/>
  <c r="D17" i="8"/>
  <c r="C17" i="8" s="1"/>
  <c r="D18" i="8"/>
  <c r="C18" i="8" s="1"/>
  <c r="M16" i="8"/>
  <c r="M20" i="8"/>
  <c r="M21" i="8"/>
  <c r="M17" i="8"/>
  <c r="M14" i="8"/>
  <c r="M18" i="8"/>
  <c r="H21" i="10" l="1"/>
  <c r="G12" i="10"/>
  <c r="H12" i="10" s="1"/>
  <c r="E11" i="4"/>
  <c r="C12" i="4" s="1"/>
  <c r="G11" i="4"/>
  <c r="K11" i="4" s="1"/>
  <c r="D22" i="8"/>
  <c r="G19" i="10" s="1"/>
  <c r="G11" i="10"/>
  <c r="H11" i="10" s="1"/>
  <c r="H20" i="10"/>
  <c r="N22" i="8"/>
  <c r="G21" i="10" s="1"/>
  <c r="H19" i="10"/>
  <c r="G10" i="10"/>
  <c r="H10" i="10" s="1"/>
  <c r="I22" i="8"/>
  <c r="G20" i="10" s="1"/>
  <c r="L9" i="7" l="1"/>
  <c r="L6" i="7"/>
  <c r="L8" i="7"/>
  <c r="L10" i="7"/>
  <c r="L7" i="7"/>
  <c r="L11" i="7"/>
  <c r="G12" i="4"/>
  <c r="K12" i="4" s="1"/>
  <c r="K13" i="4" s="1"/>
  <c r="E12" i="4"/>
  <c r="F16" i="4" l="1"/>
  <c r="F17" i="4" s="1"/>
  <c r="G7" i="10" s="1"/>
  <c r="M7" i="7"/>
  <c r="O7" i="7" s="1"/>
  <c r="M10" i="7"/>
  <c r="O10" i="7" s="1"/>
  <c r="P10" i="7" s="1"/>
  <c r="M8" i="7"/>
  <c r="O8" i="7" s="1"/>
  <c r="M6" i="7"/>
  <c r="O6" i="7" s="1"/>
  <c r="M11" i="7"/>
  <c r="O11" i="7" s="1"/>
  <c r="P11" i="7" s="1"/>
  <c r="M9" i="7"/>
  <c r="O9" i="7" s="1"/>
  <c r="P9" i="7" s="1"/>
  <c r="G6" i="10" l="1"/>
  <c r="C4" i="6"/>
  <c r="G4" i="10" s="1"/>
  <c r="P7" i="7"/>
  <c r="I9" i="8"/>
  <c r="P8" i="7"/>
  <c r="M9" i="8"/>
  <c r="D9" i="8"/>
  <c r="F19" i="10" s="1"/>
  <c r="F16" i="10" s="1"/>
  <c r="C9" i="8"/>
  <c r="P6" i="7"/>
  <c r="H9" i="8" l="1"/>
  <c r="F20" i="10"/>
  <c r="F17" i="10" s="1"/>
  <c r="C10" i="8"/>
  <c r="C11" i="8" s="1"/>
  <c r="C12" i="8" s="1"/>
  <c r="C22" i="8"/>
  <c r="G16" i="10" s="1"/>
  <c r="H16" i="10" s="1"/>
  <c r="M10" i="8"/>
  <c r="M11" i="8" s="1"/>
  <c r="M12" i="8" s="1"/>
  <c r="M22" i="8" s="1"/>
  <c r="G18" i="10" s="1"/>
  <c r="H18" i="10" s="1"/>
  <c r="N9" i="8"/>
  <c r="F21" i="10" s="1"/>
  <c r="F18" i="10" s="1"/>
  <c r="H10" i="8" l="1"/>
  <c r="H11" i="8" s="1"/>
  <c r="H12" i="8" s="1"/>
  <c r="H22" i="8" l="1"/>
  <c r="G17" i="10" s="1"/>
  <c r="H17" i="10" s="1"/>
</calcChain>
</file>

<file path=xl/sharedStrings.xml><?xml version="1.0" encoding="utf-8"?>
<sst xmlns="http://schemas.openxmlformats.org/spreadsheetml/2006/main" count="148" uniqueCount="80">
  <si>
    <t>Evolución de la producción</t>
  </si>
  <si>
    <t>Producción anual:</t>
  </si>
  <si>
    <t>unidades</t>
  </si>
  <si>
    <t>Producción mensual:</t>
  </si>
  <si>
    <t>Puesta en marcha:</t>
  </si>
  <si>
    <t>meses</t>
  </si>
  <si>
    <t>Mes</t>
  </si>
  <si>
    <t>Volumen de producción durante el resto del año 1:</t>
  </si>
  <si>
    <t>Volúmen de producción el en año 1:</t>
  </si>
  <si>
    <t>Volúmen de producción anual en los años 2 a 10:</t>
  </si>
  <si>
    <t>Total:</t>
  </si>
  <si>
    <t>Ritmo de producción al inicio (%)</t>
  </si>
  <si>
    <t>Producción mensual promedio (unidades)</t>
  </si>
  <si>
    <t>Producción propuesta (unidades)</t>
  </si>
  <si>
    <t>Ritmo de producción al final (%)</t>
  </si>
  <si>
    <t>Producción promedio  (%)</t>
  </si>
  <si>
    <t>Evolución de las ventas</t>
  </si>
  <si>
    <t>Unidades</t>
  </si>
  <si>
    <t>Año 1</t>
  </si>
  <si>
    <t>Año 2 a 10</t>
  </si>
  <si>
    <t>(Producción de año 1-Stock promedio de PT)</t>
  </si>
  <si>
    <t>(Producción anual)</t>
  </si>
  <si>
    <t>Consumo de materia prima</t>
  </si>
  <si>
    <t>kg</t>
  </si>
  <si>
    <t>Meses</t>
  </si>
  <si>
    <t>Total</t>
  </si>
  <si>
    <t>4-11,5</t>
  </si>
  <si>
    <t>Total PM</t>
  </si>
  <si>
    <t>Años 2 a 10</t>
  </si>
  <si>
    <t xml:space="preserve"> - Se hace una primera compra para los meses de puesta en marcha y luego se repone mensualmente en las cantidades necesarias</t>
  </si>
  <si>
    <t>Al fin del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</si>
  <si>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</si>
  <si>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</si>
  <si>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</si>
  <si>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</si>
  <si>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</si>
  <si>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</si>
  <si>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</si>
  <si>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</si>
  <si>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</si>
  <si>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</si>
  <si>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</si>
  <si>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</si>
  <si>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Dic. Año 0</t>
  </si>
  <si>
    <t>Stock</t>
  </si>
  <si>
    <t>Compras</t>
  </si>
  <si>
    <t>Ventas</t>
  </si>
  <si>
    <t>Stock promedio de elaborado</t>
  </si>
  <si>
    <t>Producción</t>
  </si>
  <si>
    <t>Desperdicio no recuperables</t>
  </si>
  <si>
    <t>En curso y semielaborados</t>
  </si>
  <si>
    <t>Compra</t>
  </si>
  <si>
    <t>Consumo MP</t>
  </si>
  <si>
    <t>Stock de MP</t>
  </si>
  <si>
    <t>Périodo Inst</t>
  </si>
  <si>
    <t>Años 2-10</t>
  </si>
  <si>
    <t>Promedio:</t>
  </si>
  <si>
    <t xml:space="preserve"> Evolución de compras y stock de las principales materias primas</t>
  </si>
  <si>
    <t>Para fabricar 1 paquete</t>
  </si>
  <si>
    <t>Harina de Arroz:</t>
  </si>
  <si>
    <t>Almidón de Maíz:</t>
  </si>
  <si>
    <t>Conservante (sorbato de potasio):</t>
  </si>
  <si>
    <t>Cajas de 7x7x20:</t>
  </si>
  <si>
    <t>Cajas de embalaje de 40x40x60:</t>
  </si>
  <si>
    <t>Bolsas de Nylon:</t>
  </si>
  <si>
    <t>Conservante (sorbato de potasio) :</t>
  </si>
  <si>
    <t>Cajas de 40x40x60:</t>
  </si>
  <si>
    <t>Stock promedio de producto elaborado</t>
  </si>
  <si>
    <t>Entregas cada 1 semana</t>
  </si>
  <si>
    <t>Semanas/año</t>
  </si>
  <si>
    <t>unid./año</t>
  </si>
  <si>
    <t>unid./semana</t>
  </si>
  <si>
    <t>Stock promedio:</t>
  </si>
  <si>
    <t>Stock de harina de arroz</t>
  </si>
  <si>
    <t>Stock de almidón de maíz</t>
  </si>
  <si>
    <t>Stock de conservante</t>
  </si>
  <si>
    <t>Almidón de maiz (kg)</t>
  </si>
  <si>
    <t>Harina de arroz  (kg)</t>
  </si>
  <si>
    <t>Conservante (kg)</t>
  </si>
  <si>
    <t>De acuerdo a lo establecido para el plan de ventas el primer año se deben vender 500000, y generar el stock promedio de 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</si>
</sst>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Border="1"/>
    <xf numFmtId="2" fontId="0" fillId="0" borderId="0" xfId="0" applyNumberFormat="1"/>
    <xf numFmtId="1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 applyAlignment="1">
      <alignment horizontal="right"/>
    </xf>
    <xf numFmtId="164" fontId="0" fillId="0" borderId="0" xfId="0" applyNumberFormat="1" applyBorder="1"/>
    <xf numFmtId="0" fontId="5" fillId="0" borderId="0" xfId="0" applyFont="1" applyAlignment="1">
      <alignment horizontal="right"/>
    </xf>
    <xf numFmtId="0" fontId="4" fillId="0" borderId="0" xfId="0" applyFont="1"/>
    <xf numFmtId="1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/>
    </xf>
    <xf numFmtId="0" fontId="0" fillId="0" borderId="4" xfId="0" applyBorder="1" applyAlignment="1"/>
    <xf numFmtId="0" fontId="0" fillId="0" borderId="3" xfId="0" applyBorder="1" applyAlignment="1"/>
    <xf numFmtId="0" fontId="0" fillId="2" borderId="2" xfId="0" applyFill="1" applyBorder="1"/>
    <xf numFmtId="0" fontId="0" fillId="2" borderId="1" xfId="0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Fill="1"/>
    <xf numFmtId="0" fontId="0" fillId="0" borderId="0" xfId="0" applyFill="1"/>
    <xf numFmtId="0" fontId="6" fillId="0" borderId="0" xfId="0" applyFont="1" applyFill="1"/>
    <xf numFmtId="165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workbookViewId="0">
      <selection activeCell="D10" sqref="D10"/>
    </sheetView>
  </sheetViews>
  <sheetFormatPr baseColWidth="10" defaultColWidth="11.375" defaultRowHeight="15" x14ac:dyDescent="0.25"/>
  <sheetData>
    <row r="1" spans="2:5" x14ac:dyDescent="0.25">
      <c r="B1" s="3"/>
      <c r="C1" s="3"/>
      <c r="D1" s="3"/>
      <c r="E1" s="3"/>
    </row>
    <row r="2" spans="2:5" ht="18.75" x14ac:dyDescent="0.3">
      <c r="B2" s="7" t="s">
        <v>67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68</v>
      </c>
      <c r="C4" s="3"/>
      <c r="D4" s="3"/>
      <c r="E4" s="3"/>
    </row>
    <row r="5" spans="2:5" x14ac:dyDescent="0.25">
      <c r="B5" s="3"/>
      <c r="C5" s="3"/>
      <c r="D5" s="3"/>
      <c r="E5" s="3"/>
    </row>
    <row r="6" spans="2:5" x14ac:dyDescent="0.25">
      <c r="B6" s="3">
        <v>50</v>
      </c>
      <c r="C6" s="3" t="s">
        <v>69</v>
      </c>
      <c r="D6" s="3"/>
      <c r="E6" s="3"/>
    </row>
    <row r="7" spans="2:5" x14ac:dyDescent="0.25">
      <c r="B7" s="3">
        <v>800000</v>
      </c>
      <c r="C7" s="3" t="s">
        <v>70</v>
      </c>
      <c r="D7" s="3"/>
      <c r="E7" s="3"/>
    </row>
    <row r="8" spans="2:5" x14ac:dyDescent="0.25">
      <c r="B8" s="3">
        <f>B7/B6</f>
        <v>16000</v>
      </c>
      <c r="C8" s="3" t="s">
        <v>71</v>
      </c>
      <c r="D8" s="3"/>
      <c r="E8" s="3"/>
    </row>
    <row r="9" spans="2:5" x14ac:dyDescent="0.25">
      <c r="B9" s="3"/>
      <c r="C9" s="3"/>
      <c r="D9" s="3"/>
      <c r="E9" s="3"/>
    </row>
    <row r="10" spans="2:5" x14ac:dyDescent="0.25">
      <c r="B10" s="3"/>
      <c r="C10" s="1" t="s">
        <v>72</v>
      </c>
      <c r="D10" s="3">
        <f>B8/2</f>
        <v>8000</v>
      </c>
      <c r="E10" s="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showGridLines="0" workbookViewId="0">
      <selection activeCell="J18" sqref="J18"/>
    </sheetView>
  </sheetViews>
  <sheetFormatPr baseColWidth="10" defaultColWidth="11.375" defaultRowHeight="15" x14ac:dyDescent="0.25"/>
  <sheetData>
    <row r="2" spans="2:12" ht="18.75" x14ac:dyDescent="0.3">
      <c r="B2" s="7" t="s">
        <v>0</v>
      </c>
    </row>
    <row r="4" spans="2:12" x14ac:dyDescent="0.25">
      <c r="C4" s="1" t="s">
        <v>1</v>
      </c>
      <c r="D4">
        <v>800000</v>
      </c>
      <c r="E4" t="s">
        <v>2</v>
      </c>
    </row>
    <row r="5" spans="2:12" x14ac:dyDescent="0.25">
      <c r="C5" s="1" t="s">
        <v>3</v>
      </c>
      <c r="D5" s="28">
        <f>D4/12</f>
        <v>66666.666666666672</v>
      </c>
      <c r="E5" s="29" t="s">
        <v>2</v>
      </c>
      <c r="F5" s="30"/>
    </row>
    <row r="6" spans="2:12" x14ac:dyDescent="0.25">
      <c r="C6" s="1" t="s">
        <v>4</v>
      </c>
      <c r="D6">
        <v>3</v>
      </c>
      <c r="E6" t="s">
        <v>5</v>
      </c>
    </row>
    <row r="9" spans="2:12" ht="30" customHeight="1" x14ac:dyDescent="0.25">
      <c r="B9" s="12" t="s">
        <v>6</v>
      </c>
      <c r="C9" s="32" t="s">
        <v>11</v>
      </c>
      <c r="D9" s="32"/>
      <c r="E9" s="32" t="s">
        <v>14</v>
      </c>
      <c r="F9" s="32"/>
      <c r="G9" s="32" t="s">
        <v>15</v>
      </c>
      <c r="H9" s="32"/>
      <c r="I9" s="32" t="s">
        <v>12</v>
      </c>
      <c r="J9" s="32"/>
      <c r="K9" s="32" t="s">
        <v>13</v>
      </c>
      <c r="L9" s="32"/>
    </row>
    <row r="10" spans="2:12" x14ac:dyDescent="0.25">
      <c r="B10" s="13">
        <v>1</v>
      </c>
      <c r="C10" s="35">
        <v>0</v>
      </c>
      <c r="D10" s="35"/>
      <c r="E10" s="35">
        <f>1/3</f>
        <v>0.33333333333333331</v>
      </c>
      <c r="F10" s="35"/>
      <c r="G10" s="35">
        <f>AVERAGE(C10:F10)</f>
        <v>0.16666666666666666</v>
      </c>
      <c r="H10" s="35"/>
      <c r="I10" s="36">
        <f>800000/12</f>
        <v>66666.666666666672</v>
      </c>
      <c r="J10" s="36"/>
      <c r="K10" s="33">
        <f>G10*I10</f>
        <v>11111.111111111111</v>
      </c>
      <c r="L10" s="33"/>
    </row>
    <row r="11" spans="2:12" x14ac:dyDescent="0.25">
      <c r="B11" s="13">
        <v>2</v>
      </c>
      <c r="C11" s="35">
        <f>E10</f>
        <v>0.33333333333333331</v>
      </c>
      <c r="D11" s="35"/>
      <c r="E11" s="35">
        <f>C11+E10</f>
        <v>0.66666666666666663</v>
      </c>
      <c r="F11" s="35"/>
      <c r="G11" s="35">
        <f t="shared" ref="G11:G12" si="0">AVERAGE(C11:F11)</f>
        <v>0.5</v>
      </c>
      <c r="H11" s="35"/>
      <c r="I11" s="36">
        <f>800000/12</f>
        <v>66666.666666666672</v>
      </c>
      <c r="J11" s="36"/>
      <c r="K11" s="33">
        <f t="shared" ref="K11:K12" si="1">G11*I11</f>
        <v>33333.333333333336</v>
      </c>
      <c r="L11" s="33"/>
    </row>
    <row r="12" spans="2:12" x14ac:dyDescent="0.25">
      <c r="B12" s="13">
        <v>3</v>
      </c>
      <c r="C12" s="35">
        <f>E11</f>
        <v>0.66666666666666663</v>
      </c>
      <c r="D12" s="35"/>
      <c r="E12" s="35">
        <f>C12+E10</f>
        <v>1</v>
      </c>
      <c r="F12" s="35"/>
      <c r="G12" s="35">
        <f t="shared" si="0"/>
        <v>0.83333333333333326</v>
      </c>
      <c r="H12" s="35"/>
      <c r="I12" s="36">
        <f>800000/12</f>
        <v>66666.666666666672</v>
      </c>
      <c r="J12" s="36"/>
      <c r="K12" s="33">
        <f t="shared" si="1"/>
        <v>55555.555555555555</v>
      </c>
      <c r="L12" s="33"/>
    </row>
    <row r="13" spans="2:12" x14ac:dyDescent="0.25">
      <c r="J13" s="14" t="s">
        <v>10</v>
      </c>
      <c r="K13" s="33">
        <f>SUM(K10:L12)</f>
        <v>100000</v>
      </c>
      <c r="L13" s="34"/>
    </row>
    <row r="16" spans="2:12" x14ac:dyDescent="0.25">
      <c r="E16" s="1" t="s">
        <v>7</v>
      </c>
      <c r="F16" s="11">
        <f>508000-K13</f>
        <v>408000</v>
      </c>
      <c r="G16" t="s">
        <v>79</v>
      </c>
    </row>
    <row r="17" spans="4:9" x14ac:dyDescent="0.25">
      <c r="E17" s="1" t="s">
        <v>8</v>
      </c>
      <c r="F17" s="11">
        <f>F16+K13</f>
        <v>508000</v>
      </c>
    </row>
    <row r="18" spans="4:9" x14ac:dyDescent="0.25">
      <c r="E18" s="1" t="s">
        <v>9</v>
      </c>
      <c r="F18" s="28">
        <f>D5*12</f>
        <v>800000</v>
      </c>
      <c r="G18" s="30"/>
      <c r="H18" s="29"/>
    </row>
    <row r="24" spans="4:9" x14ac:dyDescent="0.25">
      <c r="D24" s="26"/>
      <c r="E24" s="26"/>
      <c r="F24" s="26"/>
      <c r="G24" s="26"/>
      <c r="H24" s="26"/>
      <c r="I24" s="26"/>
    </row>
    <row r="25" spans="4:9" x14ac:dyDescent="0.25">
      <c r="D25" s="27"/>
      <c r="E25" s="27"/>
      <c r="F25" s="27"/>
      <c r="G25" s="27"/>
      <c r="H25" s="27"/>
      <c r="I25" s="27"/>
    </row>
    <row r="26" spans="4:9" x14ac:dyDescent="0.25">
      <c r="D26" s="27"/>
      <c r="E26" s="27"/>
      <c r="F26" s="27"/>
      <c r="G26" s="27"/>
      <c r="H26" s="27"/>
      <c r="I26" s="27"/>
    </row>
  </sheetData>
  <mergeCells count="21">
    <mergeCell ref="K13:L13"/>
    <mergeCell ref="C11:D11"/>
    <mergeCell ref="C12:D12"/>
    <mergeCell ref="E10:F10"/>
    <mergeCell ref="E11:F11"/>
    <mergeCell ref="E12:F12"/>
    <mergeCell ref="G10:H10"/>
    <mergeCell ref="G11:H11"/>
    <mergeCell ref="G12:H12"/>
    <mergeCell ref="C10:D10"/>
    <mergeCell ref="I10:J10"/>
    <mergeCell ref="I11:J11"/>
    <mergeCell ref="I12:J12"/>
    <mergeCell ref="K10:L10"/>
    <mergeCell ref="K11:L11"/>
    <mergeCell ref="K12:L12"/>
    <mergeCell ref="C9:D9"/>
    <mergeCell ref="E9:F9"/>
    <mergeCell ref="G9:H9"/>
    <mergeCell ref="I9:J9"/>
    <mergeCell ref="K9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showGridLines="0" topLeftCell="F1" workbookViewId="0">
      <selection activeCell="N7" sqref="N7"/>
    </sheetView>
  </sheetViews>
  <sheetFormatPr baseColWidth="10" defaultColWidth="11.375" defaultRowHeight="15" x14ac:dyDescent="0.25"/>
  <cols>
    <col min="8" max="8" width="14.625" customWidth="1"/>
    <col min="11" max="11" width="25.125" customWidth="1"/>
  </cols>
  <sheetData>
    <row r="2" spans="2:16" ht="18.75" x14ac:dyDescent="0.3">
      <c r="B2" s="7" t="s">
        <v>22</v>
      </c>
    </row>
    <row r="3" spans="2:16" x14ac:dyDescent="0.25">
      <c r="I3" s="17" t="s">
        <v>18</v>
      </c>
    </row>
    <row r="4" spans="2:16" x14ac:dyDescent="0.25">
      <c r="K4" s="37" t="s">
        <v>24</v>
      </c>
      <c r="L4" s="37"/>
      <c r="M4" s="37"/>
      <c r="N4" s="37"/>
    </row>
    <row r="5" spans="2:16" ht="15.75" x14ac:dyDescent="0.25">
      <c r="D5" s="16" t="s">
        <v>58</v>
      </c>
      <c r="K5">
        <v>1</v>
      </c>
      <c r="L5">
        <v>2</v>
      </c>
      <c r="M5">
        <v>3</v>
      </c>
      <c r="N5" t="s">
        <v>26</v>
      </c>
      <c r="O5" t="s">
        <v>27</v>
      </c>
      <c r="P5" t="s">
        <v>25</v>
      </c>
    </row>
    <row r="6" spans="2:16" x14ac:dyDescent="0.25">
      <c r="D6" s="1" t="s">
        <v>59</v>
      </c>
      <c r="E6" s="15">
        <f>28.5/375</f>
        <v>7.5999999999999998E-2</v>
      </c>
      <c r="F6" s="9" t="s">
        <v>23</v>
      </c>
      <c r="J6" s="1" t="s">
        <v>59</v>
      </c>
      <c r="K6" s="11">
        <f>$E6*'7 Ev.  Prod.'!$K$10</f>
        <v>844.44444444444446</v>
      </c>
      <c r="L6" s="11">
        <f>$E6*'7 Ev.  Prod.'!$K$11</f>
        <v>2533.3333333333335</v>
      </c>
      <c r="M6" s="11">
        <f>$E6*'7 Ev.  Prod.'!$K$12</f>
        <v>4222.2222222222217</v>
      </c>
      <c r="N6" s="11">
        <f>'7 Ev.  Prod.'!$I$10*E6</f>
        <v>5066.666666666667</v>
      </c>
      <c r="O6" s="11">
        <f>SUM(K6:M6)</f>
        <v>7600</v>
      </c>
      <c r="P6" s="11">
        <f>N6+O6</f>
        <v>12666.666666666668</v>
      </c>
    </row>
    <row r="7" spans="2:16" x14ac:dyDescent="0.25">
      <c r="D7" s="1" t="s">
        <v>60</v>
      </c>
      <c r="E7" s="9">
        <f>8/375</f>
        <v>2.1333333333333333E-2</v>
      </c>
      <c r="F7" s="9" t="s">
        <v>23</v>
      </c>
      <c r="J7" s="1" t="s">
        <v>60</v>
      </c>
      <c r="K7" s="11">
        <f>$E7*'7 Ev.  Prod.'!$K$10</f>
        <v>237.03703703703704</v>
      </c>
      <c r="L7" s="11">
        <f>$E7*'7 Ev.  Prod.'!$K$11</f>
        <v>711.11111111111109</v>
      </c>
      <c r="M7" s="11">
        <f>$E7*'7 Ev.  Prod.'!$K$12</f>
        <v>1185.1851851851852</v>
      </c>
      <c r="N7" s="11">
        <f>'7 Ev.  Prod.'!$I$10*E7</f>
        <v>1422.2222222222222</v>
      </c>
      <c r="O7" s="11">
        <f t="shared" ref="O7:O11" si="0">SUM(K7:M7)</f>
        <v>2133.3333333333335</v>
      </c>
      <c r="P7" s="11">
        <f t="shared" ref="P7:P11" si="1">N7+O7</f>
        <v>3555.5555555555557</v>
      </c>
    </row>
    <row r="8" spans="2:16" x14ac:dyDescent="0.25">
      <c r="D8" s="1" t="s">
        <v>61</v>
      </c>
      <c r="E8">
        <f>1/375</f>
        <v>2.6666666666666666E-3</v>
      </c>
      <c r="J8" s="1" t="s">
        <v>61</v>
      </c>
      <c r="K8" s="11">
        <f>$E8*'7 Ev.  Prod.'!$K$10</f>
        <v>29.62962962962963</v>
      </c>
      <c r="L8" s="11">
        <f>$E8*'7 Ev.  Prod.'!$K$11</f>
        <v>88.888888888888886</v>
      </c>
      <c r="M8" s="11">
        <f>$E8*'7 Ev.  Prod.'!$K$12</f>
        <v>148.14814814814815</v>
      </c>
      <c r="N8" s="11">
        <f>'7 Ev.  Prod.'!$I$10*E8</f>
        <v>177.77777777777777</v>
      </c>
      <c r="O8" s="11">
        <f t="shared" si="0"/>
        <v>266.66666666666669</v>
      </c>
      <c r="P8" s="11">
        <f t="shared" si="1"/>
        <v>444.44444444444446</v>
      </c>
    </row>
    <row r="9" spans="2:16" x14ac:dyDescent="0.25">
      <c r="D9" s="1" t="s">
        <v>62</v>
      </c>
      <c r="E9">
        <v>1</v>
      </c>
      <c r="J9" s="1" t="s">
        <v>62</v>
      </c>
      <c r="K9" s="11">
        <f>$E9*'7 Ev.  Prod.'!$K$10</f>
        <v>11111.111111111111</v>
      </c>
      <c r="L9" s="11">
        <f>$E9*'7 Ev.  Prod.'!$K$11</f>
        <v>33333.333333333336</v>
      </c>
      <c r="M9" s="11">
        <f>$E9*'7 Ev.  Prod.'!$K$12</f>
        <v>55555.555555555555</v>
      </c>
      <c r="N9" s="11">
        <f>'7 Ev.  Prod.'!$I$10*E9</f>
        <v>66666.666666666672</v>
      </c>
      <c r="O9" s="11">
        <f t="shared" si="0"/>
        <v>100000</v>
      </c>
      <c r="P9" s="11">
        <f t="shared" si="1"/>
        <v>166666.66666666669</v>
      </c>
    </row>
    <row r="10" spans="2:16" x14ac:dyDescent="0.25">
      <c r="D10" s="1" t="s">
        <v>63</v>
      </c>
      <c r="E10">
        <v>1</v>
      </c>
      <c r="J10" s="1" t="s">
        <v>63</v>
      </c>
      <c r="K10" s="11">
        <f>$E10*'7 Ev.  Prod.'!$K$10</f>
        <v>11111.111111111111</v>
      </c>
      <c r="L10" s="11">
        <f>$E10*'7 Ev.  Prod.'!$K$11</f>
        <v>33333.333333333336</v>
      </c>
      <c r="M10" s="11">
        <f>$E10*'7 Ev.  Prod.'!$K$12</f>
        <v>55555.555555555555</v>
      </c>
      <c r="N10" s="11">
        <f>'7 Ev.  Prod.'!$I$10*E10</f>
        <v>66666.666666666672</v>
      </c>
      <c r="O10" s="11">
        <f t="shared" si="0"/>
        <v>100000</v>
      </c>
      <c r="P10" s="11">
        <f t="shared" si="1"/>
        <v>166666.66666666669</v>
      </c>
    </row>
    <row r="11" spans="2:16" x14ac:dyDescent="0.25">
      <c r="D11" s="1" t="s">
        <v>64</v>
      </c>
      <c r="E11">
        <v>1</v>
      </c>
      <c r="J11" s="1" t="s">
        <v>64</v>
      </c>
      <c r="K11" s="11">
        <f>$E11*'7 Ev.  Prod.'!$K$10</f>
        <v>11111.111111111111</v>
      </c>
      <c r="L11" s="11">
        <f>$E11*'7 Ev.  Prod.'!$K$11</f>
        <v>33333.333333333336</v>
      </c>
      <c r="M11" s="11">
        <f>$E11*'7 Ev.  Prod.'!$K$12</f>
        <v>55555.555555555555</v>
      </c>
      <c r="N11" s="11">
        <f>'7 Ev.  Prod.'!$I$10*E11</f>
        <v>66666.666666666672</v>
      </c>
      <c r="O11" s="11">
        <f t="shared" si="0"/>
        <v>100000</v>
      </c>
      <c r="P11" s="11">
        <f t="shared" si="1"/>
        <v>166666.66666666669</v>
      </c>
    </row>
    <row r="12" spans="2:16" x14ac:dyDescent="0.25">
      <c r="D12" s="1"/>
      <c r="J12" s="1"/>
      <c r="K12" s="10"/>
      <c r="L12" s="10"/>
      <c r="M12" s="10"/>
      <c r="N12" s="10"/>
      <c r="O12" s="10"/>
      <c r="P12" s="10"/>
    </row>
    <row r="13" spans="2:16" x14ac:dyDescent="0.25">
      <c r="D13" s="1"/>
      <c r="J13" s="1"/>
      <c r="K13" s="10"/>
      <c r="L13" s="10"/>
      <c r="M13" s="10"/>
      <c r="N13" s="10"/>
      <c r="O13" s="10"/>
      <c r="P13" s="10"/>
    </row>
    <row r="14" spans="2:16" x14ac:dyDescent="0.25">
      <c r="D14" s="1"/>
      <c r="J14" s="1"/>
      <c r="K14" s="10"/>
      <c r="L14" s="10"/>
      <c r="M14" s="10"/>
      <c r="N14" s="10"/>
      <c r="O14" s="10"/>
      <c r="P14" s="10"/>
    </row>
    <row r="15" spans="2:16" x14ac:dyDescent="0.25">
      <c r="D15" s="1"/>
      <c r="J15" s="1"/>
      <c r="K15" s="10"/>
      <c r="L15" s="10"/>
      <c r="M15" s="10"/>
      <c r="N15" s="10"/>
      <c r="O15" s="10"/>
      <c r="P15" s="10"/>
    </row>
    <row r="16" spans="2:16" x14ac:dyDescent="0.25">
      <c r="D16" s="1"/>
      <c r="J16" s="1"/>
      <c r="K16" s="10"/>
      <c r="L16" s="10"/>
      <c r="M16" s="10"/>
      <c r="N16" s="10"/>
      <c r="O16" s="10"/>
      <c r="P16" s="10"/>
    </row>
    <row r="17" spans="4:16" x14ac:dyDescent="0.25">
      <c r="D17" s="1"/>
      <c r="J17" s="1"/>
      <c r="K17" s="10"/>
      <c r="L17" s="10"/>
      <c r="M17" s="10"/>
      <c r="N17" s="10"/>
      <c r="O17" s="10"/>
      <c r="P17" s="10"/>
    </row>
    <row r="21" spans="4:16" x14ac:dyDescent="0.25">
      <c r="I21" s="17" t="s">
        <v>28</v>
      </c>
    </row>
    <row r="24" spans="4:16" x14ac:dyDescent="0.25">
      <c r="J24" s="1" t="s">
        <v>59</v>
      </c>
      <c r="K24">
        <f>N6*11.5</f>
        <v>58266.666666666672</v>
      </c>
    </row>
    <row r="25" spans="4:16" x14ac:dyDescent="0.25">
      <c r="J25" s="1" t="s">
        <v>60</v>
      </c>
      <c r="K25" s="3">
        <f>N7*11.5</f>
        <v>16355.555555555555</v>
      </c>
    </row>
    <row r="26" spans="4:16" x14ac:dyDescent="0.25">
      <c r="J26" s="1" t="s">
        <v>65</v>
      </c>
      <c r="K26" s="3">
        <f t="shared" ref="K26:K29" si="2">N8*11.5</f>
        <v>2044.4444444444443</v>
      </c>
    </row>
    <row r="27" spans="4:16" x14ac:dyDescent="0.25">
      <c r="J27" s="1" t="s">
        <v>62</v>
      </c>
      <c r="K27" s="3">
        <f t="shared" si="2"/>
        <v>766666.66666666674</v>
      </c>
    </row>
    <row r="28" spans="4:16" x14ac:dyDescent="0.25">
      <c r="J28" s="1" t="s">
        <v>66</v>
      </c>
      <c r="K28" s="3">
        <f t="shared" si="2"/>
        <v>766666.66666666674</v>
      </c>
    </row>
    <row r="29" spans="4:16" x14ac:dyDescent="0.25">
      <c r="J29" s="1" t="s">
        <v>64</v>
      </c>
      <c r="K29" s="3">
        <f t="shared" si="2"/>
        <v>766666.66666666674</v>
      </c>
    </row>
    <row r="30" spans="4:16" x14ac:dyDescent="0.25">
      <c r="J30" s="1"/>
      <c r="K30" s="3"/>
    </row>
    <row r="31" spans="4:16" x14ac:dyDescent="0.25">
      <c r="J31" s="1"/>
      <c r="K31" s="3"/>
    </row>
    <row r="32" spans="4:16" x14ac:dyDescent="0.25">
      <c r="J32" s="1"/>
      <c r="K32" s="3"/>
    </row>
    <row r="33" spans="10:10" x14ac:dyDescent="0.25">
      <c r="J33" s="1"/>
    </row>
    <row r="34" spans="10:10" x14ac:dyDescent="0.25">
      <c r="J34" s="1"/>
    </row>
    <row r="35" spans="10:10" x14ac:dyDescent="0.25">
      <c r="J35" s="1"/>
    </row>
  </sheetData>
  <mergeCells count="1">
    <mergeCell ref="K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showGridLines="0" workbookViewId="0">
      <selection activeCell="C4" sqref="C4"/>
    </sheetView>
  </sheetViews>
  <sheetFormatPr baseColWidth="10" defaultColWidth="11.375" defaultRowHeight="15" x14ac:dyDescent="0.25"/>
  <sheetData>
    <row r="2" spans="2:5" ht="18.75" x14ac:dyDescent="0.3">
      <c r="B2" s="7" t="s">
        <v>16</v>
      </c>
    </row>
    <row r="4" spans="2:5" x14ac:dyDescent="0.25">
      <c r="B4" s="1" t="s">
        <v>18</v>
      </c>
      <c r="C4" s="11">
        <f>'7 Ev.  Prod.'!$F$17-'6 Stock'!D10</f>
        <v>500000</v>
      </c>
      <c r="D4" t="s">
        <v>17</v>
      </c>
      <c r="E4" t="s">
        <v>20</v>
      </c>
    </row>
    <row r="5" spans="2:5" x14ac:dyDescent="0.25">
      <c r="B5" s="1" t="s">
        <v>19</v>
      </c>
      <c r="C5">
        <v>800000</v>
      </c>
      <c r="D5" t="s">
        <v>17</v>
      </c>
      <c r="E5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"/>
  <sheetViews>
    <sheetView showGridLines="0" workbookViewId="0">
      <selection activeCell="D14" sqref="D14"/>
    </sheetView>
  </sheetViews>
  <sheetFormatPr baseColWidth="10" defaultColWidth="11.375" defaultRowHeight="15" x14ac:dyDescent="0.25"/>
  <cols>
    <col min="2" max="2" width="13" customWidth="1"/>
    <col min="7" max="7" width="13.375" customWidth="1"/>
    <col min="12" max="12" width="13.125" customWidth="1"/>
  </cols>
  <sheetData>
    <row r="2" spans="2:14" ht="18.75" x14ac:dyDescent="0.3">
      <c r="B2" s="7" t="s">
        <v>57</v>
      </c>
    </row>
    <row r="3" spans="2:14" x14ac:dyDescent="0.25">
      <c r="B3" s="2" t="s">
        <v>29</v>
      </c>
    </row>
    <row r="4" spans="2:14" ht="15" customHeight="1" x14ac:dyDescent="0.25">
      <c r="C4" s="4"/>
      <c r="D4" s="4"/>
      <c r="E4" s="4"/>
      <c r="F4" s="4"/>
    </row>
    <row r="5" spans="2:14" ht="15.75" x14ac:dyDescent="0.25">
      <c r="B5" s="6" t="s">
        <v>73</v>
      </c>
      <c r="C5" s="4"/>
      <c r="D5" s="4"/>
      <c r="E5" s="4"/>
      <c r="G5" s="6" t="s">
        <v>74</v>
      </c>
      <c r="L5" s="6" t="s">
        <v>75</v>
      </c>
    </row>
    <row r="7" spans="2:14" ht="15.75" x14ac:dyDescent="0.25">
      <c r="B7" s="6" t="s">
        <v>18</v>
      </c>
      <c r="G7" s="6" t="s">
        <v>18</v>
      </c>
      <c r="L7" s="5" t="s">
        <v>18</v>
      </c>
    </row>
    <row r="8" spans="2:14" x14ac:dyDescent="0.25">
      <c r="B8" s="20" t="s">
        <v>30</v>
      </c>
      <c r="C8" s="20" t="s">
        <v>44</v>
      </c>
      <c r="D8" s="20" t="s">
        <v>45</v>
      </c>
      <c r="G8" s="20" t="s">
        <v>30</v>
      </c>
      <c r="H8" s="20" t="s">
        <v>44</v>
      </c>
      <c r="I8" s="20" t="s">
        <v>45</v>
      </c>
      <c r="L8" s="20" t="s">
        <v>30</v>
      </c>
      <c r="M8" s="20" t="s">
        <v>44</v>
      </c>
      <c r="N8" s="20" t="s">
        <v>45</v>
      </c>
    </row>
    <row r="9" spans="2:14" x14ac:dyDescent="0.25">
      <c r="B9" s="20" t="s">
        <v>43</v>
      </c>
      <c r="C9" s="18">
        <f>'8 Consmo MP'!$O$6</f>
        <v>7600</v>
      </c>
      <c r="D9" s="18">
        <f>'8 Consmo MP'!$O$6</f>
        <v>7600</v>
      </c>
      <c r="G9" s="20" t="s">
        <v>43</v>
      </c>
      <c r="H9" s="19">
        <f>I9</f>
        <v>2133.3333333333335</v>
      </c>
      <c r="I9" s="19">
        <f>'8 Consmo MP'!O7</f>
        <v>2133.3333333333335</v>
      </c>
      <c r="L9" s="20" t="s">
        <v>43</v>
      </c>
      <c r="M9" s="19">
        <f>'8 Consmo MP'!O8</f>
        <v>266.66666666666669</v>
      </c>
      <c r="N9" s="19">
        <f>M9</f>
        <v>266.66666666666669</v>
      </c>
    </row>
    <row r="10" spans="2:14" x14ac:dyDescent="0.25">
      <c r="B10" s="20" t="s">
        <v>31</v>
      </c>
      <c r="C10" s="18">
        <f>C9-'8 Consmo MP'!K6</f>
        <v>6755.5555555555557</v>
      </c>
      <c r="D10" s="18">
        <v>0</v>
      </c>
      <c r="G10" s="20" t="s">
        <v>31</v>
      </c>
      <c r="H10" s="19">
        <f>H9-'8 Consmo MP'!K7</f>
        <v>1896.2962962962965</v>
      </c>
      <c r="I10" s="8">
        <v>0</v>
      </c>
      <c r="L10" s="20" t="s">
        <v>31</v>
      </c>
      <c r="M10" s="19">
        <f>M9-'8 Consmo MP'!K8</f>
        <v>237.03703703703707</v>
      </c>
      <c r="N10" s="8">
        <v>0</v>
      </c>
    </row>
    <row r="11" spans="2:14" x14ac:dyDescent="0.25">
      <c r="B11" s="20" t="s">
        <v>32</v>
      </c>
      <c r="C11" s="18">
        <f>C10-'8 Consmo MP'!L6</f>
        <v>4222.2222222222226</v>
      </c>
      <c r="D11" s="18">
        <v>0</v>
      </c>
      <c r="G11" s="20" t="s">
        <v>32</v>
      </c>
      <c r="H11" s="19">
        <f>H10-'8 Consmo MP'!L7</f>
        <v>1185.1851851851854</v>
      </c>
      <c r="I11" s="8">
        <v>0</v>
      </c>
      <c r="L11" s="20" t="s">
        <v>32</v>
      </c>
      <c r="M11" s="19">
        <f>M10-'8 Consmo MP'!L8</f>
        <v>148.14814814814818</v>
      </c>
      <c r="N11" s="8">
        <v>0</v>
      </c>
    </row>
    <row r="12" spans="2:14" x14ac:dyDescent="0.25">
      <c r="B12" s="20" t="s">
        <v>33</v>
      </c>
      <c r="C12" s="18">
        <f>C11-'8 Consmo MP'!M6+D12</f>
        <v>5066.6666666666679</v>
      </c>
      <c r="D12" s="18">
        <f>'8 Consmo MP'!$N$6</f>
        <v>5066.666666666667</v>
      </c>
      <c r="G12" s="20" t="s">
        <v>33</v>
      </c>
      <c r="H12" s="19">
        <f>H11-'8 Consmo MP'!M7+I12</f>
        <v>1422.2222222222224</v>
      </c>
      <c r="I12" s="19">
        <f>'8 Consmo MP'!$N$7</f>
        <v>1422.2222222222222</v>
      </c>
      <c r="L12" s="20" t="s">
        <v>33</v>
      </c>
      <c r="M12" s="19">
        <f>M11-'8 Consmo MP'!M8+N12</f>
        <v>177.7777777777778</v>
      </c>
      <c r="N12" s="19">
        <f>'8 Consmo MP'!N8</f>
        <v>177.77777777777777</v>
      </c>
    </row>
    <row r="13" spans="2:14" x14ac:dyDescent="0.25">
      <c r="B13" s="20" t="s">
        <v>34</v>
      </c>
      <c r="C13" s="18">
        <f>D13</f>
        <v>5066.666666666667</v>
      </c>
      <c r="D13" s="18">
        <f>'8 Consmo MP'!$N$6</f>
        <v>5066.666666666667</v>
      </c>
      <c r="G13" s="20" t="s">
        <v>34</v>
      </c>
      <c r="H13" s="19">
        <f>I13</f>
        <v>1422.2222222222222</v>
      </c>
      <c r="I13" s="19">
        <f>'8 Consmo MP'!$N$7</f>
        <v>1422.2222222222222</v>
      </c>
      <c r="L13" s="20" t="s">
        <v>34</v>
      </c>
      <c r="M13" s="19">
        <f>N13</f>
        <v>177.77777777777777</v>
      </c>
      <c r="N13" s="19">
        <f>'8 Consmo MP'!N8</f>
        <v>177.77777777777777</v>
      </c>
    </row>
    <row r="14" spans="2:14" x14ac:dyDescent="0.25">
      <c r="B14" s="20" t="s">
        <v>35</v>
      </c>
      <c r="C14" s="18">
        <f t="shared" ref="C14:C21" si="0">D14</f>
        <v>5066.666666666667</v>
      </c>
      <c r="D14" s="18">
        <f>'8 Consmo MP'!$N$6</f>
        <v>5066.666666666667</v>
      </c>
      <c r="G14" s="20" t="s">
        <v>35</v>
      </c>
      <c r="H14" s="19">
        <f t="shared" ref="H14:H21" si="1">I14</f>
        <v>1422.2222222222222</v>
      </c>
      <c r="I14" s="19">
        <f>'8 Consmo MP'!$N$7</f>
        <v>1422.2222222222222</v>
      </c>
      <c r="L14" s="20" t="s">
        <v>35</v>
      </c>
      <c r="M14" s="19">
        <f t="shared" ref="M14:M21" si="2">N14</f>
        <v>177.77777777777777</v>
      </c>
      <c r="N14" s="19">
        <f>'8 Consmo MP'!N8</f>
        <v>177.77777777777777</v>
      </c>
    </row>
    <row r="15" spans="2:14" x14ac:dyDescent="0.25">
      <c r="B15" s="20" t="s">
        <v>36</v>
      </c>
      <c r="C15" s="18">
        <f t="shared" si="0"/>
        <v>5066.666666666667</v>
      </c>
      <c r="D15" s="18">
        <f>'8 Consmo MP'!$N$6</f>
        <v>5066.666666666667</v>
      </c>
      <c r="G15" s="20" t="s">
        <v>36</v>
      </c>
      <c r="H15" s="19">
        <f t="shared" si="1"/>
        <v>1422.2222222222222</v>
      </c>
      <c r="I15" s="19">
        <f>'8 Consmo MP'!$N$7</f>
        <v>1422.2222222222222</v>
      </c>
      <c r="L15" s="20" t="s">
        <v>36</v>
      </c>
      <c r="M15" s="19">
        <f t="shared" si="2"/>
        <v>177.77777777777777</v>
      </c>
      <c r="N15" s="19">
        <f>'8 Consmo MP'!N8</f>
        <v>177.77777777777777</v>
      </c>
    </row>
    <row r="16" spans="2:14" x14ac:dyDescent="0.25">
      <c r="B16" s="20" t="s">
        <v>37</v>
      </c>
      <c r="C16" s="18">
        <f t="shared" si="0"/>
        <v>5066.666666666667</v>
      </c>
      <c r="D16" s="18">
        <f>'8 Consmo MP'!$N$6</f>
        <v>5066.666666666667</v>
      </c>
      <c r="G16" s="20" t="s">
        <v>37</v>
      </c>
      <c r="H16" s="19">
        <f t="shared" si="1"/>
        <v>1422.2222222222222</v>
      </c>
      <c r="I16" s="19">
        <f>'8 Consmo MP'!$N$7</f>
        <v>1422.2222222222222</v>
      </c>
      <c r="L16" s="20" t="s">
        <v>37</v>
      </c>
      <c r="M16" s="19">
        <f t="shared" si="2"/>
        <v>177.77777777777777</v>
      </c>
      <c r="N16" s="19">
        <f>'8 Consmo MP'!N8</f>
        <v>177.77777777777777</v>
      </c>
    </row>
    <row r="17" spans="2:15" x14ac:dyDescent="0.25">
      <c r="B17" s="20" t="s">
        <v>38</v>
      </c>
      <c r="C17" s="18">
        <f t="shared" si="0"/>
        <v>5066.666666666667</v>
      </c>
      <c r="D17" s="18">
        <f>'8 Consmo MP'!$N$6</f>
        <v>5066.666666666667</v>
      </c>
      <c r="G17" s="20" t="s">
        <v>38</v>
      </c>
      <c r="H17" s="19">
        <f t="shared" si="1"/>
        <v>1422.2222222222222</v>
      </c>
      <c r="I17" s="19">
        <f>'8 Consmo MP'!$N$7</f>
        <v>1422.2222222222222</v>
      </c>
      <c r="L17" s="20" t="s">
        <v>38</v>
      </c>
      <c r="M17" s="19">
        <f t="shared" si="2"/>
        <v>177.77777777777777</v>
      </c>
      <c r="N17" s="19">
        <f>'8 Consmo MP'!N8</f>
        <v>177.77777777777777</v>
      </c>
    </row>
    <row r="18" spans="2:15" x14ac:dyDescent="0.25">
      <c r="B18" s="20" t="s">
        <v>39</v>
      </c>
      <c r="C18" s="18">
        <f t="shared" si="0"/>
        <v>5066.666666666667</v>
      </c>
      <c r="D18" s="18">
        <f>'8 Consmo MP'!$N$6</f>
        <v>5066.666666666667</v>
      </c>
      <c r="G18" s="20" t="s">
        <v>39</v>
      </c>
      <c r="H18" s="19">
        <f t="shared" si="1"/>
        <v>1422.2222222222222</v>
      </c>
      <c r="I18" s="19">
        <f>'8 Consmo MP'!$N$7</f>
        <v>1422.2222222222222</v>
      </c>
      <c r="L18" s="20" t="s">
        <v>39</v>
      </c>
      <c r="M18" s="19">
        <f t="shared" si="2"/>
        <v>177.77777777777777</v>
      </c>
      <c r="N18" s="19">
        <f>'8 Consmo MP'!N8</f>
        <v>177.77777777777777</v>
      </c>
    </row>
    <row r="19" spans="2:15" x14ac:dyDescent="0.25">
      <c r="B19" s="20" t="s">
        <v>40</v>
      </c>
      <c r="C19" s="18">
        <f t="shared" si="0"/>
        <v>5066.666666666667</v>
      </c>
      <c r="D19" s="18">
        <f>'8 Consmo MP'!$N$6</f>
        <v>5066.666666666667</v>
      </c>
      <c r="G19" s="20" t="s">
        <v>40</v>
      </c>
      <c r="H19" s="19">
        <f t="shared" si="1"/>
        <v>1422.2222222222222</v>
      </c>
      <c r="I19" s="19">
        <f>'8 Consmo MP'!$N$7</f>
        <v>1422.2222222222222</v>
      </c>
      <c r="L19" s="20" t="s">
        <v>40</v>
      </c>
      <c r="M19" s="19">
        <f t="shared" si="2"/>
        <v>177.77777777777777</v>
      </c>
      <c r="N19" s="19">
        <f>'8 Consmo MP'!N8</f>
        <v>177.77777777777777</v>
      </c>
    </row>
    <row r="20" spans="2:15" x14ac:dyDescent="0.25">
      <c r="B20" s="20" t="s">
        <v>41</v>
      </c>
      <c r="C20" s="18">
        <f t="shared" si="0"/>
        <v>5066.666666666667</v>
      </c>
      <c r="D20" s="18">
        <f>'8 Consmo MP'!$N$6</f>
        <v>5066.666666666667</v>
      </c>
      <c r="G20" s="20" t="s">
        <v>41</v>
      </c>
      <c r="H20" s="19">
        <f t="shared" si="1"/>
        <v>1422.2222222222222</v>
      </c>
      <c r="I20" s="19">
        <f>'8 Consmo MP'!$N$7</f>
        <v>1422.2222222222222</v>
      </c>
      <c r="L20" s="20" t="s">
        <v>41</v>
      </c>
      <c r="M20" s="19">
        <f t="shared" si="2"/>
        <v>177.77777777777777</v>
      </c>
      <c r="N20" s="19">
        <f>'8 Consmo MP'!N8</f>
        <v>177.77777777777777</v>
      </c>
    </row>
    <row r="21" spans="2:15" x14ac:dyDescent="0.25">
      <c r="B21" s="20" t="s">
        <v>42</v>
      </c>
      <c r="C21" s="18">
        <f t="shared" si="0"/>
        <v>5066.666666666667</v>
      </c>
      <c r="D21" s="18">
        <f>'8 Consmo MP'!$N$6</f>
        <v>5066.666666666667</v>
      </c>
      <c r="G21" s="20" t="s">
        <v>42</v>
      </c>
      <c r="H21" s="19">
        <f t="shared" si="1"/>
        <v>1422.2222222222222</v>
      </c>
      <c r="I21" s="19">
        <f>'8 Consmo MP'!$N$7</f>
        <v>1422.2222222222222</v>
      </c>
      <c r="L21" s="20" t="s">
        <v>42</v>
      </c>
      <c r="M21" s="19">
        <f t="shared" si="2"/>
        <v>177.77777777777777</v>
      </c>
      <c r="N21" s="19">
        <f>'8 Consmo MP'!N8</f>
        <v>177.77777777777777</v>
      </c>
    </row>
    <row r="22" spans="2:15" x14ac:dyDescent="0.25">
      <c r="B22" s="21" t="s">
        <v>56</v>
      </c>
      <c r="C22" s="18">
        <f>AVERAGE(C9:C21)</f>
        <v>5326.4957264957256</v>
      </c>
      <c r="D22" s="18">
        <f>SUM(D10:D21)</f>
        <v>50666.666666666664</v>
      </c>
      <c r="E22" s="5" t="s">
        <v>25</v>
      </c>
      <c r="G22" s="21" t="s">
        <v>56</v>
      </c>
      <c r="H22" s="19">
        <f>AVERAGE(H9:H21)</f>
        <v>1495.1566951566954</v>
      </c>
      <c r="I22" s="19">
        <f>SUM(I10:I21)</f>
        <v>14222.222222222224</v>
      </c>
      <c r="J22" s="5" t="s">
        <v>25</v>
      </c>
      <c r="L22" s="21" t="s">
        <v>56</v>
      </c>
      <c r="M22" s="19">
        <f>AVERAGE(M9:M21)</f>
        <v>186.89458689458692</v>
      </c>
      <c r="N22" s="19">
        <f>SUM(N10:N21)</f>
        <v>1777.7777777777781</v>
      </c>
      <c r="O22" s="5" t="s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1"/>
  <sheetViews>
    <sheetView showGridLines="0" tabSelected="1" workbookViewId="0">
      <selection activeCell="I12" sqref="I12"/>
    </sheetView>
  </sheetViews>
  <sheetFormatPr baseColWidth="10" defaultColWidth="11.375" defaultRowHeight="15" x14ac:dyDescent="0.25"/>
  <cols>
    <col min="3" max="3" width="11.375" customWidth="1"/>
    <col min="5" max="5" width="21.25" customWidth="1"/>
    <col min="6" max="6" width="11.375" customWidth="1"/>
    <col min="7" max="7" width="11.5" bestFit="1" customWidth="1"/>
    <col min="8" max="8" width="12.375" bestFit="1" customWidth="1"/>
  </cols>
  <sheetData>
    <row r="3" spans="3:8" x14ac:dyDescent="0.25">
      <c r="C3" s="22"/>
      <c r="D3" s="22"/>
      <c r="E3" s="23"/>
      <c r="F3" s="24" t="s">
        <v>54</v>
      </c>
      <c r="G3" s="20" t="s">
        <v>18</v>
      </c>
      <c r="H3" s="20" t="s">
        <v>55</v>
      </c>
    </row>
    <row r="4" spans="3:8" x14ac:dyDescent="0.25">
      <c r="C4" s="38" t="s">
        <v>46</v>
      </c>
      <c r="D4" s="38"/>
      <c r="E4" s="38"/>
      <c r="F4" s="8"/>
      <c r="G4" s="18">
        <f>'9 Ventas'!C4</f>
        <v>500000</v>
      </c>
      <c r="H4" s="8">
        <f>'9 Ventas'!C5</f>
        <v>800000</v>
      </c>
    </row>
    <row r="5" spans="3:8" x14ac:dyDescent="0.25">
      <c r="C5" s="39" t="s">
        <v>47</v>
      </c>
      <c r="D5" s="39"/>
      <c r="E5" s="39"/>
      <c r="F5" s="8"/>
      <c r="G5" s="8">
        <f>'6 Stock'!D10</f>
        <v>8000</v>
      </c>
      <c r="H5" s="8">
        <f>'6 Stock'!D10</f>
        <v>8000</v>
      </c>
    </row>
    <row r="6" spans="3:8" x14ac:dyDescent="0.25">
      <c r="C6" s="39" t="s">
        <v>48</v>
      </c>
      <c r="D6" s="39"/>
      <c r="E6" s="39"/>
      <c r="F6" s="8"/>
      <c r="G6" s="18">
        <f>'7 Ev.  Prod.'!F17</f>
        <v>508000</v>
      </c>
      <c r="H6" s="18">
        <f>'7 Ev.  Prod.'!F18</f>
        <v>800000</v>
      </c>
    </row>
    <row r="7" spans="3:8" ht="15" customHeight="1" x14ac:dyDescent="0.25">
      <c r="C7" s="40" t="s">
        <v>49</v>
      </c>
      <c r="D7" s="40"/>
      <c r="E7" s="20" t="s">
        <v>77</v>
      </c>
      <c r="F7" s="8"/>
      <c r="G7" s="19">
        <f>('7 Ev.  Prod.'!F17/'7 Ev.  Prod.'!F18)*H7</f>
        <v>13335</v>
      </c>
      <c r="H7" s="19">
        <f>21000</f>
        <v>21000</v>
      </c>
    </row>
    <row r="8" spans="3:8" x14ac:dyDescent="0.25">
      <c r="C8" s="40"/>
      <c r="D8" s="40"/>
      <c r="E8" s="20" t="s">
        <v>76</v>
      </c>
      <c r="F8" s="8"/>
      <c r="G8" s="8">
        <v>0</v>
      </c>
      <c r="H8" s="8">
        <v>0</v>
      </c>
    </row>
    <row r="9" spans="3:8" x14ac:dyDescent="0.25">
      <c r="C9" s="40"/>
      <c r="D9" s="40"/>
      <c r="E9" s="20" t="s">
        <v>78</v>
      </c>
      <c r="F9" s="8"/>
      <c r="G9" s="8">
        <v>0</v>
      </c>
      <c r="H9" s="8">
        <v>0</v>
      </c>
    </row>
    <row r="10" spans="3:8" ht="15" customHeight="1" x14ac:dyDescent="0.25">
      <c r="C10" s="40" t="s">
        <v>50</v>
      </c>
      <c r="D10" s="40"/>
      <c r="E10" s="25" t="s">
        <v>77</v>
      </c>
      <c r="F10" s="31"/>
      <c r="G10" s="31">
        <f>'8 Consmo MP'!K24/50/2</f>
        <v>582.66666666666674</v>
      </c>
      <c r="H10" s="31">
        <f>G10</f>
        <v>582.66666666666674</v>
      </c>
    </row>
    <row r="11" spans="3:8" x14ac:dyDescent="0.25">
      <c r="C11" s="40"/>
      <c r="D11" s="40"/>
      <c r="E11" s="25" t="s">
        <v>76</v>
      </c>
      <c r="F11" s="31"/>
      <c r="G11" s="31">
        <f>'8 Consmo MP'!K25/2/2</f>
        <v>4088.8888888888887</v>
      </c>
      <c r="H11" s="31">
        <f t="shared" ref="H11:H12" si="0">G11</f>
        <v>4088.8888888888887</v>
      </c>
    </row>
    <row r="12" spans="3:8" x14ac:dyDescent="0.25">
      <c r="C12" s="40"/>
      <c r="D12" s="40"/>
      <c r="E12" s="25" t="s">
        <v>78</v>
      </c>
      <c r="F12" s="31"/>
      <c r="G12" s="31">
        <f>'8 Consmo MP'!K26/2/2</f>
        <v>511.11111111111109</v>
      </c>
      <c r="H12" s="31">
        <f t="shared" si="0"/>
        <v>511.11111111111109</v>
      </c>
    </row>
    <row r="13" spans="3:8" x14ac:dyDescent="0.25">
      <c r="C13" s="41" t="s">
        <v>52</v>
      </c>
      <c r="D13" s="41"/>
      <c r="E13" s="25" t="s">
        <v>77</v>
      </c>
      <c r="F13" s="31"/>
      <c r="G13" s="31">
        <v>292.17391304347825</v>
      </c>
      <c r="H13" s="31">
        <v>1344</v>
      </c>
    </row>
    <row r="14" spans="3:8" x14ac:dyDescent="0.25">
      <c r="C14" s="41"/>
      <c r="D14" s="41"/>
      <c r="E14" s="25" t="s">
        <v>76</v>
      </c>
      <c r="F14" s="31"/>
      <c r="G14" s="31">
        <v>26086.956521739128</v>
      </c>
      <c r="H14" s="31">
        <v>120000</v>
      </c>
    </row>
    <row r="15" spans="3:8" x14ac:dyDescent="0.25">
      <c r="C15" s="41"/>
      <c r="D15" s="41"/>
      <c r="E15" s="25" t="s">
        <v>78</v>
      </c>
      <c r="F15" s="31"/>
      <c r="G15" s="31">
        <v>260869.5652173913</v>
      </c>
      <c r="H15" s="31">
        <v>1200000</v>
      </c>
    </row>
    <row r="16" spans="3:8" x14ac:dyDescent="0.25">
      <c r="C16" s="41" t="s">
        <v>53</v>
      </c>
      <c r="D16" s="41"/>
      <c r="E16" s="25" t="s">
        <v>77</v>
      </c>
      <c r="F16" s="31">
        <f>F19</f>
        <v>7600</v>
      </c>
      <c r="G16" s="31">
        <f>'10 Stock MP'!C22</f>
        <v>5326.4957264957256</v>
      </c>
      <c r="H16" s="31">
        <f>G16</f>
        <v>5326.4957264957256</v>
      </c>
    </row>
    <row r="17" spans="3:8" x14ac:dyDescent="0.25">
      <c r="C17" s="41"/>
      <c r="D17" s="41"/>
      <c r="E17" s="25" t="s">
        <v>76</v>
      </c>
      <c r="F17" s="31">
        <f t="shared" ref="F17:F18" si="1">F20</f>
        <v>2133.3333333333335</v>
      </c>
      <c r="G17" s="31">
        <f>'10 Stock MP'!H22</f>
        <v>1495.1566951566954</v>
      </c>
      <c r="H17" s="31">
        <f t="shared" ref="H17:H18" si="2">G17</f>
        <v>1495.1566951566954</v>
      </c>
    </row>
    <row r="18" spans="3:8" x14ac:dyDescent="0.25">
      <c r="C18" s="41"/>
      <c r="D18" s="41"/>
      <c r="E18" s="25" t="s">
        <v>78</v>
      </c>
      <c r="F18" s="31">
        <f t="shared" si="1"/>
        <v>266.66666666666669</v>
      </c>
      <c r="G18" s="31">
        <f>'10 Stock MP'!M22</f>
        <v>186.89458689458692</v>
      </c>
      <c r="H18" s="31">
        <f t="shared" si="2"/>
        <v>186.89458689458692</v>
      </c>
    </row>
    <row r="19" spans="3:8" x14ac:dyDescent="0.25">
      <c r="C19" s="41" t="s">
        <v>51</v>
      </c>
      <c r="D19" s="41"/>
      <c r="E19" s="25" t="s">
        <v>77</v>
      </c>
      <c r="F19" s="31">
        <f>'10 Stock MP'!D9</f>
        <v>7600</v>
      </c>
      <c r="G19" s="31">
        <f>'10 Stock MP'!D22</f>
        <v>50666.666666666664</v>
      </c>
      <c r="H19" s="31">
        <f>'8 Consmo MP'!K24</f>
        <v>58266.666666666672</v>
      </c>
    </row>
    <row r="20" spans="3:8" x14ac:dyDescent="0.25">
      <c r="C20" s="41"/>
      <c r="D20" s="41"/>
      <c r="E20" s="25" t="s">
        <v>76</v>
      </c>
      <c r="F20" s="31">
        <f>'10 Stock MP'!I9</f>
        <v>2133.3333333333335</v>
      </c>
      <c r="G20" s="31">
        <f>'10 Stock MP'!I22</f>
        <v>14222.222222222224</v>
      </c>
      <c r="H20" s="31">
        <f>'8 Consmo MP'!K25</f>
        <v>16355.555555555555</v>
      </c>
    </row>
    <row r="21" spans="3:8" x14ac:dyDescent="0.25">
      <c r="C21" s="41"/>
      <c r="D21" s="41"/>
      <c r="E21" s="25" t="s">
        <v>78</v>
      </c>
      <c r="F21" s="31">
        <f>'10 Stock MP'!N9</f>
        <v>266.66666666666669</v>
      </c>
      <c r="G21" s="31">
        <f>'10 Stock MP'!N22</f>
        <v>1777.7777777777781</v>
      </c>
      <c r="H21" s="31">
        <f>'8 Consmo MP'!K26</f>
        <v>2044.4444444444443</v>
      </c>
    </row>
  </sheetData>
  <mergeCells count="8">
    <mergeCell ref="C4:E4"/>
    <mergeCell ref="C5:E5"/>
    <mergeCell ref="C6:E6"/>
    <mergeCell ref="C10:D12"/>
    <mergeCell ref="C19:D21"/>
    <mergeCell ref="C16:D18"/>
    <mergeCell ref="C7:D9"/>
    <mergeCell ref="C13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 Stock</vt:lpstr>
      <vt:lpstr>7 Ev.  Prod.</vt:lpstr>
      <vt:lpstr>8 Consmo MP</vt:lpstr>
      <vt:lpstr>9 Ventas</vt:lpstr>
      <vt:lpstr>10 Stock MP</vt:lpstr>
      <vt:lpstr>11 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saenz</dc:creator>
  <cp:lastModifiedBy>FFierens</cp:lastModifiedBy>
  <dcterms:created xsi:type="dcterms:W3CDTF">2016-06-27T20:12:58Z</dcterms:created>
  <dcterms:modified xsi:type="dcterms:W3CDTF">2016-09-29T11:53:27Z</dcterms:modified>
</cp:coreProperties>
</file>