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franb\Downloads\"/>
    </mc:Choice>
  </mc:AlternateContent>
  <xr:revisionPtr revIDLastSave="0" documentId="13_ncr:1_{8BA72A1E-B9D3-4F9C-8DCC-4B0B94628397}" xr6:coauthVersionLast="38" xr6:coauthVersionMax="38" xr10:uidLastSave="{00000000-0000-0000-0000-000000000000}"/>
  <bookViews>
    <workbookView xWindow="0" yWindow="0" windowWidth="23040" windowHeight="9060" firstSheet="2" activeTab="2" xr2:uid="{00000000-000D-0000-FFFF-FFFF00000000}"/>
  </bookViews>
  <sheets>
    <sheet name="DIM TECNICO - Consumo de MP - P" sheetId="2" state="hidden" r:id="rId1"/>
    <sheet name="DIM TECNICO - Balance Anual - M" sheetId="3" state="hidden" r:id="rId2"/>
    <sheet name="Conformación de Datos" sheetId="4" r:id="rId3"/>
    <sheet name="Energìa e Impuestos" sheetId="5" r:id="rId4"/>
    <sheet name="InfoInicial" sheetId="6" r:id="rId5"/>
    <sheet name="E-Inv AF y Am" sheetId="7" r:id="rId6"/>
    <sheet name="Marcha Credito Act. Trabajo REN" sheetId="8" state="hidden" r:id="rId7"/>
    <sheet name="E-Costos" sheetId="9" r:id="rId8"/>
    <sheet name="E-InvAT" sheetId="10" r:id="rId9"/>
    <sheet name="E-Cal Inv." sheetId="11" r:id="rId10"/>
    <sheet name="E-IVA " sheetId="12" r:id="rId11"/>
    <sheet name="E-Form" sheetId="13" r:id="rId12"/>
    <sheet name="F-Cred" sheetId="14" r:id="rId13"/>
    <sheet name="Marcha Credito Act. Fijo NO REN" sheetId="15" r:id="rId14"/>
    <sheet name="F-CRes" sheetId="16" r:id="rId15"/>
    <sheet name="F-2 Estructura" sheetId="17" r:id="rId16"/>
    <sheet name="F-IVA" sheetId="18" r:id="rId17"/>
    <sheet name="F-Balance" sheetId="19" r:id="rId18"/>
    <sheet name="F- CFyU" sheetId="20" r:id="rId19"/>
    <sheet name="F- Form" sheetId="21" r:id="rId20"/>
  </sheets>
  <calcPr calcId="181029"/>
</workbook>
</file>

<file path=xl/calcChain.xml><?xml version="1.0" encoding="utf-8"?>
<calcChain xmlns="http://schemas.openxmlformats.org/spreadsheetml/2006/main">
  <c r="D31" i="21" l="1"/>
  <c r="B28" i="21"/>
  <c r="C28" i="21" s="1"/>
  <c r="B27" i="21"/>
  <c r="C27" i="21" s="1"/>
  <c r="B26" i="21"/>
  <c r="C26" i="21" s="1"/>
  <c r="B9" i="21"/>
  <c r="B8" i="21"/>
  <c r="B7" i="21"/>
  <c r="K5" i="21"/>
  <c r="J5" i="21"/>
  <c r="F5" i="21"/>
  <c r="E5" i="21"/>
  <c r="G1" i="21"/>
  <c r="B28" i="20"/>
  <c r="E24" i="21" s="1"/>
  <c r="F24" i="21" s="1"/>
  <c r="H22" i="20"/>
  <c r="H20" i="20"/>
  <c r="C19" i="20"/>
  <c r="E6" i="21" s="1"/>
  <c r="B11" i="20"/>
  <c r="C9" i="20"/>
  <c r="B8" i="20"/>
  <c r="E1" i="20"/>
  <c r="G25" i="19"/>
  <c r="B23" i="19"/>
  <c r="B11" i="19"/>
  <c r="B9" i="19"/>
  <c r="C8" i="19"/>
  <c r="B8" i="19"/>
  <c r="E1" i="19"/>
  <c r="B21" i="18"/>
  <c r="B12" i="18"/>
  <c r="B8" i="18"/>
  <c r="B7" i="18"/>
  <c r="B6" i="18"/>
  <c r="E1" i="18"/>
  <c r="B13" i="17"/>
  <c r="C6" i="17"/>
  <c r="D1" i="17"/>
  <c r="F1" i="16"/>
  <c r="I50" i="15"/>
  <c r="G50" i="15"/>
  <c r="G1" i="15"/>
  <c r="A15" i="14"/>
  <c r="A14" i="14"/>
  <c r="A13" i="14"/>
  <c r="F1" i="14"/>
  <c r="J9" i="13"/>
  <c r="B8" i="13"/>
  <c r="B7" i="13"/>
  <c r="B6" i="13"/>
  <c r="K4" i="13"/>
  <c r="G1" i="13"/>
  <c r="C34" i="12"/>
  <c r="G22" i="12"/>
  <c r="F22" i="12"/>
  <c r="F13" i="18" s="1"/>
  <c r="E22" i="12"/>
  <c r="E13" i="18" s="1"/>
  <c r="D22" i="12"/>
  <c r="D13" i="18" s="1"/>
  <c r="C22" i="12"/>
  <c r="D16" i="12"/>
  <c r="G1" i="12"/>
  <c r="H21" i="11"/>
  <c r="G21" i="11"/>
  <c r="F21" i="11"/>
  <c r="E21" i="11"/>
  <c r="B18" i="11"/>
  <c r="G14" i="11"/>
  <c r="C14" i="11"/>
  <c r="D11" i="11"/>
  <c r="G1" i="11"/>
  <c r="G33" i="10"/>
  <c r="F33" i="10"/>
  <c r="G16" i="12" s="1"/>
  <c r="E33" i="10"/>
  <c r="F16" i="12" s="1"/>
  <c r="D33" i="10"/>
  <c r="E16" i="12" s="1"/>
  <c r="C33" i="10"/>
  <c r="E30" i="10"/>
  <c r="B16" i="10"/>
  <c r="G10" i="10"/>
  <c r="H14" i="11" s="1"/>
  <c r="F10" i="10"/>
  <c r="E10" i="10"/>
  <c r="D10" i="10"/>
  <c r="E14" i="11" s="1"/>
  <c r="C10" i="10"/>
  <c r="D14" i="11" s="1"/>
  <c r="B10" i="10"/>
  <c r="G7" i="10"/>
  <c r="F7" i="10"/>
  <c r="E7" i="10"/>
  <c r="D7" i="10"/>
  <c r="C7" i="10"/>
  <c r="G6" i="10"/>
  <c r="G7" i="19" s="1"/>
  <c r="F6" i="10"/>
  <c r="H11" i="11" s="1"/>
  <c r="E6" i="10"/>
  <c r="E7" i="19" s="1"/>
  <c r="D6" i="10"/>
  <c r="D7" i="19" s="1"/>
  <c r="C6" i="10"/>
  <c r="B6" i="10"/>
  <c r="E1" i="10"/>
  <c r="B199" i="9"/>
  <c r="F101" i="9"/>
  <c r="E101" i="9"/>
  <c r="D101" i="9"/>
  <c r="C101" i="9"/>
  <c r="B101" i="9"/>
  <c r="F88" i="9"/>
  <c r="F4" i="16" s="1"/>
  <c r="E88" i="9"/>
  <c r="D88" i="9"/>
  <c r="D4" i="16" s="1"/>
  <c r="C88" i="9"/>
  <c r="C4" i="16" s="1"/>
  <c r="B88" i="9"/>
  <c r="B4" i="16" s="1"/>
  <c r="F87" i="9"/>
  <c r="E87" i="9"/>
  <c r="D87" i="9"/>
  <c r="C87" i="9"/>
  <c r="B87" i="9"/>
  <c r="F86" i="9"/>
  <c r="E86" i="9"/>
  <c r="D86" i="9"/>
  <c r="C86" i="9"/>
  <c r="B86" i="9"/>
  <c r="B164" i="9" s="1"/>
  <c r="F74" i="9"/>
  <c r="E74" i="9"/>
  <c r="D74" i="9"/>
  <c r="C74" i="9"/>
  <c r="B74" i="9"/>
  <c r="F73" i="9"/>
  <c r="E73" i="9"/>
  <c r="D73" i="9"/>
  <c r="C73" i="9"/>
  <c r="B73" i="9"/>
  <c r="F69" i="9"/>
  <c r="E69" i="9"/>
  <c r="D69" i="9"/>
  <c r="C69" i="9"/>
  <c r="B69" i="9"/>
  <c r="F57" i="9"/>
  <c r="E57" i="9"/>
  <c r="D57" i="9"/>
  <c r="C57" i="9"/>
  <c r="B57" i="9"/>
  <c r="F52" i="9"/>
  <c r="E52" i="9"/>
  <c r="D52" i="9"/>
  <c r="C52" i="9"/>
  <c r="B52" i="9"/>
  <c r="B41" i="9"/>
  <c r="G31" i="9"/>
  <c r="G35" i="9" s="1"/>
  <c r="C13" i="12" s="1"/>
  <c r="D31" i="9"/>
  <c r="G30" i="9"/>
  <c r="F30" i="9"/>
  <c r="E30" i="9"/>
  <c r="D30" i="9"/>
  <c r="C30" i="9"/>
  <c r="B30" i="9"/>
  <c r="F29" i="9"/>
  <c r="E29" i="9"/>
  <c r="D29" i="9"/>
  <c r="C29" i="9"/>
  <c r="B29" i="9"/>
  <c r="G26" i="9"/>
  <c r="F26" i="9"/>
  <c r="E26" i="9"/>
  <c r="D26" i="9"/>
  <c r="C26" i="9"/>
  <c r="B26" i="9"/>
  <c r="G25" i="9"/>
  <c r="F25" i="9"/>
  <c r="E25" i="9"/>
  <c r="D25" i="9"/>
  <c r="C25" i="9"/>
  <c r="B25" i="9"/>
  <c r="F13" i="9"/>
  <c r="F55" i="9" s="1"/>
  <c r="F72" i="9" s="1"/>
  <c r="E13" i="9"/>
  <c r="F8" i="12" s="1"/>
  <c r="D13" i="9"/>
  <c r="C13" i="9"/>
  <c r="D8" i="12" s="1"/>
  <c r="B13" i="9"/>
  <c r="F12" i="9"/>
  <c r="G7" i="12" s="1"/>
  <c r="E12" i="9"/>
  <c r="F7" i="12" s="1"/>
  <c r="D12" i="9"/>
  <c r="E7" i="12" s="1"/>
  <c r="C12" i="9"/>
  <c r="B12" i="9"/>
  <c r="C11" i="9"/>
  <c r="F11" i="9" s="1"/>
  <c r="B11" i="9"/>
  <c r="F8" i="9"/>
  <c r="F91" i="9" s="1"/>
  <c r="E8" i="9"/>
  <c r="E91" i="9" s="1"/>
  <c r="D8" i="9"/>
  <c r="D91" i="9" s="1"/>
  <c r="C8" i="9"/>
  <c r="C91" i="9" s="1"/>
  <c r="B8" i="9"/>
  <c r="B91" i="9" s="1"/>
  <c r="F7" i="9"/>
  <c r="E7" i="9"/>
  <c r="D7" i="9"/>
  <c r="C7" i="9"/>
  <c r="B7" i="9"/>
  <c r="E3" i="9"/>
  <c r="D29" i="8"/>
  <c r="E29" i="8" s="1"/>
  <c r="D28" i="8"/>
  <c r="D30" i="8" s="1"/>
  <c r="G1" i="8"/>
  <c r="B64" i="7"/>
  <c r="D63" i="7"/>
  <c r="F57" i="7"/>
  <c r="C57" i="7"/>
  <c r="D64" i="7" s="1"/>
  <c r="C54" i="7"/>
  <c r="F52" i="7"/>
  <c r="C51" i="7"/>
  <c r="C49" i="7"/>
  <c r="C48" i="7"/>
  <c r="B48" i="7"/>
  <c r="E48" i="7" s="1"/>
  <c r="C47" i="7"/>
  <c r="C46" i="7"/>
  <c r="E37" i="7"/>
  <c r="E32" i="7"/>
  <c r="E34" i="7" s="1"/>
  <c r="D32" i="7"/>
  <c r="C32" i="7"/>
  <c r="C34" i="7" s="1"/>
  <c r="C35" i="7" s="1"/>
  <c r="C37" i="7" s="1"/>
  <c r="C27" i="7"/>
  <c r="B25" i="7"/>
  <c r="E21" i="7"/>
  <c r="C21" i="7"/>
  <c r="B17" i="7"/>
  <c r="B15" i="7"/>
  <c r="B51" i="7" s="1"/>
  <c r="B12" i="7"/>
  <c r="B14" i="7" s="1"/>
  <c r="D11" i="7"/>
  <c r="B8" i="7"/>
  <c r="B7" i="7"/>
  <c r="E1" i="7"/>
  <c r="B27" i="6"/>
  <c r="B20" i="6"/>
  <c r="B19" i="6"/>
  <c r="P13" i="2"/>
  <c r="D51" i="7" l="1"/>
  <c r="G51" i="7"/>
  <c r="E51" i="7"/>
  <c r="B47" i="7"/>
  <c r="D34" i="7"/>
  <c r="C6" i="12"/>
  <c r="B90" i="9"/>
  <c r="E4" i="16"/>
  <c r="C71" i="9"/>
  <c r="F71" i="9"/>
  <c r="G19" i="12" s="1"/>
  <c r="G8" i="18" s="1"/>
  <c r="B71" i="9"/>
  <c r="E71" i="9"/>
  <c r="D21" i="7"/>
  <c r="D37" i="7" s="1"/>
  <c r="B49" i="7"/>
  <c r="D6" i="12"/>
  <c r="C90" i="9"/>
  <c r="D11" i="9"/>
  <c r="D7" i="12"/>
  <c r="C8" i="12"/>
  <c r="B31" i="9"/>
  <c r="D71" i="9"/>
  <c r="B97" i="9"/>
  <c r="D15" i="9"/>
  <c r="D33" i="9" s="1"/>
  <c r="F15" i="9"/>
  <c r="F33" i="9" s="1"/>
  <c r="B15" i="9"/>
  <c r="B13" i="7"/>
  <c r="C15" i="19"/>
  <c r="D7" i="11"/>
  <c r="B44" i="7"/>
  <c r="B45" i="7"/>
  <c r="D48" i="7"/>
  <c r="G48" i="7" s="1"/>
  <c r="E28" i="8"/>
  <c r="E6" i="12"/>
  <c r="E11" i="9"/>
  <c r="C15" i="9"/>
  <c r="C33" i="9" s="1"/>
  <c r="D90" i="9"/>
  <c r="G6" i="12"/>
  <c r="F90" i="9"/>
  <c r="C7" i="12"/>
  <c r="C198" i="9"/>
  <c r="C197" i="9"/>
  <c r="C196" i="9"/>
  <c r="C195" i="9"/>
  <c r="C194" i="9"/>
  <c r="C193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90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91" i="9"/>
  <c r="C199" i="9"/>
  <c r="B9" i="7"/>
  <c r="B46" i="7" s="1"/>
  <c r="F6" i="12"/>
  <c r="F12" i="12" s="1"/>
  <c r="E90" i="9"/>
  <c r="E8" i="12"/>
  <c r="D55" i="9"/>
  <c r="D72" i="9" s="1"/>
  <c r="E15" i="9"/>
  <c r="E33" i="9" s="1"/>
  <c r="E55" i="9"/>
  <c r="E72" i="9" s="1"/>
  <c r="C164" i="9"/>
  <c r="C192" i="9"/>
  <c r="G8" i="12"/>
  <c r="E31" i="9"/>
  <c r="F32" i="10" s="1"/>
  <c r="G15" i="12" s="1"/>
  <c r="C10" i="20"/>
  <c r="G4" i="16"/>
  <c r="G10" i="20"/>
  <c r="C13" i="18"/>
  <c r="G13" i="18"/>
  <c r="C32" i="10"/>
  <c r="D15" i="12" s="1"/>
  <c r="F31" i="9"/>
  <c r="G32" i="10" s="1"/>
  <c r="C55" i="9"/>
  <c r="D10" i="20"/>
  <c r="C31" i="9"/>
  <c r="E32" i="10" s="1"/>
  <c r="F15" i="12" s="1"/>
  <c r="E10" i="20"/>
  <c r="B7" i="19"/>
  <c r="B12" i="17"/>
  <c r="C11" i="11"/>
  <c r="F7" i="19"/>
  <c r="G11" i="11"/>
  <c r="F14" i="11"/>
  <c r="I14" i="11" s="1"/>
  <c r="C7" i="19"/>
  <c r="D12" i="17"/>
  <c r="B30" i="10"/>
  <c r="F30" i="10"/>
  <c r="E11" i="11"/>
  <c r="C13" i="17"/>
  <c r="D13" i="17" s="1"/>
  <c r="C30" i="10"/>
  <c r="G30" i="10"/>
  <c r="F11" i="11"/>
  <c r="D30" i="10"/>
  <c r="D6" i="14" l="1"/>
  <c r="G46" i="7"/>
  <c r="E46" i="7"/>
  <c r="D46" i="7"/>
  <c r="F58" i="9"/>
  <c r="F75" i="9" s="1"/>
  <c r="B58" i="9"/>
  <c r="B75" i="9" s="1"/>
  <c r="E58" i="9"/>
  <c r="E75" i="9" s="1"/>
  <c r="D58" i="9"/>
  <c r="D75" i="9" s="1"/>
  <c r="B33" i="9"/>
  <c r="C58" i="9"/>
  <c r="C75" i="9" s="1"/>
  <c r="E19" i="12"/>
  <c r="E8" i="18" s="1"/>
  <c r="E5" i="15"/>
  <c r="E5" i="8"/>
  <c r="D5" i="14"/>
  <c r="E47" i="7"/>
  <c r="D47" i="7"/>
  <c r="G47" i="7" s="1"/>
  <c r="D32" i="10"/>
  <c r="E15" i="12" s="1"/>
  <c r="F17" i="12"/>
  <c r="G12" i="12"/>
  <c r="G17" i="12" s="1"/>
  <c r="E12" i="12"/>
  <c r="D45" i="7"/>
  <c r="G45" i="7" s="1"/>
  <c r="E45" i="7"/>
  <c r="B19" i="7"/>
  <c r="B50" i="7" s="1"/>
  <c r="D12" i="12"/>
  <c r="D17" i="12" s="1"/>
  <c r="F10" i="20"/>
  <c r="H10" i="20" s="1"/>
  <c r="C12" i="12"/>
  <c r="C17" i="12" s="1"/>
  <c r="G28" i="8"/>
  <c r="G30" i="8" s="1"/>
  <c r="E32" i="8" s="1"/>
  <c r="E12" i="8" s="1"/>
  <c r="E30" i="8"/>
  <c r="G29" i="8"/>
  <c r="C7" i="17"/>
  <c r="C8" i="17" s="1"/>
  <c r="D8" i="11"/>
  <c r="B26" i="7"/>
  <c r="C12" i="17"/>
  <c r="I11" i="11"/>
  <c r="B55" i="9"/>
  <c r="B72" i="9" s="1"/>
  <c r="C19" i="12" s="1"/>
  <c r="C8" i="18" s="1"/>
  <c r="C72" i="9"/>
  <c r="D19" i="12" s="1"/>
  <c r="D8" i="18" s="1"/>
  <c r="B21" i="7"/>
  <c r="C6" i="11" s="1"/>
  <c r="B52" i="7"/>
  <c r="D44" i="7"/>
  <c r="G44" i="7" s="1"/>
  <c r="E44" i="7"/>
  <c r="D49" i="7"/>
  <c r="G49" i="7" s="1"/>
  <c r="E49" i="7"/>
  <c r="F19" i="12"/>
  <c r="F8" i="18" s="1"/>
  <c r="B24" i="7"/>
  <c r="I10" i="20" l="1"/>
  <c r="B19" i="19"/>
  <c r="B22" i="19" s="1"/>
  <c r="C19" i="19" s="1"/>
  <c r="B30" i="17"/>
  <c r="D8" i="14"/>
  <c r="B6" i="17"/>
  <c r="I6" i="11"/>
  <c r="D6" i="18"/>
  <c r="F6" i="18"/>
  <c r="G6" i="18"/>
  <c r="C6" i="18"/>
  <c r="B7" i="11"/>
  <c r="B30" i="7"/>
  <c r="B32" i="7"/>
  <c r="C14" i="20"/>
  <c r="B5" i="13"/>
  <c r="D21" i="11"/>
  <c r="F13" i="8"/>
  <c r="F12" i="8"/>
  <c r="G13" i="8" s="1"/>
  <c r="D50" i="7"/>
  <c r="D52" i="7" s="1"/>
  <c r="E50" i="7"/>
  <c r="E52" i="7" s="1"/>
  <c r="E17" i="12"/>
  <c r="J14" i="15"/>
  <c r="I14" i="14" s="1"/>
  <c r="C13" i="15"/>
  <c r="C14" i="15"/>
  <c r="J13" i="15"/>
  <c r="C15" i="15"/>
  <c r="C29" i="17"/>
  <c r="C21" i="19" l="1"/>
  <c r="C22" i="19"/>
  <c r="D19" i="19" s="1"/>
  <c r="D31" i="15"/>
  <c r="C31" i="14" s="1"/>
  <c r="D29" i="15"/>
  <c r="C29" i="14" s="1"/>
  <c r="D27" i="15"/>
  <c r="C27" i="14" s="1"/>
  <c r="D25" i="15"/>
  <c r="C25" i="14" s="1"/>
  <c r="D23" i="15"/>
  <c r="D30" i="15"/>
  <c r="D28" i="15"/>
  <c r="D26" i="15"/>
  <c r="D24" i="15"/>
  <c r="C23" i="15"/>
  <c r="D32" i="15"/>
  <c r="C22" i="15"/>
  <c r="B15" i="14"/>
  <c r="G50" i="7"/>
  <c r="G52" i="7" s="1"/>
  <c r="G57" i="7" s="1"/>
  <c r="B6" i="21"/>
  <c r="J50" i="15"/>
  <c r="I13" i="14"/>
  <c r="I21" i="14" s="1"/>
  <c r="I54" i="14" s="1"/>
  <c r="J21" i="15"/>
  <c r="E14" i="15"/>
  <c r="B13" i="14"/>
  <c r="C9" i="17"/>
  <c r="B8" i="11"/>
  <c r="B9" i="20"/>
  <c r="H9" i="20" s="1"/>
  <c r="D30" i="17"/>
  <c r="C8" i="20"/>
  <c r="H8" i="20" s="1"/>
  <c r="D29" i="17"/>
  <c r="E6" i="18"/>
  <c r="C7" i="11"/>
  <c r="C8" i="11" s="1"/>
  <c r="B54" i="7"/>
  <c r="B34" i="7"/>
  <c r="B35" i="7" s="1"/>
  <c r="B37" i="7" s="1"/>
  <c r="E15" i="15"/>
  <c r="D15" i="14" s="1"/>
  <c r="B14" i="14"/>
  <c r="D6" i="17"/>
  <c r="E54" i="7" l="1"/>
  <c r="E57" i="7" s="1"/>
  <c r="D54" i="7"/>
  <c r="B57" i="7"/>
  <c r="C10" i="17"/>
  <c r="C25" i="17" s="1"/>
  <c r="F32" i="15"/>
  <c r="C32" i="14"/>
  <c r="C28" i="14"/>
  <c r="F28" i="15"/>
  <c r="E28" i="14"/>
  <c r="I7" i="11"/>
  <c r="I8" i="11" s="1"/>
  <c r="B10" i="21"/>
  <c r="B9" i="13"/>
  <c r="E24" i="15"/>
  <c r="H24" i="15" s="1"/>
  <c r="C24" i="15"/>
  <c r="C30" i="14"/>
  <c r="F30" i="15"/>
  <c r="E30" i="14"/>
  <c r="B22" i="14"/>
  <c r="E23" i="15"/>
  <c r="C26" i="14"/>
  <c r="E26" i="14" s="1"/>
  <c r="F26" i="15"/>
  <c r="C21" i="11"/>
  <c r="B21" i="11"/>
  <c r="B4" i="13"/>
  <c r="E21" i="15"/>
  <c r="H21" i="15" s="1"/>
  <c r="D14" i="14"/>
  <c r="D21" i="14" s="1"/>
  <c r="G21" i="14" s="1"/>
  <c r="C24" i="14"/>
  <c r="F24" i="15"/>
  <c r="D50" i="15"/>
  <c r="C23" i="14"/>
  <c r="E32" i="14"/>
  <c r="D21" i="19"/>
  <c r="D22" i="19" s="1"/>
  <c r="E19" i="19" s="1"/>
  <c r="E22" i="19" s="1"/>
  <c r="F19" i="19" s="1"/>
  <c r="F22" i="19" s="1"/>
  <c r="G19" i="19" s="1"/>
  <c r="G22" i="19" s="1"/>
  <c r="G21" i="19"/>
  <c r="F21" i="19"/>
  <c r="E21" i="19"/>
  <c r="E18" i="20" l="1"/>
  <c r="G18" i="20"/>
  <c r="F27" i="19"/>
  <c r="F25" i="19" s="1"/>
  <c r="C16" i="19"/>
  <c r="D57" i="7"/>
  <c r="C54" i="14"/>
  <c r="E24" i="14"/>
  <c r="I5" i="21"/>
  <c r="B14" i="19"/>
  <c r="B17" i="19" s="1"/>
  <c r="B9" i="17"/>
  <c r="B23" i="11"/>
  <c r="I21" i="11"/>
  <c r="E27" i="19"/>
  <c r="E25" i="19" s="1"/>
  <c r="F18" i="20"/>
  <c r="B5" i="14"/>
  <c r="C5" i="15"/>
  <c r="C5" i="8"/>
  <c r="D18" i="20"/>
  <c r="D27" i="19"/>
  <c r="D25" i="19" s="1"/>
  <c r="B7" i="17"/>
  <c r="F25" i="20"/>
  <c r="E125" i="9"/>
  <c r="B61" i="7"/>
  <c r="C28" i="9" s="1"/>
  <c r="B23" i="14"/>
  <c r="D23" i="14"/>
  <c r="B14" i="20"/>
  <c r="B11" i="13"/>
  <c r="C25" i="15"/>
  <c r="E25" i="15"/>
  <c r="F50" i="15"/>
  <c r="G54" i="7"/>
  <c r="H14" i="20" l="1"/>
  <c r="B5" i="21"/>
  <c r="C14" i="19"/>
  <c r="C17" i="19" s="1"/>
  <c r="B12" i="19"/>
  <c r="I8" i="13"/>
  <c r="F125" i="9"/>
  <c r="I9" i="13" s="1"/>
  <c r="D7" i="17"/>
  <c r="B8" i="17"/>
  <c r="G5" i="8"/>
  <c r="L5" i="21"/>
  <c r="E16" i="19"/>
  <c r="D16" i="19"/>
  <c r="G16" i="19"/>
  <c r="F16" i="19"/>
  <c r="D17" i="10"/>
  <c r="F28" i="9"/>
  <c r="E28" i="9"/>
  <c r="D28" i="9"/>
  <c r="C35" i="9"/>
  <c r="G5" i="15"/>
  <c r="B25" i="11"/>
  <c r="C18" i="20"/>
  <c r="H18" i="20" s="1"/>
  <c r="C27" i="19"/>
  <c r="C25" i="19" s="1"/>
  <c r="B27" i="19"/>
  <c r="B25" i="19" s="1"/>
  <c r="E54" i="14"/>
  <c r="J9" i="21"/>
  <c r="G25" i="20"/>
  <c r="J10" i="21" s="1"/>
  <c r="F5" i="14"/>
  <c r="C25" i="20"/>
  <c r="F53" i="9"/>
  <c r="B53" i="9"/>
  <c r="E53" i="9"/>
  <c r="D53" i="9"/>
  <c r="B125" i="9"/>
  <c r="C10" i="9"/>
  <c r="D10" i="9"/>
  <c r="F10" i="9"/>
  <c r="B10" i="9"/>
  <c r="E10" i="9"/>
  <c r="C53" i="9"/>
  <c r="B62" i="7"/>
  <c r="B28" i="9" s="1"/>
  <c r="E26" i="15"/>
  <c r="C26" i="15"/>
  <c r="B24" i="14"/>
  <c r="D24" i="14"/>
  <c r="G24" i="14" s="1"/>
  <c r="D9" i="17"/>
  <c r="B10" i="16" l="1"/>
  <c r="D16" i="9"/>
  <c r="D92" i="9" s="1"/>
  <c r="D17" i="9"/>
  <c r="B12" i="21"/>
  <c r="C27" i="15"/>
  <c r="E27" i="15"/>
  <c r="E92" i="9"/>
  <c r="E19" i="9"/>
  <c r="E46" i="9" s="1"/>
  <c r="E16" i="9"/>
  <c r="E17" i="9"/>
  <c r="C92" i="9"/>
  <c r="C16" i="9"/>
  <c r="C19" i="9" s="1"/>
  <c r="C46" i="9" s="1"/>
  <c r="C17" i="9"/>
  <c r="D12" i="10"/>
  <c r="C70" i="9"/>
  <c r="G17" i="10"/>
  <c r="F35" i="9"/>
  <c r="G12" i="10" s="1"/>
  <c r="H26" i="15"/>
  <c r="B16" i="9"/>
  <c r="B19" i="9" s="1"/>
  <c r="B46" i="9" s="1"/>
  <c r="B17" i="9"/>
  <c r="I5" i="13"/>
  <c r="D125" i="9"/>
  <c r="I7" i="13" s="1"/>
  <c r="C125" i="9"/>
  <c r="I6" i="13" s="1"/>
  <c r="B70" i="9"/>
  <c r="B29" i="19"/>
  <c r="E17" i="10"/>
  <c r="D35" i="9"/>
  <c r="D25" i="14"/>
  <c r="F24" i="14"/>
  <c r="H24" i="14" s="1"/>
  <c r="B25" i="14"/>
  <c r="E70" i="9"/>
  <c r="C17" i="10"/>
  <c r="B35" i="9"/>
  <c r="F16" i="9"/>
  <c r="F92" i="9" s="1"/>
  <c r="D70" i="9"/>
  <c r="F70" i="9"/>
  <c r="J6" i="21"/>
  <c r="D25" i="20"/>
  <c r="F17" i="10"/>
  <c r="E35" i="9"/>
  <c r="B10" i="17"/>
  <c r="D8" i="17"/>
  <c r="D14" i="19"/>
  <c r="D17" i="19" s="1"/>
  <c r="E14" i="19" l="1"/>
  <c r="E17" i="19" s="1"/>
  <c r="D76" i="9"/>
  <c r="D78" i="9" s="1"/>
  <c r="E76" i="9"/>
  <c r="E78" i="9" s="1"/>
  <c r="B76" i="9"/>
  <c r="B78" i="9"/>
  <c r="E28" i="15"/>
  <c r="C28" i="15"/>
  <c r="D94" i="9"/>
  <c r="D100" i="9" s="1"/>
  <c r="D102" i="9" s="1"/>
  <c r="D39" i="9"/>
  <c r="D20" i="9"/>
  <c r="D47" i="9" s="1"/>
  <c r="F17" i="9"/>
  <c r="F19" i="9"/>
  <c r="F46" i="9" s="1"/>
  <c r="C94" i="9"/>
  <c r="C39" i="9"/>
  <c r="C20" i="9"/>
  <c r="C47" i="9" s="1"/>
  <c r="C48" i="10" s="1"/>
  <c r="I6" i="21"/>
  <c r="C9" i="18"/>
  <c r="B42" i="17"/>
  <c r="F42" i="9"/>
  <c r="F98" i="9" s="1"/>
  <c r="F12" i="10"/>
  <c r="G16" i="11" s="1"/>
  <c r="C29" i="19"/>
  <c r="B28" i="19"/>
  <c r="B30" i="19" s="1"/>
  <c r="B39" i="9"/>
  <c r="B94" i="9"/>
  <c r="B20" i="9"/>
  <c r="B47" i="9" s="1"/>
  <c r="B48" i="10" s="1"/>
  <c r="C76" i="9"/>
  <c r="C78" i="9" s="1"/>
  <c r="E25" i="20"/>
  <c r="J7" i="21"/>
  <c r="C12" i="10"/>
  <c r="D16" i="11" s="1"/>
  <c r="C42" i="9"/>
  <c r="C98" i="9" s="1"/>
  <c r="B42" i="9"/>
  <c r="B98" i="9" s="1"/>
  <c r="D26" i="14"/>
  <c r="B26" i="14"/>
  <c r="E12" i="10"/>
  <c r="F16" i="11" s="1"/>
  <c r="E42" i="9"/>
  <c r="E98" i="9" s="1"/>
  <c r="B92" i="9"/>
  <c r="D42" i="9"/>
  <c r="D98" i="9" s="1"/>
  <c r="E39" i="9"/>
  <c r="E94" i="9"/>
  <c r="E20" i="9"/>
  <c r="E47" i="9" s="1"/>
  <c r="E48" i="10" s="1"/>
  <c r="D19" i="9"/>
  <c r="D46" i="9" s="1"/>
  <c r="D48" i="10" s="1"/>
  <c r="F78" i="9"/>
  <c r="F76" i="9"/>
  <c r="G26" i="14"/>
  <c r="D10" i="17"/>
  <c r="B25" i="17"/>
  <c r="I11" i="13"/>
  <c r="M18" i="13" s="1"/>
  <c r="E16" i="11"/>
  <c r="E110" i="9" l="1"/>
  <c r="E9" i="16" s="1"/>
  <c r="E80" i="9"/>
  <c r="E81" i="9" s="1"/>
  <c r="E133" i="9" s="1"/>
  <c r="E40" i="17" s="1"/>
  <c r="C110" i="9"/>
  <c r="C9" i="16" s="1"/>
  <c r="C80" i="9"/>
  <c r="C81" i="9" s="1"/>
  <c r="C133" i="9" s="1"/>
  <c r="C40" i="17" s="1"/>
  <c r="D110" i="9"/>
  <c r="D9" i="16" s="1"/>
  <c r="D80" i="9"/>
  <c r="D81" i="9" s="1"/>
  <c r="D133" i="9" s="1"/>
  <c r="D40" i="17" s="1"/>
  <c r="J8" i="21"/>
  <c r="J12" i="21" s="1"/>
  <c r="L25" i="21" s="1"/>
  <c r="H25" i="20"/>
  <c r="I14" i="20" s="1"/>
  <c r="C128" i="9"/>
  <c r="C43" i="9"/>
  <c r="C129" i="9"/>
  <c r="F14" i="19"/>
  <c r="F17" i="19" s="1"/>
  <c r="B129" i="9"/>
  <c r="B128" i="9"/>
  <c r="B43" i="9"/>
  <c r="B44" i="9" s="1"/>
  <c r="C100" i="9"/>
  <c r="C102" i="9" s="1"/>
  <c r="C29" i="15"/>
  <c r="E29" i="15"/>
  <c r="E129" i="9"/>
  <c r="E128" i="9"/>
  <c r="E43" i="9"/>
  <c r="E44" i="9" s="1"/>
  <c r="F48" i="10"/>
  <c r="H28" i="15"/>
  <c r="B133" i="9"/>
  <c r="B40" i="17" s="1"/>
  <c r="B132" i="9"/>
  <c r="B41" i="17" s="1"/>
  <c r="B110" i="9"/>
  <c r="B9" i="16" s="1"/>
  <c r="B80" i="9"/>
  <c r="B81" i="9" s="1"/>
  <c r="F133" i="9"/>
  <c r="F40" i="17" s="1"/>
  <c r="F132" i="9"/>
  <c r="F41" i="17" s="1"/>
  <c r="F110" i="9"/>
  <c r="F9" i="16" s="1"/>
  <c r="F80" i="9"/>
  <c r="F81" i="9" s="1"/>
  <c r="B100" i="9"/>
  <c r="B102" i="9" s="1"/>
  <c r="D105" i="9"/>
  <c r="E13" i="10" s="1"/>
  <c r="C10" i="16"/>
  <c r="B27" i="14"/>
  <c r="D27" i="14"/>
  <c r="F26" i="14"/>
  <c r="H26" i="14" s="1"/>
  <c r="H16" i="11"/>
  <c r="I16" i="11" s="1"/>
  <c r="D25" i="17"/>
  <c r="E100" i="9"/>
  <c r="E102" i="9" s="1"/>
  <c r="C28" i="19"/>
  <c r="C30" i="19" s="1"/>
  <c r="D29" i="19"/>
  <c r="F39" i="9"/>
  <c r="F94" i="9"/>
  <c r="F100" i="9" s="1"/>
  <c r="F102" i="9" s="1"/>
  <c r="F20" i="9"/>
  <c r="F47" i="9" s="1"/>
  <c r="D129" i="9"/>
  <c r="D128" i="9"/>
  <c r="D43" i="9"/>
  <c r="D44" i="9" s="1"/>
  <c r="E105" i="9" l="1"/>
  <c r="F13" i="10" s="1"/>
  <c r="F129" i="9"/>
  <c r="F128" i="9"/>
  <c r="F43" i="9"/>
  <c r="F44" i="9" s="1"/>
  <c r="I7" i="21"/>
  <c r="D9" i="18"/>
  <c r="C42" i="17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B105" i="9"/>
  <c r="C13" i="10" s="1"/>
  <c r="D164" i="9"/>
  <c r="D197" i="9"/>
  <c r="D195" i="9"/>
  <c r="D193" i="9"/>
  <c r="D190" i="9"/>
  <c r="F105" i="9"/>
  <c r="G13" i="10" s="1"/>
  <c r="D191" i="9"/>
  <c r="D199" i="9"/>
  <c r="D198" i="9"/>
  <c r="D196" i="9"/>
  <c r="D194" i="9"/>
  <c r="D192" i="9"/>
  <c r="D187" i="9"/>
  <c r="D183" i="9"/>
  <c r="D179" i="9"/>
  <c r="D175" i="9"/>
  <c r="D171" i="9"/>
  <c r="D180" i="9"/>
  <c r="D172" i="9"/>
  <c r="D186" i="9"/>
  <c r="D182" i="9"/>
  <c r="D178" i="9"/>
  <c r="D174" i="9"/>
  <c r="D170" i="9"/>
  <c r="F107" i="9"/>
  <c r="D184" i="9"/>
  <c r="D176" i="9"/>
  <c r="D189" i="9"/>
  <c r="D185" i="9"/>
  <c r="D181" i="9"/>
  <c r="D177" i="9"/>
  <c r="D173" i="9"/>
  <c r="D169" i="9"/>
  <c r="D188" i="9"/>
  <c r="E18" i="10"/>
  <c r="E36" i="17"/>
  <c r="C37" i="17"/>
  <c r="D37" i="17"/>
  <c r="D36" i="17"/>
  <c r="D28" i="19"/>
  <c r="D30" i="19" s="1"/>
  <c r="E29" i="19"/>
  <c r="G28" i="14"/>
  <c r="E30" i="15"/>
  <c r="H30" i="15" s="1"/>
  <c r="C30" i="15"/>
  <c r="B37" i="17"/>
  <c r="C36" i="17"/>
  <c r="D132" i="9"/>
  <c r="D41" i="17" s="1"/>
  <c r="E132" i="9"/>
  <c r="E41" i="17" s="1"/>
  <c r="G14" i="19"/>
  <c r="G17" i="19" s="1"/>
  <c r="B28" i="14"/>
  <c r="D28" i="14"/>
  <c r="D107" i="9"/>
  <c r="G9" i="16"/>
  <c r="E37" i="17"/>
  <c r="C105" i="9"/>
  <c r="D13" i="10" s="1"/>
  <c r="C107" i="9"/>
  <c r="B36" i="17"/>
  <c r="C44" i="9"/>
  <c r="E54" i="9"/>
  <c r="D54" i="9"/>
  <c r="C54" i="9"/>
  <c r="F54" i="9"/>
  <c r="C132" i="9"/>
  <c r="C41" i="17" s="1"/>
  <c r="C5" i="16" l="1"/>
  <c r="C18" i="10"/>
  <c r="D17" i="11" s="1"/>
  <c r="F36" i="17"/>
  <c r="G18" i="12"/>
  <c r="G11" i="10"/>
  <c r="F59" i="9"/>
  <c r="F61" i="9" s="1"/>
  <c r="D18" i="10"/>
  <c r="E17" i="11" s="1"/>
  <c r="D5" i="16"/>
  <c r="E31" i="15"/>
  <c r="C31" i="15"/>
  <c r="F29" i="19"/>
  <c r="E28" i="19"/>
  <c r="E30" i="19" s="1"/>
  <c r="G18" i="10"/>
  <c r="H17" i="11" s="1"/>
  <c r="E107" i="9"/>
  <c r="F5" i="16"/>
  <c r="F18" i="10"/>
  <c r="F18" i="12"/>
  <c r="F11" i="10"/>
  <c r="E59" i="9"/>
  <c r="E61" i="9"/>
  <c r="D10" i="16"/>
  <c r="D18" i="12"/>
  <c r="B54" i="9"/>
  <c r="D11" i="10"/>
  <c r="C59" i="9"/>
  <c r="C61" i="9" s="1"/>
  <c r="E18" i="12"/>
  <c r="E11" i="10"/>
  <c r="D59" i="9"/>
  <c r="D61" i="9" s="1"/>
  <c r="D29" i="14"/>
  <c r="F28" i="14"/>
  <c r="H28" i="14" s="1"/>
  <c r="B29" i="14"/>
  <c r="E20" i="10"/>
  <c r="B107" i="9"/>
  <c r="F37" i="17"/>
  <c r="D109" i="9" l="1"/>
  <c r="D63" i="9"/>
  <c r="D64" i="9" s="1"/>
  <c r="D131" i="9" s="1"/>
  <c r="F109" i="9"/>
  <c r="F63" i="9"/>
  <c r="F64" i="9" s="1"/>
  <c r="F131" i="9" s="1"/>
  <c r="C109" i="9"/>
  <c r="C130" i="9"/>
  <c r="C63" i="9"/>
  <c r="C64" i="9" s="1"/>
  <c r="C131" i="9" s="1"/>
  <c r="E109" i="9"/>
  <c r="E8" i="16" s="1"/>
  <c r="E131" i="9"/>
  <c r="F20" i="10"/>
  <c r="G9" i="10"/>
  <c r="G15" i="10" s="1"/>
  <c r="H15" i="11"/>
  <c r="G31" i="10"/>
  <c r="G34" i="10" s="1"/>
  <c r="H22" i="11" s="1"/>
  <c r="H23" i="11" s="1"/>
  <c r="G10" i="19"/>
  <c r="D7" i="18"/>
  <c r="D10" i="18" s="1"/>
  <c r="D12" i="18" s="1"/>
  <c r="D14" i="18" s="1"/>
  <c r="D21" i="12"/>
  <c r="D23" i="12" s="1"/>
  <c r="F7" i="18"/>
  <c r="F21" i="12"/>
  <c r="F23" i="12" s="1"/>
  <c r="F6" i="16"/>
  <c r="G20" i="10"/>
  <c r="C18" i="17"/>
  <c r="D18" i="17" s="1"/>
  <c r="C20" i="10"/>
  <c r="C17" i="17"/>
  <c r="D17" i="17" s="1"/>
  <c r="E7" i="18"/>
  <c r="E21" i="12"/>
  <c r="E23" i="12" s="1"/>
  <c r="D30" i="14"/>
  <c r="G30" i="14" s="1"/>
  <c r="B30" i="14"/>
  <c r="D10" i="19"/>
  <c r="D9" i="10"/>
  <c r="D15" i="10" s="1"/>
  <c r="I8" i="21"/>
  <c r="E9" i="18"/>
  <c r="D42" i="17"/>
  <c r="G17" i="11"/>
  <c r="F28" i="19"/>
  <c r="F30" i="19" s="1"/>
  <c r="G29" i="19"/>
  <c r="G28" i="19" s="1"/>
  <c r="G30" i="19" s="1"/>
  <c r="G7" i="18"/>
  <c r="G21" i="12"/>
  <c r="G23" i="12" s="1"/>
  <c r="C6" i="16"/>
  <c r="F15" i="11"/>
  <c r="E31" i="10"/>
  <c r="E34" i="10" s="1"/>
  <c r="F22" i="11" s="1"/>
  <c r="F23" i="11" s="1"/>
  <c r="E10" i="19"/>
  <c r="E9" i="10"/>
  <c r="E15" i="10" s="1"/>
  <c r="E5" i="16"/>
  <c r="E112" i="9"/>
  <c r="D20" i="10"/>
  <c r="F17" i="11"/>
  <c r="I17" i="11" s="1"/>
  <c r="E63" i="9"/>
  <c r="E64" i="9" s="1"/>
  <c r="B5" i="16"/>
  <c r="C18" i="12"/>
  <c r="H124" i="9"/>
  <c r="C11" i="10"/>
  <c r="B59" i="9"/>
  <c r="B61" i="9" s="1"/>
  <c r="G15" i="11"/>
  <c r="F31" i="10"/>
  <c r="F34" i="10" s="1"/>
  <c r="G22" i="11" s="1"/>
  <c r="G23" i="11" s="1"/>
  <c r="F9" i="10"/>
  <c r="F15" i="10" s="1"/>
  <c r="F10" i="19"/>
  <c r="E32" i="15"/>
  <c r="C32" i="15"/>
  <c r="D6" i="16"/>
  <c r="C38" i="17" l="1"/>
  <c r="C134" i="9"/>
  <c r="C43" i="17" s="1"/>
  <c r="B109" i="9"/>
  <c r="B130" i="9"/>
  <c r="B63" i="9"/>
  <c r="B64" i="9" s="1"/>
  <c r="B131" i="9" s="1"/>
  <c r="E10" i="16"/>
  <c r="D38" i="17"/>
  <c r="D134" i="9"/>
  <c r="D43" i="17" s="1"/>
  <c r="F38" i="17"/>
  <c r="F134" i="9"/>
  <c r="F43" i="17" s="1"/>
  <c r="F17" i="18"/>
  <c r="D8" i="13"/>
  <c r="F26" i="12"/>
  <c r="C39" i="17"/>
  <c r="C44" i="17" s="1"/>
  <c r="C135" i="9"/>
  <c r="B11" i="10"/>
  <c r="C31" i="10" s="1"/>
  <c r="C34" i="10" s="1"/>
  <c r="C9" i="10"/>
  <c r="C10" i="19"/>
  <c r="G24" i="10"/>
  <c r="G15" i="20" s="1"/>
  <c r="C8" i="16"/>
  <c r="C112" i="9"/>
  <c r="F130" i="9"/>
  <c r="D130" i="9"/>
  <c r="E24" i="10"/>
  <c r="E15" i="20" s="1"/>
  <c r="B31" i="14"/>
  <c r="D31" i="14"/>
  <c r="F30" i="14"/>
  <c r="H30" i="14" s="1"/>
  <c r="H32" i="15"/>
  <c r="H50" i="15" s="1"/>
  <c r="E50" i="15"/>
  <c r="E114" i="9"/>
  <c r="E116" i="9"/>
  <c r="E17" i="18"/>
  <c r="E26" i="12"/>
  <c r="D7" i="13"/>
  <c r="E10" i="18"/>
  <c r="E12" i="18" s="1"/>
  <c r="E14" i="18" s="1"/>
  <c r="D31" i="10"/>
  <c r="D34" i="10" s="1"/>
  <c r="E22" i="11" s="1"/>
  <c r="E23" i="11" s="1"/>
  <c r="E130" i="9"/>
  <c r="F8" i="16"/>
  <c r="F112" i="9"/>
  <c r="D8" i="16"/>
  <c r="D112" i="9"/>
  <c r="E38" i="17"/>
  <c r="E134" i="9"/>
  <c r="E43" i="17" s="1"/>
  <c r="D11" i="16"/>
  <c r="G5" i="16"/>
  <c r="B6" i="16"/>
  <c r="F24" i="10"/>
  <c r="F15" i="20" s="1"/>
  <c r="C7" i="18"/>
  <c r="C10" i="18" s="1"/>
  <c r="C12" i="18" s="1"/>
  <c r="C14" i="18" s="1"/>
  <c r="C21" i="12"/>
  <c r="C23" i="12" s="1"/>
  <c r="E6" i="16"/>
  <c r="E11" i="16" s="1"/>
  <c r="E15" i="11"/>
  <c r="G17" i="18"/>
  <c r="D9" i="13"/>
  <c r="G26" i="12"/>
  <c r="C21" i="17" l="1"/>
  <c r="D22" i="11"/>
  <c r="D23" i="11" s="1"/>
  <c r="B38" i="17"/>
  <c r="B134" i="9"/>
  <c r="B43" i="17" s="1"/>
  <c r="I9" i="21"/>
  <c r="F9" i="18"/>
  <c r="F10" i="18" s="1"/>
  <c r="F12" i="18" s="1"/>
  <c r="F14" i="18" s="1"/>
  <c r="E42" i="17"/>
  <c r="E17" i="16"/>
  <c r="C9" i="21"/>
  <c r="D17" i="18"/>
  <c r="D6" i="13"/>
  <c r="D26" i="12"/>
  <c r="E21" i="20"/>
  <c r="D8" i="21" s="1"/>
  <c r="D39" i="17"/>
  <c r="D44" i="17" s="1"/>
  <c r="D135" i="9"/>
  <c r="G21" i="20"/>
  <c r="D10" i="21" s="1"/>
  <c r="F114" i="9"/>
  <c r="F116" i="9"/>
  <c r="B32" i="14"/>
  <c r="D32" i="14"/>
  <c r="D54" i="14" s="1"/>
  <c r="D16" i="20"/>
  <c r="C17" i="16"/>
  <c r="C18" i="16" s="1"/>
  <c r="C15" i="11"/>
  <c r="B31" i="10"/>
  <c r="B34" i="10" s="1"/>
  <c r="B9" i="10"/>
  <c r="B10" i="19"/>
  <c r="B5" i="19" s="1"/>
  <c r="B24" i="19" s="1"/>
  <c r="B8" i="16"/>
  <c r="B112" i="9"/>
  <c r="F16" i="20"/>
  <c r="D114" i="9"/>
  <c r="D116" i="9"/>
  <c r="E39" i="17"/>
  <c r="E44" i="17" s="1"/>
  <c r="E198" i="9"/>
  <c r="F198" i="9" s="1"/>
  <c r="E189" i="9"/>
  <c r="F189" i="9" s="1"/>
  <c r="E185" i="9"/>
  <c r="F185" i="9" s="1"/>
  <c r="E181" i="9"/>
  <c r="F181" i="9" s="1"/>
  <c r="E177" i="9"/>
  <c r="F177" i="9" s="1"/>
  <c r="E173" i="9"/>
  <c r="F173" i="9" s="1"/>
  <c r="E169" i="9"/>
  <c r="F169" i="9" s="1"/>
  <c r="E193" i="9"/>
  <c r="F193" i="9" s="1"/>
  <c r="E196" i="9"/>
  <c r="F196" i="9" s="1"/>
  <c r="E188" i="9"/>
  <c r="F188" i="9" s="1"/>
  <c r="E184" i="9"/>
  <c r="F184" i="9" s="1"/>
  <c r="E180" i="9"/>
  <c r="F180" i="9" s="1"/>
  <c r="E176" i="9"/>
  <c r="F176" i="9" s="1"/>
  <c r="E172" i="9"/>
  <c r="F172" i="9" s="1"/>
  <c r="E135" i="9"/>
  <c r="E195" i="9"/>
  <c r="F195" i="9" s="1"/>
  <c r="E191" i="9"/>
  <c r="F191" i="9" s="1"/>
  <c r="E192" i="9"/>
  <c r="F192" i="9" s="1"/>
  <c r="E182" i="9"/>
  <c r="F182" i="9" s="1"/>
  <c r="E174" i="9"/>
  <c r="F174" i="9" s="1"/>
  <c r="E170" i="9"/>
  <c r="F170" i="9" s="1"/>
  <c r="E199" i="9"/>
  <c r="F199" i="9" s="1"/>
  <c r="E194" i="9"/>
  <c r="F194" i="9" s="1"/>
  <c r="E187" i="9"/>
  <c r="F187" i="9" s="1"/>
  <c r="E183" i="9"/>
  <c r="F183" i="9" s="1"/>
  <c r="E179" i="9"/>
  <c r="F179" i="9" s="1"/>
  <c r="E175" i="9"/>
  <c r="F175" i="9" s="1"/>
  <c r="E171" i="9"/>
  <c r="F171" i="9" s="1"/>
  <c r="E197" i="9"/>
  <c r="F197" i="9" s="1"/>
  <c r="E186" i="9"/>
  <c r="F186" i="9" s="1"/>
  <c r="E178" i="9"/>
  <c r="F178" i="9" s="1"/>
  <c r="E190" i="9"/>
  <c r="F190" i="9" s="1"/>
  <c r="H8" i="13"/>
  <c r="E117" i="9"/>
  <c r="E8" i="13" s="1"/>
  <c r="F39" i="17"/>
  <c r="F135" i="9"/>
  <c r="D15" i="11"/>
  <c r="F21" i="20"/>
  <c r="D9" i="21" s="1"/>
  <c r="H9" i="21"/>
  <c r="E12" i="16"/>
  <c r="F19" i="20" s="1"/>
  <c r="E9" i="21" s="1"/>
  <c r="G6" i="16"/>
  <c r="B11" i="16"/>
  <c r="H8" i="21"/>
  <c r="D12" i="16"/>
  <c r="E19" i="20" s="1"/>
  <c r="E8" i="21" s="1"/>
  <c r="E16" i="20"/>
  <c r="D17" i="16"/>
  <c r="D18" i="16" s="1"/>
  <c r="G32" i="14"/>
  <c r="C8" i="21"/>
  <c r="C114" i="9"/>
  <c r="C116" i="9"/>
  <c r="D14" i="17"/>
  <c r="C15" i="10"/>
  <c r="C11" i="16"/>
  <c r="B39" i="17"/>
  <c r="E164" i="9"/>
  <c r="F164" i="9" s="1"/>
  <c r="E155" i="9"/>
  <c r="F155" i="9" s="1"/>
  <c r="E156" i="9"/>
  <c r="F156" i="9" s="1"/>
  <c r="E158" i="9"/>
  <c r="F158" i="9" s="1"/>
  <c r="E142" i="9"/>
  <c r="F142" i="9" s="1"/>
  <c r="E161" i="9"/>
  <c r="F161" i="9" s="1"/>
  <c r="E145" i="9"/>
  <c r="F145" i="9" s="1"/>
  <c r="E162" i="9"/>
  <c r="F162" i="9" s="1"/>
  <c r="E140" i="9"/>
  <c r="F140" i="9" s="1"/>
  <c r="E151" i="9"/>
  <c r="F151" i="9" s="1"/>
  <c r="E152" i="9"/>
  <c r="F152" i="9" s="1"/>
  <c r="E154" i="9"/>
  <c r="F154" i="9" s="1"/>
  <c r="E160" i="9"/>
  <c r="F160" i="9" s="1"/>
  <c r="E157" i="9"/>
  <c r="F157" i="9" s="1"/>
  <c r="E141" i="9"/>
  <c r="F141" i="9" s="1"/>
  <c r="E163" i="9"/>
  <c r="F163" i="9" s="1"/>
  <c r="E147" i="9"/>
  <c r="F147" i="9" s="1"/>
  <c r="E144" i="9"/>
  <c r="F144" i="9" s="1"/>
  <c r="E150" i="9"/>
  <c r="F150" i="9" s="1"/>
  <c r="E148" i="9"/>
  <c r="F148" i="9" s="1"/>
  <c r="E153" i="9"/>
  <c r="F153" i="9" s="1"/>
  <c r="E159" i="9"/>
  <c r="F159" i="9" s="1"/>
  <c r="E143" i="9"/>
  <c r="F143" i="9" s="1"/>
  <c r="E146" i="9"/>
  <c r="F146" i="9" s="1"/>
  <c r="E149" i="9"/>
  <c r="F149" i="9" s="1"/>
  <c r="B31" i="19" l="1"/>
  <c r="B35" i="19" s="1"/>
  <c r="B38" i="19"/>
  <c r="H9" i="13"/>
  <c r="K9" i="13" s="1"/>
  <c r="F117" i="9"/>
  <c r="E9" i="13" s="1"/>
  <c r="E80" i="17"/>
  <c r="F80" i="17" s="1"/>
  <c r="E72" i="17"/>
  <c r="F72" i="17" s="1"/>
  <c r="E64" i="17"/>
  <c r="F64" i="17" s="1"/>
  <c r="E56" i="17"/>
  <c r="F56" i="17" s="1"/>
  <c r="E61" i="17"/>
  <c r="F61" i="17" s="1"/>
  <c r="E73" i="17"/>
  <c r="F73" i="17" s="1"/>
  <c r="E71" i="17"/>
  <c r="F71" i="17" s="1"/>
  <c r="E57" i="17"/>
  <c r="F57" i="17" s="1"/>
  <c r="E74" i="17"/>
  <c r="F74" i="17" s="1"/>
  <c r="E69" i="17"/>
  <c r="F69" i="17" s="1"/>
  <c r="E79" i="17"/>
  <c r="F79" i="17" s="1"/>
  <c r="E78" i="17"/>
  <c r="F78" i="17" s="1"/>
  <c r="E70" i="17"/>
  <c r="F70" i="17" s="1"/>
  <c r="E62" i="17"/>
  <c r="F62" i="17" s="1"/>
  <c r="B44" i="17"/>
  <c r="E75" i="17"/>
  <c r="F75" i="17" s="1"/>
  <c r="E65" i="17"/>
  <c r="F65" i="17" s="1"/>
  <c r="E63" i="17"/>
  <c r="F63" i="17" s="1"/>
  <c r="E67" i="17"/>
  <c r="F67" i="17" s="1"/>
  <c r="E66" i="17"/>
  <c r="F66" i="17" s="1"/>
  <c r="E58" i="17"/>
  <c r="F58" i="17" s="1"/>
  <c r="E59" i="17"/>
  <c r="F59" i="17" s="1"/>
  <c r="E76" i="17"/>
  <c r="F76" i="17" s="1"/>
  <c r="E68" i="17"/>
  <c r="F68" i="17" s="1"/>
  <c r="E60" i="17"/>
  <c r="F60" i="17" s="1"/>
  <c r="E77" i="17"/>
  <c r="F77" i="17" s="1"/>
  <c r="E13" i="16"/>
  <c r="F17" i="20" s="1"/>
  <c r="F9" i="21" s="1"/>
  <c r="H7" i="21"/>
  <c r="C12" i="16"/>
  <c r="C13" i="16"/>
  <c r="D17" i="20" s="1"/>
  <c r="F7" i="21" s="1"/>
  <c r="D13" i="16"/>
  <c r="B114" i="9"/>
  <c r="B116" i="9"/>
  <c r="B21" i="17"/>
  <c r="C22" i="11"/>
  <c r="G9" i="21"/>
  <c r="H6" i="21"/>
  <c r="B13" i="16"/>
  <c r="H6" i="13"/>
  <c r="C117" i="9"/>
  <c r="E6" i="13" s="1"/>
  <c r="C118" i="9"/>
  <c r="F6" i="13" s="1"/>
  <c r="F10" i="16"/>
  <c r="G54" i="14"/>
  <c r="B14" i="17"/>
  <c r="B15" i="17" s="1"/>
  <c r="B15" i="10"/>
  <c r="C24" i="10" s="1"/>
  <c r="C15" i="20" s="1"/>
  <c r="B135" i="9"/>
  <c r="D24" i="10"/>
  <c r="D15" i="20" s="1"/>
  <c r="E14" i="16"/>
  <c r="F33" i="19" s="1"/>
  <c r="E118" i="9"/>
  <c r="H7" i="13"/>
  <c r="D117" i="9"/>
  <c r="E7" i="13" s="1"/>
  <c r="G8" i="16"/>
  <c r="C16" i="20"/>
  <c r="B17" i="16"/>
  <c r="B18" i="16" s="1"/>
  <c r="I15" i="11"/>
  <c r="C18" i="11"/>
  <c r="F32" i="14"/>
  <c r="H32" i="14" s="1"/>
  <c r="B54" i="14"/>
  <c r="D21" i="20"/>
  <c r="D7" i="21" s="1"/>
  <c r="D5" i="13"/>
  <c r="C26" i="12"/>
  <c r="E18" i="16"/>
  <c r="C17" i="18"/>
  <c r="C21" i="20"/>
  <c r="D6" i="21" s="1"/>
  <c r="C6" i="21" l="1"/>
  <c r="E6" i="15"/>
  <c r="E6" i="8"/>
  <c r="C17" i="20"/>
  <c r="C13" i="20" s="1"/>
  <c r="C14" i="17"/>
  <c r="C15" i="17" s="1"/>
  <c r="H5" i="13"/>
  <c r="B118" i="9"/>
  <c r="F5" i="13" s="1"/>
  <c r="B117" i="9"/>
  <c r="E5" i="13" s="1"/>
  <c r="E11" i="13" s="1"/>
  <c r="D118" i="9"/>
  <c r="F7" i="13" s="1"/>
  <c r="C120" i="9"/>
  <c r="D19" i="20"/>
  <c r="D13" i="20" s="1"/>
  <c r="D15" i="17"/>
  <c r="B20" i="17"/>
  <c r="B22" i="17"/>
  <c r="I10" i="21"/>
  <c r="I12" i="21" s="1"/>
  <c r="G9" i="18"/>
  <c r="G10" i="18" s="1"/>
  <c r="G12" i="18" s="1"/>
  <c r="G14" i="18" s="1"/>
  <c r="F42" i="17"/>
  <c r="F11" i="16"/>
  <c r="G16" i="20"/>
  <c r="G10" i="16"/>
  <c r="F17" i="16"/>
  <c r="B14" i="16"/>
  <c r="I22" i="11"/>
  <c r="C23" i="11"/>
  <c r="C25" i="11" s="1"/>
  <c r="C14" i="16"/>
  <c r="D33" i="19" s="1"/>
  <c r="F118" i="9"/>
  <c r="F8" i="13"/>
  <c r="E120" i="9"/>
  <c r="G17" i="16"/>
  <c r="C7" i="21"/>
  <c r="B22" i="10"/>
  <c r="B25" i="10" s="1"/>
  <c r="B24" i="10"/>
  <c r="B15" i="20" s="1"/>
  <c r="D21" i="17"/>
  <c r="B21" i="20"/>
  <c r="C16" i="18"/>
  <c r="C18" i="18" s="1"/>
  <c r="E17" i="20"/>
  <c r="D14" i="16"/>
  <c r="E33" i="19" s="1"/>
  <c r="F13" i="20"/>
  <c r="C23" i="19" l="1"/>
  <c r="C12" i="19" s="1"/>
  <c r="C21" i="18"/>
  <c r="D16" i="18"/>
  <c r="D18" i="18" s="1"/>
  <c r="C19" i="18"/>
  <c r="C4" i="13"/>
  <c r="B36" i="10"/>
  <c r="B23" i="17"/>
  <c r="E18" i="8"/>
  <c r="F19" i="8" s="1"/>
  <c r="E15" i="8"/>
  <c r="F16" i="8" s="1"/>
  <c r="E17" i="8"/>
  <c r="F18" i="8" s="1"/>
  <c r="G19" i="8" s="1"/>
  <c r="E21" i="8"/>
  <c r="E16" i="8"/>
  <c r="F17" i="8" s="1"/>
  <c r="E13" i="8"/>
  <c r="F14" i="8" s="1"/>
  <c r="E19" i="8"/>
  <c r="F20" i="8" s="1"/>
  <c r="E14" i="8"/>
  <c r="F15" i="8" s="1"/>
  <c r="E20" i="8"/>
  <c r="F21" i="8" s="1"/>
  <c r="E8" i="8"/>
  <c r="F9" i="13"/>
  <c r="F120" i="9"/>
  <c r="C33" i="19"/>
  <c r="C19" i="17"/>
  <c r="D19" i="17" s="1"/>
  <c r="H10" i="21"/>
  <c r="F12" i="16"/>
  <c r="G11" i="16"/>
  <c r="D120" i="9"/>
  <c r="B120" i="9"/>
  <c r="C20" i="17"/>
  <c r="C23" i="17" s="1"/>
  <c r="C26" i="17" s="1"/>
  <c r="C27" i="17" s="1"/>
  <c r="C31" i="17" s="1"/>
  <c r="C22" i="17"/>
  <c r="E8" i="15"/>
  <c r="F8" i="21"/>
  <c r="G8" i="21" s="1"/>
  <c r="E13" i="20"/>
  <c r="E7" i="21"/>
  <c r="H11" i="13"/>
  <c r="H21" i="20"/>
  <c r="D5" i="21"/>
  <c r="D12" i="21" s="1"/>
  <c r="F18" i="16"/>
  <c r="E103" i="17"/>
  <c r="F103" i="17" s="1"/>
  <c r="E94" i="17"/>
  <c r="F94" i="17" s="1"/>
  <c r="E100" i="17"/>
  <c r="F100" i="17" s="1"/>
  <c r="E95" i="17"/>
  <c r="F95" i="17" s="1"/>
  <c r="E91" i="17"/>
  <c r="F91" i="17" s="1"/>
  <c r="E89" i="17"/>
  <c r="F89" i="17" s="1"/>
  <c r="E96" i="17"/>
  <c r="F96" i="17" s="1"/>
  <c r="E113" i="17"/>
  <c r="F113" i="17" s="1"/>
  <c r="E88" i="17"/>
  <c r="F88" i="17" s="1"/>
  <c r="E99" i="17"/>
  <c r="F99" i="17" s="1"/>
  <c r="E112" i="17"/>
  <c r="F112" i="17" s="1"/>
  <c r="E98" i="17"/>
  <c r="F98" i="17" s="1"/>
  <c r="E109" i="17"/>
  <c r="F109" i="17" s="1"/>
  <c r="E86" i="17"/>
  <c r="F86" i="17" s="1"/>
  <c r="E93" i="17"/>
  <c r="F93" i="17" s="1"/>
  <c r="E115" i="17"/>
  <c r="F115" i="17" s="1"/>
  <c r="E92" i="17"/>
  <c r="F92" i="17" s="1"/>
  <c r="E110" i="17"/>
  <c r="F110" i="17" s="1"/>
  <c r="E102" i="17"/>
  <c r="F102" i="17" s="1"/>
  <c r="E114" i="17"/>
  <c r="F114" i="17" s="1"/>
  <c r="E101" i="17"/>
  <c r="F101" i="17" s="1"/>
  <c r="F44" i="17"/>
  <c r="E105" i="17"/>
  <c r="F105" i="17" s="1"/>
  <c r="E107" i="17"/>
  <c r="F107" i="17" s="1"/>
  <c r="E108" i="17"/>
  <c r="F108" i="17" s="1"/>
  <c r="E85" i="17"/>
  <c r="F85" i="17" s="1"/>
  <c r="E111" i="17"/>
  <c r="F111" i="17" s="1"/>
  <c r="E97" i="17"/>
  <c r="F97" i="17" s="1"/>
  <c r="E104" i="17"/>
  <c r="F104" i="17" s="1"/>
  <c r="E87" i="17"/>
  <c r="F87" i="17" s="1"/>
  <c r="E90" i="17"/>
  <c r="F90" i="17" s="1"/>
  <c r="E106" i="17"/>
  <c r="F106" i="17" s="1"/>
  <c r="H16" i="20"/>
  <c r="G18" i="16" s="1"/>
  <c r="C124" i="9"/>
  <c r="C126" i="9" s="1"/>
  <c r="C121" i="9"/>
  <c r="D19" i="10" s="1"/>
  <c r="H15" i="20"/>
  <c r="C5" i="21"/>
  <c r="B13" i="20"/>
  <c r="E124" i="9"/>
  <c r="E126" i="9" s="1"/>
  <c r="E121" i="9"/>
  <c r="F19" i="10" s="1"/>
  <c r="C25" i="12"/>
  <c r="B26" i="12"/>
  <c r="B27" i="12"/>
  <c r="B30" i="12" s="1"/>
  <c r="I23" i="11"/>
  <c r="D4" i="13"/>
  <c r="D22" i="17"/>
  <c r="F11" i="13"/>
  <c r="F6" i="21"/>
  <c r="G6" i="21" s="1"/>
  <c r="B124" i="9" l="1"/>
  <c r="B126" i="9" s="1"/>
  <c r="B121" i="9"/>
  <c r="C19" i="10" s="1"/>
  <c r="C11" i="19"/>
  <c r="C11" i="20"/>
  <c r="D16" i="10"/>
  <c r="D22" i="10" s="1"/>
  <c r="D121" i="9"/>
  <c r="E19" i="10" s="1"/>
  <c r="D124" i="9"/>
  <c r="D126" i="9" s="1"/>
  <c r="D34" i="19"/>
  <c r="E34" i="19" s="1"/>
  <c r="F34" i="19" s="1"/>
  <c r="G34" i="19" s="1"/>
  <c r="G15" i="8"/>
  <c r="G17" i="8"/>
  <c r="D23" i="19"/>
  <c r="D12" i="19" s="1"/>
  <c r="D21" i="18"/>
  <c r="E16" i="18"/>
  <c r="E18" i="18" s="1"/>
  <c r="D19" i="18"/>
  <c r="D11" i="13"/>
  <c r="I14" i="13"/>
  <c r="C27" i="12"/>
  <c r="I23" i="12"/>
  <c r="C28" i="12"/>
  <c r="J5" i="13" s="1"/>
  <c r="G5" i="21"/>
  <c r="G7" i="21"/>
  <c r="D13" i="13"/>
  <c r="H12" i="21"/>
  <c r="F124" i="9"/>
  <c r="F126" i="9" s="1"/>
  <c r="F121" i="9"/>
  <c r="G19" i="10" s="1"/>
  <c r="G19" i="20"/>
  <c r="G12" i="16"/>
  <c r="B26" i="17"/>
  <c r="B27" i="17" s="1"/>
  <c r="B31" i="17" s="1"/>
  <c r="D23" i="17"/>
  <c r="D26" i="17" s="1"/>
  <c r="D27" i="17" s="1"/>
  <c r="B7" i="14"/>
  <c r="C7" i="15"/>
  <c r="C7" i="8"/>
  <c r="G12" i="11"/>
  <c r="F16" i="10"/>
  <c r="F22" i="10" s="1"/>
  <c r="B29" i="21"/>
  <c r="C29" i="21" s="1"/>
  <c r="C10" i="21"/>
  <c r="I16" i="20"/>
  <c r="C7" i="20"/>
  <c r="C32" i="17"/>
  <c r="F13" i="16"/>
  <c r="G21" i="8"/>
  <c r="D20" i="17"/>
  <c r="G4" i="13"/>
  <c r="K5" i="13" l="1"/>
  <c r="D12" i="11"/>
  <c r="C16" i="10"/>
  <c r="C22" i="10" s="1"/>
  <c r="C25" i="10" s="1"/>
  <c r="L4" i="13"/>
  <c r="G17" i="20"/>
  <c r="G13" i="16"/>
  <c r="F9" i="19"/>
  <c r="G18" i="11"/>
  <c r="G25" i="11" s="1"/>
  <c r="H16" i="21"/>
  <c r="F7" i="14"/>
  <c r="G7" i="8"/>
  <c r="E10" i="21"/>
  <c r="E12" i="21" s="1"/>
  <c r="H19" i="20"/>
  <c r="M5" i="21"/>
  <c r="D25" i="12"/>
  <c r="C30" i="12"/>
  <c r="D11" i="20"/>
  <c r="K7" i="21" s="1"/>
  <c r="L7" i="21" s="1"/>
  <c r="M7" i="21" s="1"/>
  <c r="D11" i="19"/>
  <c r="K6" i="21"/>
  <c r="B25" i="21"/>
  <c r="C25" i="21" s="1"/>
  <c r="C5" i="20"/>
  <c r="C24" i="20" s="1"/>
  <c r="C27" i="20" s="1"/>
  <c r="G7" i="15"/>
  <c r="B7" i="20"/>
  <c r="D31" i="17"/>
  <c r="E31" i="17" s="1"/>
  <c r="B32" i="17"/>
  <c r="D32" i="17" s="1"/>
  <c r="H12" i="11"/>
  <c r="G16" i="10"/>
  <c r="G22" i="10" s="1"/>
  <c r="C12" i="21"/>
  <c r="L27" i="21" s="1"/>
  <c r="E19" i="18"/>
  <c r="E23" i="19"/>
  <c r="E12" i="19" s="1"/>
  <c r="E21" i="18"/>
  <c r="F16" i="18"/>
  <c r="F18" i="18" s="1"/>
  <c r="F12" i="11"/>
  <c r="E16" i="10"/>
  <c r="E22" i="10" s="1"/>
  <c r="E25" i="10" s="1"/>
  <c r="F14" i="16"/>
  <c r="E9" i="19" l="1"/>
  <c r="F18" i="11"/>
  <c r="F25" i="11" s="1"/>
  <c r="E11" i="20"/>
  <c r="K8" i="21" s="1"/>
  <c r="L8" i="21" s="1"/>
  <c r="M8" i="21" s="1"/>
  <c r="E11" i="19"/>
  <c r="E32" i="17"/>
  <c r="E29" i="17"/>
  <c r="E30" i="17"/>
  <c r="L6" i="21"/>
  <c r="D28" i="12"/>
  <c r="J6" i="13" s="1"/>
  <c r="D27" i="12"/>
  <c r="G10" i="21"/>
  <c r="G12" i="21" s="1"/>
  <c r="F19" i="18"/>
  <c r="F23" i="19"/>
  <c r="F12" i="19" s="1"/>
  <c r="F21" i="18"/>
  <c r="G16" i="18"/>
  <c r="G18" i="18" s="1"/>
  <c r="D6" i="20"/>
  <c r="C28" i="20"/>
  <c r="N5" i="21"/>
  <c r="F25" i="10"/>
  <c r="C36" i="10"/>
  <c r="C5" i="13"/>
  <c r="C9" i="13"/>
  <c r="G9" i="13" s="1"/>
  <c r="L9" i="13" s="1"/>
  <c r="G25" i="10"/>
  <c r="G36" i="10" s="1"/>
  <c r="B24" i="21"/>
  <c r="B5" i="20"/>
  <c r="B24" i="20" s="1"/>
  <c r="H7" i="20"/>
  <c r="J19" i="20" s="1"/>
  <c r="B32" i="19"/>
  <c r="F10" i="21"/>
  <c r="F12" i="21" s="1"/>
  <c r="G17" i="21" s="1"/>
  <c r="H17" i="20"/>
  <c r="G13" i="20"/>
  <c r="C9" i="19"/>
  <c r="C5" i="19" s="1"/>
  <c r="C24" i="19" s="1"/>
  <c r="D18" i="11"/>
  <c r="D25" i="11" s="1"/>
  <c r="E12" i="11"/>
  <c r="G33" i="19"/>
  <c r="G14" i="16"/>
  <c r="C7" i="13"/>
  <c r="G7" i="13" s="1"/>
  <c r="E36" i="10"/>
  <c r="G9" i="19"/>
  <c r="H18" i="11"/>
  <c r="H25" i="11" s="1"/>
  <c r="I19" i="20"/>
  <c r="J26" i="20"/>
  <c r="M4" i="13"/>
  <c r="D25" i="10"/>
  <c r="D36" i="10" l="1"/>
  <c r="C6" i="13"/>
  <c r="G6" i="13" s="1"/>
  <c r="D9" i="19"/>
  <c r="E18" i="11"/>
  <c r="E25" i="11" s="1"/>
  <c r="G23" i="19"/>
  <c r="G12" i="19" s="1"/>
  <c r="G21" i="18"/>
  <c r="G19" i="18"/>
  <c r="K6" i="13"/>
  <c r="J14" i="13"/>
  <c r="M6" i="21"/>
  <c r="I17" i="20"/>
  <c r="H13" i="20"/>
  <c r="K26" i="20"/>
  <c r="K27" i="20" s="1"/>
  <c r="C8" i="13"/>
  <c r="G8" i="13" s="1"/>
  <c r="F36" i="10"/>
  <c r="I12" i="11"/>
  <c r="I18" i="11" s="1"/>
  <c r="I13" i="21"/>
  <c r="B31" i="21"/>
  <c r="C24" i="21"/>
  <c r="E25" i="21"/>
  <c r="J18" i="21"/>
  <c r="I33" i="19"/>
  <c r="I35" i="19"/>
  <c r="C31" i="19"/>
  <c r="C35" i="19" s="1"/>
  <c r="C38" i="19"/>
  <c r="G5" i="13"/>
  <c r="C11" i="13"/>
  <c r="M20" i="13" s="1"/>
  <c r="D8" i="19"/>
  <c r="D5" i="19" s="1"/>
  <c r="D24" i="19" s="1"/>
  <c r="D5" i="20"/>
  <c r="D24" i="20" s="1"/>
  <c r="D27" i="20" s="1"/>
  <c r="F11" i="20"/>
  <c r="F11" i="19"/>
  <c r="E25" i="12"/>
  <c r="D30" i="12"/>
  <c r="G11" i="20" l="1"/>
  <c r="K10" i="21" s="1"/>
  <c r="L10" i="21" s="1"/>
  <c r="M10" i="21" s="1"/>
  <c r="G11" i="19"/>
  <c r="D31" i="19"/>
  <c r="D35" i="19" s="1"/>
  <c r="D38" i="19" s="1"/>
  <c r="F25" i="21"/>
  <c r="C31" i="21"/>
  <c r="G24" i="21"/>
  <c r="C6" i="15"/>
  <c r="B6" i="14"/>
  <c r="C6" i="8"/>
  <c r="I25" i="11"/>
  <c r="J13" i="12"/>
  <c r="E28" i="12"/>
  <c r="J7" i="13" s="1"/>
  <c r="E27" i="12"/>
  <c r="K9" i="21"/>
  <c r="H11" i="20"/>
  <c r="E6" i="20"/>
  <c r="D28" i="20"/>
  <c r="G11" i="13"/>
  <c r="L5" i="13"/>
  <c r="L6" i="13"/>
  <c r="N6" i="21"/>
  <c r="N7" i="21" s="1"/>
  <c r="N8" i="21" s="1"/>
  <c r="E26" i="21" l="1"/>
  <c r="F25" i="12"/>
  <c r="E30" i="12"/>
  <c r="H24" i="21"/>
  <c r="K7" i="13"/>
  <c r="G6" i="8"/>
  <c r="D6" i="8"/>
  <c r="C8" i="8"/>
  <c r="M5" i="13"/>
  <c r="M6" i="13" s="1"/>
  <c r="F6" i="14"/>
  <c r="B8" i="14"/>
  <c r="E5" i="20"/>
  <c r="E24" i="20" s="1"/>
  <c r="E27" i="20" s="1"/>
  <c r="E8" i="19"/>
  <c r="E5" i="19" s="1"/>
  <c r="E24" i="19" s="1"/>
  <c r="L9" i="21"/>
  <c r="K12" i="21"/>
  <c r="L26" i="21" s="1"/>
  <c r="G6" i="15"/>
  <c r="C8" i="15"/>
  <c r="G25" i="21"/>
  <c r="E28" i="20" l="1"/>
  <c r="F6" i="20"/>
  <c r="M9" i="21"/>
  <c r="L12" i="21"/>
  <c r="E7" i="14"/>
  <c r="E6" i="14"/>
  <c r="E5" i="14"/>
  <c r="E8" i="14"/>
  <c r="C5" i="14"/>
  <c r="G5" i="14"/>
  <c r="C7" i="14"/>
  <c r="G7" i="14"/>
  <c r="H6" i="8"/>
  <c r="G8" i="8"/>
  <c r="H25" i="21"/>
  <c r="F28" i="12"/>
  <c r="J8" i="13" s="1"/>
  <c r="F27" i="12"/>
  <c r="F7" i="15"/>
  <c r="F5" i="15"/>
  <c r="D5" i="15"/>
  <c r="H5" i="15"/>
  <c r="F6" i="15"/>
  <c r="F8" i="15"/>
  <c r="D7" i="15"/>
  <c r="H7" i="15"/>
  <c r="H6" i="15"/>
  <c r="G8" i="15"/>
  <c r="D6" i="15"/>
  <c r="G6" i="14"/>
  <c r="F8" i="14"/>
  <c r="C32" i="19" s="1"/>
  <c r="D32" i="19" s="1"/>
  <c r="E32" i="19" s="1"/>
  <c r="F32" i="19" s="1"/>
  <c r="G32" i="19" s="1"/>
  <c r="E31" i="19"/>
  <c r="E35" i="19" s="1"/>
  <c r="C6" i="14"/>
  <c r="F7" i="8"/>
  <c r="F5" i="8"/>
  <c r="D5" i="8"/>
  <c r="D8" i="8" s="1"/>
  <c r="H5" i="8"/>
  <c r="F6" i="8"/>
  <c r="F8" i="8"/>
  <c r="D7" i="8"/>
  <c r="H7" i="8"/>
  <c r="L7" i="13"/>
  <c r="M7" i="13" s="1"/>
  <c r="F26" i="21"/>
  <c r="H8" i="8" l="1"/>
  <c r="G8" i="14"/>
  <c r="H8" i="15"/>
  <c r="G25" i="12"/>
  <c r="F30" i="12"/>
  <c r="C8" i="14"/>
  <c r="F5" i="20"/>
  <c r="F24" i="20" s="1"/>
  <c r="F27" i="20" s="1"/>
  <c r="F8" i="19"/>
  <c r="F5" i="19" s="1"/>
  <c r="F24" i="19" s="1"/>
  <c r="G26" i="21"/>
  <c r="E38" i="19"/>
  <c r="D8" i="15"/>
  <c r="K8" i="13"/>
  <c r="J11" i="13"/>
  <c r="E27" i="21"/>
  <c r="H26" i="21"/>
  <c r="M12" i="21"/>
  <c r="D16" i="21"/>
  <c r="N9" i="21"/>
  <c r="F27" i="21" l="1"/>
  <c r="F31" i="19"/>
  <c r="F35" i="19" s="1"/>
  <c r="F38" i="19" s="1"/>
  <c r="G27" i="12"/>
  <c r="G28" i="12"/>
  <c r="D15" i="21"/>
  <c r="N10" i="21"/>
  <c r="N12" i="21" s="1"/>
  <c r="D14" i="21" s="1"/>
  <c r="J15" i="13"/>
  <c r="M19" i="13"/>
  <c r="F28" i="20"/>
  <c r="G6" i="20"/>
  <c r="L8" i="13"/>
  <c r="K11" i="13"/>
  <c r="M8" i="13" l="1"/>
  <c r="D15" i="13"/>
  <c r="L11" i="13"/>
  <c r="G30" i="12"/>
  <c r="G27" i="21"/>
  <c r="G5" i="20"/>
  <c r="G24" i="20" s="1"/>
  <c r="G27" i="20" s="1"/>
  <c r="G8" i="19"/>
  <c r="G5" i="19" s="1"/>
  <c r="G24" i="19" s="1"/>
  <c r="H6" i="20"/>
  <c r="H5" i="20" s="1"/>
  <c r="H24" i="20" s="1"/>
  <c r="E28" i="21"/>
  <c r="F28" i="21" s="1"/>
  <c r="G28" i="21" s="1"/>
  <c r="L28" i="21"/>
  <c r="G31" i="19" l="1"/>
  <c r="G35" i="19" s="1"/>
  <c r="G38" i="19" s="1"/>
  <c r="G28" i="20"/>
  <c r="H27" i="20"/>
  <c r="H27" i="21"/>
  <c r="H28" i="21" s="1"/>
  <c r="M9" i="13"/>
  <c r="M21" i="13" s="1"/>
  <c r="D14" i="13"/>
  <c r="E29" i="21" l="1"/>
  <c r="H28" i="20"/>
  <c r="L36" i="21"/>
  <c r="L25" i="19"/>
  <c r="D32" i="20" l="1"/>
  <c r="J31" i="21"/>
  <c r="F29" i="21"/>
  <c r="E31" i="21"/>
  <c r="G29" i="21" l="1"/>
  <c r="F31" i="21"/>
  <c r="G31" i="21" l="1"/>
  <c r="D36" i="21"/>
  <c r="D35" i="21"/>
  <c r="H29" i="21"/>
  <c r="D34" i="21" l="1"/>
  <c r="L32" i="21"/>
  <c r="L30" i="21"/>
  <c r="L34" i="21"/>
  <c r="L33" i="21"/>
  <c r="L31" i="21"/>
  <c r="J3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2" authorId="0" shapeId="0" xr:uid="{00000000-0006-0000-0100-000001000000}">
      <text>
        <r>
          <rPr>
            <sz val="10"/>
            <color rgb="FF000000"/>
            <rFont val="Arial"/>
          </rPr>
          <t>Sale de 11138 lentes a elaborar / 150 lentes por placa
	-mauro corigliano</t>
        </r>
      </text>
    </comment>
    <comment ref="J18" authorId="0" shapeId="0" xr:uid="{00000000-0006-0000-0100-000002000000}">
      <text>
        <r>
          <rPr>
            <sz val="10"/>
            <color rgb="FF000000"/>
            <rFont val="Arial"/>
          </rPr>
          <t>El ciclo dura 5 días dado que en el tamboreado se deben dejar una semana los marcos.
	-mauro corigliano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19" authorId="0" shapeId="0" xr:uid="{00000000-0006-0000-0200-000001000000}">
      <text>
        <r>
          <rPr>
            <sz val="10"/>
            <color rgb="FF000000"/>
            <rFont val="Arial"/>
          </rPr>
          <t>Boullon, Franco Emanuel:
La diferencia de esto me da el material perdido</t>
        </r>
      </text>
    </comment>
    <comment ref="J20" authorId="0" shapeId="0" xr:uid="{00000000-0006-0000-0200-000002000000}">
      <text>
        <r>
          <rPr>
            <sz val="10"/>
            <color rgb="FF000000"/>
            <rFont val="Arial"/>
          </rPr>
          <t>Este cálculo se repite en la hoja de cantidad de máquinas operativas.
Lo que se hizo fue tomar los 14850 anteojos como ingreso y se le sumo lo que equivale el peso de desperdicio de la primer sección en anteojos (desperdicio 1er sección * peso de anteojos = anteojos por desperdicio)
	-Lucas Diorio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300-000001000000}">
      <text>
        <r>
          <rPr>
            <sz val="10"/>
            <color rgb="FF000000"/>
            <rFont val="Arial"/>
          </rPr>
          <t>SON DOLARES
	-mauro corigliano</t>
        </r>
      </text>
    </comment>
    <comment ref="C40" authorId="0" shapeId="0" xr:uid="{00000000-0006-0000-0300-000002000000}">
      <text>
        <r>
          <rPr>
            <sz val="10"/>
            <color rgb="FF000000"/>
            <rFont val="Arial"/>
          </rPr>
          <t>Galpón Metálico
	-Lucas Diorio</t>
        </r>
      </text>
    </comment>
    <comment ref="L191" authorId="0" shapeId="0" xr:uid="{00000000-0006-0000-0300-000003000000}">
      <text>
        <r>
          <rPr>
            <sz val="10"/>
            <color rgb="FF000000"/>
            <rFont val="Arial"/>
          </rPr>
          <t>Es el 90% del año 2 según el tecnólogo.
	-Lucas Diorio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2" authorId="0" shapeId="0" xr:uid="{00000000-0006-0000-0600-000001000000}">
      <text>
        <r>
          <rPr>
            <sz val="10"/>
            <color rgb="FF000000"/>
            <rFont val="Arial"/>
          </rPr>
          <t>Se incluye la mitad de mercadería en curso destinada a ser producto elaborado para tener en cuenta la incidencia de la mercadería en proceso expresada en una cantidad de producto terminado.
	-Lucas Diorio</t>
        </r>
      </text>
    </comment>
    <comment ref="B64" authorId="0" shapeId="0" xr:uid="{00000000-0006-0000-0600-000002000000}">
      <text>
        <r>
          <rPr>
            <sz val="10"/>
            <color rgb="FF000000"/>
            <rFont val="Arial"/>
          </rPr>
          <t>Mitad de mercadería en curso destinada a ser producto elaborado para tener en cuenta la incidencia de la mercadería en proceso expresada en una cantidad de producto terminado.
	-Lucas Diorio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800-000001000000}">
      <text>
        <r>
          <rPr>
            <sz val="10"/>
            <color rgb="FF000000"/>
            <rFont val="Arial"/>
          </rPr>
          <t>Es el 90% del año 2 según el tecnólogo.
	-Lucas Diorio</t>
        </r>
      </text>
    </comment>
    <comment ref="C8" authorId="0" shapeId="0" xr:uid="{00000000-0006-0000-0800-000002000000}">
      <text>
        <r>
          <rPr>
            <sz val="10"/>
            <color rgb="FF000000"/>
            <rFont val="Arial"/>
          </rPr>
          <t>1 Operario Calificado
5 Operarios
	-Lucas Diorio</t>
        </r>
      </text>
    </comment>
    <comment ref="B11" authorId="0" shapeId="0" xr:uid="{00000000-0006-0000-0800-000003000000}">
      <text>
        <r>
          <rPr>
            <sz val="10"/>
            <color rgb="FF000000"/>
            <rFont val="Arial"/>
          </rPr>
          <t>Es el 90% de los siguientes años según el Tecnólogo
	-Lucas Diorio</t>
        </r>
      </text>
    </comment>
    <comment ref="C53" authorId="0" shapeId="0" xr:uid="{00000000-0006-0000-0800-000004000000}">
      <text>
        <r>
          <rPr>
            <sz val="10"/>
            <color rgb="FF000000"/>
            <rFont val="Arial"/>
          </rPr>
          <t>5% del total va imputado a administración
	-mauro corigliano</t>
        </r>
      </text>
    </comment>
    <comment ref="B54" authorId="0" shapeId="0" xr:uid="{00000000-0006-0000-0800-000005000000}">
      <text>
        <r>
          <rPr>
            <sz val="10"/>
            <color rgb="FF000000"/>
            <rFont val="Arial"/>
          </rPr>
          <t>Formula de la guia
	-mauro corigliano</t>
        </r>
      </text>
    </comment>
    <comment ref="C55" authorId="0" shapeId="0" xr:uid="{00000000-0006-0000-0800-000006000000}">
      <text>
        <r>
          <rPr>
            <sz val="10"/>
            <color rgb="FF000000"/>
            <rFont val="Arial"/>
          </rPr>
          <t>2% se imputa a admin
	-mauro corigliano</t>
        </r>
      </text>
    </comment>
    <comment ref="A87" authorId="0" shapeId="0" xr:uid="{00000000-0006-0000-0800-000007000000}">
      <text>
        <r>
          <rPr>
            <sz val="10"/>
            <color rgb="FF000000"/>
            <rFont val="Arial"/>
          </rPr>
          <t>Pusimos el promedio de los dos productos
	-Lucas Diorio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4" authorId="0" shapeId="0" xr:uid="{00000000-0006-0000-0D00-000001000000}">
      <text>
        <r>
          <rPr>
            <sz val="10"/>
            <color rgb="FF000000"/>
            <rFont val="Arial"/>
          </rPr>
          <t>Kd = Intereses devengados en el año/deuda total promedio en el año.EJERCICIO 52
	-mauro corigliano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3" authorId="0" shapeId="0" xr:uid="{00000000-0006-0000-1200-000001000000}">
      <text>
        <r>
          <rPr>
            <sz val="10"/>
            <color rgb="FF000000"/>
            <rFont val="Arial"/>
          </rPr>
          <t>Tengo dudas sobre ambas utilidades
	-mauro corigliano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31" authorId="0" shapeId="0" xr:uid="{00000000-0006-0000-1400-000001000000}">
      <text>
        <r>
          <rPr>
            <sz val="10"/>
            <color rgb="FF000000"/>
            <rFont val="Arial"/>
          </rPr>
          <t>Da correcto,la diferencia es por decimales.
	-mauro corigliano</t>
        </r>
      </text>
    </comment>
  </commentList>
</comments>
</file>

<file path=xl/sharedStrings.xml><?xml version="1.0" encoding="utf-8"?>
<sst xmlns="http://schemas.openxmlformats.org/spreadsheetml/2006/main" count="1611" uniqueCount="981">
  <si>
    <t>Volumen de producción mensual promedio</t>
  </si>
  <si>
    <t>kg/mes</t>
  </si>
  <si>
    <t>anteojos/mes</t>
  </si>
  <si>
    <t>Mes</t>
  </si>
  <si>
    <t>Ritmo de produccion al inicio (%)</t>
  </si>
  <si>
    <t>Ritmo de produccion al final (%)</t>
  </si>
  <si>
    <t>Produccion promedio (%)</t>
  </si>
  <si>
    <t>Produccion mensual promedio (kg)</t>
  </si>
  <si>
    <t>Produccion mensual promedio (anteojos)</t>
  </si>
  <si>
    <t>Produccion propuesta (kg)</t>
  </si>
  <si>
    <t>Produccion propuesta (anteojos)</t>
  </si>
  <si>
    <t>TOTALES PM</t>
  </si>
  <si>
    <t>Volumen de producción durante el resto del año 1</t>
  </si>
  <si>
    <t>kg</t>
  </si>
  <si>
    <t>anteojos</t>
  </si>
  <si>
    <t>Meses restantes (Sin Puesta en Marcha)</t>
  </si>
  <si>
    <t>Volumen de producción en el año 1:</t>
  </si>
  <si>
    <t>Volumen de producción en los años 2 al 5:</t>
  </si>
  <si>
    <t>9 - DETERMINAR EL CONSUMO DE MATERIA PRIMA PARA EL PROGRAMA DE PRODUCCION Y FORMACION DE LA MERCADERIA EN CURSO Y SEMIELABORADA</t>
  </si>
  <si>
    <t>Período de puesta en marcha</t>
  </si>
  <si>
    <t>100 % más de desperdicio</t>
  </si>
  <si>
    <t>Días de producción</t>
  </si>
  <si>
    <t>días</t>
  </si>
  <si>
    <t>Ciclos de elaboración por año</t>
  </si>
  <si>
    <t>ciclos</t>
  </si>
  <si>
    <t>Consumo de materia prima en los primeros 3 meses (puesta en marcha)</t>
  </si>
  <si>
    <t>Consumo de MP por producto terminado</t>
  </si>
  <si>
    <t>Consumo de materia prima 9 meses restantes</t>
  </si>
  <si>
    <t>Total materia prima para producción</t>
  </si>
  <si>
    <t>Exceso en el consumo debido a Pta en Marcha</t>
  </si>
  <si>
    <t>Volumen de la producción realizada en el año 1</t>
  </si>
  <si>
    <t>Desperdicio no recuperable por la producción realizada</t>
  </si>
  <si>
    <t>Gasto Anual</t>
  </si>
  <si>
    <t>Volúmen de materia prima requerido: la alimentación del proceso durante el ciclo de elaboración (5 días) es:</t>
  </si>
  <si>
    <t>Está destinada a ser :</t>
  </si>
  <si>
    <t>Producto elaborado</t>
  </si>
  <si>
    <t>Desperdidio no recuperable</t>
  </si>
  <si>
    <t>Desperdidico recuperable a reciclar</t>
  </si>
  <si>
    <t>Total de materia prima en mercadería en curso y se</t>
  </si>
  <si>
    <t>Año 1</t>
  </si>
  <si>
    <t>Consumo MP para vol prod año 1</t>
  </si>
  <si>
    <t>Consumo mercaderia en curso y se</t>
  </si>
  <si>
    <t>Total consumo MP en el año 1</t>
  </si>
  <si>
    <t>Año 2 a 5</t>
  </si>
  <si>
    <t>Consumo destinado a la producción</t>
  </si>
  <si>
    <t>Producción Anual</t>
  </si>
  <si>
    <t>Desperdicios no recuperables</t>
  </si>
  <si>
    <t>BALANCE ANUAL DEL MATERIAL</t>
  </si>
  <si>
    <t>Datos Para Cálculos Técnicos</t>
  </si>
  <si>
    <t>Patilla + Lentilla + Bisagra macho</t>
  </si>
  <si>
    <t>gr</t>
  </si>
  <si>
    <t>Bisagra Hembra</t>
  </si>
  <si>
    <t xml:space="preserve">Franela + Estuche </t>
  </si>
  <si>
    <t>Marco</t>
  </si>
  <si>
    <t>Los desperdicios se dan hasta la sección 2. En el púlido lo consideramos despreciable y sin sentido con respecto a la sección 1 y 2.</t>
  </si>
  <si>
    <t>PESO TOTAL</t>
  </si>
  <si>
    <t>Peso por plancha</t>
  </si>
  <si>
    <t>Espesor material (Plancha y Anteojo)</t>
  </si>
  <si>
    <t>mm</t>
  </si>
  <si>
    <t>cm</t>
  </si>
  <si>
    <t>Densidad material</t>
  </si>
  <si>
    <t>gr/cm3</t>
  </si>
  <si>
    <t>Cálculos auxiliares</t>
  </si>
  <si>
    <t>Volumen por anteojo (por Autocad)</t>
  </si>
  <si>
    <t>cm3</t>
  </si>
  <si>
    <t>Area por anteojo - (por Autocad)</t>
  </si>
  <si>
    <t>cm2</t>
  </si>
  <si>
    <t>Peso por marco de anteojo</t>
  </si>
  <si>
    <t xml:space="preserve">Cantidad </t>
  </si>
  <si>
    <t>unidades</t>
  </si>
  <si>
    <t>mm2</t>
  </si>
  <si>
    <t>Peso total</t>
  </si>
  <si>
    <t xml:space="preserve">SECCIONES (*) </t>
  </si>
  <si>
    <t xml:space="preserve">ALIMENTACION </t>
  </si>
  <si>
    <t>ALIMENTACION (anteojos)</t>
  </si>
  <si>
    <t>ALIMENTACION (kg)</t>
  </si>
  <si>
    <t>DESPERDICIOS (kg/año)</t>
  </si>
  <si>
    <t>PRODUCCIONES SECCIONALES (kg)</t>
  </si>
  <si>
    <t>PRODUCCIONES SECCIONALES (Anteojos)</t>
  </si>
  <si>
    <t>RECUPERABLES</t>
  </si>
  <si>
    <t>NO RECUPERABLES</t>
  </si>
  <si>
    <t>ANTEOJOS NO REC</t>
  </si>
  <si>
    <t>Corte Sierra</t>
  </si>
  <si>
    <t>99 (Planchas de Acet)</t>
  </si>
  <si>
    <t>SECCION 1</t>
  </si>
  <si>
    <t>Volumen total por plancha</t>
  </si>
  <si>
    <t>mm3</t>
  </si>
  <si>
    <t>Corte CNC</t>
  </si>
  <si>
    <t>14850 (Placas Recortadas)</t>
  </si>
  <si>
    <t>Volumen total por placa para la CNC</t>
  </si>
  <si>
    <t>Tamboreado</t>
  </si>
  <si>
    <t>14850 (Marcos)</t>
  </si>
  <si>
    <t>Volumen recuperable por corte  (sierra)</t>
  </si>
  <si>
    <t>Limpieza ultrafrecuencia</t>
  </si>
  <si>
    <t>Pulido trasero</t>
  </si>
  <si>
    <t>Embisagrado</t>
  </si>
  <si>
    <t>29700 (Bisagras) + 14850 (Marcos)</t>
  </si>
  <si>
    <t>Curvados</t>
  </si>
  <si>
    <t>Pulido final</t>
  </si>
  <si>
    <t>Corte y Colocación de patillas y lentes</t>
  </si>
  <si>
    <t>29700 (Patillas, lentes y bisagras) + 14850 (Marcos)</t>
  </si>
  <si>
    <t>Peso por corte recuperable</t>
  </si>
  <si>
    <t>Embalaje</t>
  </si>
  <si>
    <t>14850 (Anteojos + Franela + Estuche)</t>
  </si>
  <si>
    <t>Cantidad</t>
  </si>
  <si>
    <t>Volumen Total Ing. 1era Sección</t>
  </si>
  <si>
    <t>Consumo Real de Materia Prima</t>
  </si>
  <si>
    <t>Porcentaje de Desperdicio Operativo en funcion de la alimentación</t>
  </si>
  <si>
    <t>SECCION 2</t>
  </si>
  <si>
    <t>Volumen no recuperable por placa para CNC</t>
  </si>
  <si>
    <t>Porcentaje de Desperdicio Real en funcion de la alimentación</t>
  </si>
  <si>
    <t>Peso recorte no recuperable por placa</t>
  </si>
  <si>
    <t xml:space="preserve">Peso recorte no recup total </t>
  </si>
  <si>
    <t>marco</t>
  </si>
  <si>
    <t>patillas (2) + bisagra macho (2) + lentillas</t>
  </si>
  <si>
    <t>estuche + franela</t>
  </si>
  <si>
    <t>bisagra hembra</t>
  </si>
  <si>
    <t>POR PLANCHA DE ACETATO SALEN 150 PLACAS A LA SECCION 2</t>
  </si>
  <si>
    <t>DEL LADO DE 600MM QUEDA JUSTO 15 PLACAS DE 40MM</t>
  </si>
  <si>
    <t>DEL LADO DE 1400MM QUEDAN 10 PLACAS OCUPANDO EN TOTAL 1335 MM</t>
  </si>
  <si>
    <t>POR LO TANTO 1400-1355 = 45 MM</t>
  </si>
  <si>
    <t>45 MM * 600 MM = 27000 MM2 * 4 MM = 108000 MM3 = 108 CM3 * 1,32 g/cm3 =142,56 g = 0,14256 Kg POR PLACA</t>
  </si>
  <si>
    <t>99 PLACAS AL AÑO * 0,14256 Kg = 14,11344 Kg DNR POR AÑO SECCION 1</t>
  </si>
  <si>
    <t>PLAN DE VENTAS</t>
  </si>
  <si>
    <t>Cantidades año 1</t>
  </si>
  <si>
    <t>Cantidades año 2</t>
  </si>
  <si>
    <t>Cantidades año 3</t>
  </si>
  <si>
    <t>Cantidades año 4</t>
  </si>
  <si>
    <t>Cantidades año 5</t>
  </si>
  <si>
    <t>WallWood + Arcu</t>
  </si>
  <si>
    <t>TOTAL</t>
  </si>
  <si>
    <t>PRECIO ($)</t>
  </si>
  <si>
    <t>Precio año 1</t>
  </si>
  <si>
    <t>Precio año 2</t>
  </si>
  <si>
    <t>Precio año 3</t>
  </si>
  <si>
    <t>Precio año 4</t>
  </si>
  <si>
    <t>Precio año 5</t>
  </si>
  <si>
    <t>Promedio</t>
  </si>
  <si>
    <t>VENTAS</t>
  </si>
  <si>
    <t>Ventas año 1</t>
  </si>
  <si>
    <t>Ventas año 2</t>
  </si>
  <si>
    <t>Ventas año 3</t>
  </si>
  <si>
    <t>Ventas año 4</t>
  </si>
  <si>
    <t>Ventas año 5</t>
  </si>
  <si>
    <t>BIENES DE USO</t>
  </si>
  <si>
    <t>MAQUINA</t>
  </si>
  <si>
    <t>CANTIDAD MAQ NECESARIAS</t>
  </si>
  <si>
    <t>Precio Unitario</t>
  </si>
  <si>
    <t>Precio Total por cantidades</t>
  </si>
  <si>
    <t>Link</t>
  </si>
  <si>
    <t>Repuestos para un año</t>
  </si>
  <si>
    <t>Total por Insumo</t>
  </si>
  <si>
    <t>Sierra Circular</t>
  </si>
  <si>
    <t>Disco de sierra circular</t>
  </si>
  <si>
    <t>Discos</t>
  </si>
  <si>
    <t>Centro de mecanizado HAS</t>
  </si>
  <si>
    <t>Centro de Mecanizado</t>
  </si>
  <si>
    <t>Fresas para plastico CNC</t>
  </si>
  <si>
    <t>Fresas</t>
  </si>
  <si>
    <t>Destalonadora</t>
  </si>
  <si>
    <t>Fresas y discos torno de mano</t>
  </si>
  <si>
    <t>Tambores de Pulido</t>
  </si>
  <si>
    <t>Motor de repuesto para circular,cnc y tambores</t>
  </si>
  <si>
    <t>Motor de repuesto</t>
  </si>
  <si>
    <t>Limpiadoras de Ultrasonido</t>
  </si>
  <si>
    <t>Torno de mano</t>
  </si>
  <si>
    <t>Pulidora</t>
  </si>
  <si>
    <t>Tambor de pulido</t>
  </si>
  <si>
    <t>Embisagradora</t>
  </si>
  <si>
    <t>Dato Fabricante</t>
  </si>
  <si>
    <t>Prensa Curvado Armazón</t>
  </si>
  <si>
    <t>Zapatas Prensa</t>
  </si>
  <si>
    <t>Biseladora de Lentes</t>
  </si>
  <si>
    <t>Biseladora de lentes</t>
  </si>
  <si>
    <t>Tampógrafo</t>
  </si>
  <si>
    <t>Repuestos Tampografo</t>
  </si>
  <si>
    <t>Total NACIONALES</t>
  </si>
  <si>
    <t>Total</t>
  </si>
  <si>
    <t>Total IMPORTADAS</t>
  </si>
  <si>
    <t>Valor USD</t>
  </si>
  <si>
    <t>Terreno sin edificar ($)</t>
  </si>
  <si>
    <t>Terreno</t>
  </si>
  <si>
    <t>Galpòn + Edificaciòn</t>
  </si>
  <si>
    <t>$/m2</t>
  </si>
  <si>
    <t>Total m2</t>
  </si>
  <si>
    <t>Total $</t>
  </si>
  <si>
    <t>Edificación</t>
  </si>
  <si>
    <t>9885,86</t>
  </si>
  <si>
    <t>Listado de Equipos Auxiliares, Muebles y Útiles</t>
  </si>
  <si>
    <t>Descripción</t>
  </si>
  <si>
    <t>Características Técnicas</t>
  </si>
  <si>
    <t>Área/Sector</t>
  </si>
  <si>
    <t>$/u</t>
  </si>
  <si>
    <t>Computadora de escritorio</t>
  </si>
  <si>
    <t>Intel Core i7 - 3.80Ghz - 8Gb Ram - Disco rígido 1Tb - Monitor de 19" - incluyen mouse, teclado, parlantes, cámara y micrófono</t>
  </si>
  <si>
    <t>Administración / Sala de Reuniones / Gerencia de Administración y Producción / Gerencia General</t>
  </si>
  <si>
    <t>Silla de escritorio</t>
  </si>
  <si>
    <t>Carga máxima: 120 Kgs. / 5 ruedas / Altura regulable y Apoyabrazos</t>
  </si>
  <si>
    <t>Escritorio de oficina</t>
  </si>
  <si>
    <t>Material: melamina de 18mm de espesor / Incluye biblioteca y dos cajones con cerradura</t>
  </si>
  <si>
    <t>Lámpara de escritorio</t>
  </si>
  <si>
    <t>220V / E27</t>
  </si>
  <si>
    <t>Artículos de librería</t>
  </si>
  <si>
    <t>Biblioratos, cuadernos, carpetas, lapiceras, lápices, tacos de papel, abrochadoras, perforadoras, tijeras, reglas, gomas, resmas A4, sobres,folios A4, organizadores, clips, etc</t>
  </si>
  <si>
    <t>Impresora laser multifunción</t>
  </si>
  <si>
    <t>Marca Brother / Modelo DCP-1617NW / Tipo de impresión : Monocromática / Velocidad de impresión en blanco y negro:
21 ppm / Tamaños de papel: A5/A4/Carta/Legal / Toner Brother Negro TN1060</t>
  </si>
  <si>
    <t>Proyector con pantalla</t>
  </si>
  <si>
    <t>Epson 3600lm / Resolución XGA, 1024 x 768, 4:3 / Pantalla de 84"</t>
  </si>
  <si>
    <t>Sala de Reuniones</t>
  </si>
  <si>
    <t>Sistema de teléfonos inalámbricos</t>
  </si>
  <si>
    <t>Panasonic</t>
  </si>
  <si>
    <t>Sala de Reuniones / Gerencia de Administración y Producción / Gerencia General / Depósito de producto terminado / Depósito de materia prima / Pañol ,sala de mantenimiento y reparaciones / Control de Calidad</t>
  </si>
  <si>
    <t>Ventilador</t>
  </si>
  <si>
    <t>220V / 3 velocidades / 18" / de techo y pared</t>
  </si>
  <si>
    <t>Depósito de producto terminado / Depósito de materia prima / Pañol ,sala de mantenimiento y reparaciones / Sala de corte / Centro CNC / Sala de tamboreado y pulido / Sala de armado y limpieza / Control de Calidad</t>
  </si>
  <si>
    <t>Dispenser de agua frío-calor eléctrico</t>
  </si>
  <si>
    <t>220V / Dimensiones del dispenser: 91 cm de alto x 35 cm x 35 cm</t>
  </si>
  <si>
    <t>Administración / Sala de Reuniones / Gerencia de Administración y Producción / Gerencia General / Comedor</t>
  </si>
  <si>
    <t>Aire acondicionado</t>
  </si>
  <si>
    <t>Split / Frío-Calor / Samsung / 4300 frigorías / 5000W / 220V</t>
  </si>
  <si>
    <t>Microondas</t>
  </si>
  <si>
    <t>220V / 700W / Atma Mr1720n</t>
  </si>
  <si>
    <t>Comedor</t>
  </si>
  <si>
    <t>Heladera</t>
  </si>
  <si>
    <t>220V / 277Lts. / Marca Patrick</t>
  </si>
  <si>
    <t>Mesa para comedor estilo industrial</t>
  </si>
  <si>
    <t>Rectançgular 160cm x 80cm x 80cm / Material de 3cm de espesor</t>
  </si>
  <si>
    <t>Sillas para comedor</t>
  </si>
  <si>
    <t>4 patas / Polipropileno / Sin tapizar</t>
  </si>
  <si>
    <t>Mesa de reunión</t>
  </si>
  <si>
    <t>Ovalada de 180cm x 90cm x 74cm / Material de 25 mm de espesor</t>
  </si>
  <si>
    <t>Notebook</t>
  </si>
  <si>
    <t>Intel Core i7 - 2.7Ghz - 8Gb Ram - Disco rígido 1Tb - 15,6"</t>
  </si>
  <si>
    <t>Sala de Reuniones / Gerencia General</t>
  </si>
  <si>
    <t>Teléfono fijo alámbrico</t>
  </si>
  <si>
    <t>-</t>
  </si>
  <si>
    <t>Administración</t>
  </si>
  <si>
    <t>Inodoro con mochila y tapa</t>
  </si>
  <si>
    <t>Baños</t>
  </si>
  <si>
    <t>Bacha lavamanos</t>
  </si>
  <si>
    <t>Espejo con marco</t>
  </si>
  <si>
    <t>Grifería monocomando</t>
  </si>
  <si>
    <t>Luz de emergencia</t>
  </si>
  <si>
    <t>100 leds / Duración:8hs</t>
  </si>
  <si>
    <t>Todas las Áreas</t>
  </si>
  <si>
    <t>Matafuego ABC</t>
  </si>
  <si>
    <t>5kg / 10kg</t>
  </si>
  <si>
    <t>Cestos de basura</t>
  </si>
  <si>
    <t>Estanterías para depósito y almacenes</t>
  </si>
  <si>
    <t xml:space="preserve">Depósito de producto terminado / Depósito de materia prima / Pañol ,sala de mantenimiento y reparaciones </t>
  </si>
  <si>
    <t>Camaras de seguridad</t>
  </si>
  <si>
    <t>Playón de despacho / Playón de recepción</t>
  </si>
  <si>
    <t>Ofrece el terreno</t>
  </si>
  <si>
    <t>Repuestos para mantenimiento de máquinas</t>
  </si>
  <si>
    <t>Juntas, O`rings, filtros, sierras, herramientas de CNC, aceites y lubricantes, etc</t>
  </si>
  <si>
    <t xml:space="preserve">Pañol ,sala de mantenimiento y reparaciones </t>
  </si>
  <si>
    <t>Tablero de herramientas</t>
  </si>
  <si>
    <t>Pinzas (universal, punta, punta curva, alicate), llaves combinadas 7-30, Destronilladores planos y philips, llaves allen/torx, tubos milimétricos y en pulgadas, llave francesa 8"/10"/12", pinza pico de loro 254mm(10"), pinza de presion 254mm(10").</t>
  </si>
  <si>
    <t>Multímetro digital</t>
  </si>
  <si>
    <t>Uni-t Ut61a</t>
  </si>
  <si>
    <t>Soldador lápiz</t>
  </si>
  <si>
    <t>Goot 100W /220V</t>
  </si>
  <si>
    <t>Taladro de mano</t>
  </si>
  <si>
    <t>Makita / Percutor modelo Hp1630 710w / 0-3200rpm / 220V</t>
  </si>
  <si>
    <t>Amoladora de mano</t>
  </si>
  <si>
    <t>Bosch / Modelo angular Gws 7-115mm 750w /220V</t>
  </si>
  <si>
    <t>Zorra</t>
  </si>
  <si>
    <t>Carro Carreta Carrito Carretilla Zorra Reforz. Fabrica</t>
  </si>
  <si>
    <t>GASTOS ASIMILABLES O CARGOS DIFERIDOS</t>
  </si>
  <si>
    <t>ALTA DE LA SOCIEDAD SRL</t>
  </si>
  <si>
    <t xml:space="preserve">Exceso Gastovariable </t>
  </si>
  <si>
    <t>Gastos puesta en marcha</t>
  </si>
  <si>
    <t>Placas</t>
  </si>
  <si>
    <t>Patillas (pares) CON BISAGRA Y ALMA</t>
  </si>
  <si>
    <t>Precio item</t>
  </si>
  <si>
    <t>30 Dolares</t>
  </si>
  <si>
    <t>5 dolares</t>
  </si>
  <si>
    <t>Totales</t>
  </si>
  <si>
    <t>GASTOS DE PRODUCCIÓN</t>
  </si>
  <si>
    <t>MP</t>
  </si>
  <si>
    <t>GASTOS DE MP</t>
  </si>
  <si>
    <t>USD/Unidad</t>
  </si>
  <si>
    <t>Moneda</t>
  </si>
  <si>
    <t>Costo por Unidad ($)</t>
  </si>
  <si>
    <t>Costo Transporte por unidad ($)</t>
  </si>
  <si>
    <t>Estado de Régimen</t>
  </si>
  <si>
    <t>Plancha de Acetato</t>
  </si>
  <si>
    <t>USD</t>
  </si>
  <si>
    <t>Patillas, con bisagras, alma y tornillos</t>
  </si>
  <si>
    <t>Lentillas de Sol y Transparentes</t>
  </si>
  <si>
    <t xml:space="preserve">Estuche </t>
  </si>
  <si>
    <t>$</t>
  </si>
  <si>
    <t>Franela</t>
  </si>
  <si>
    <t>AÑO 2 A 5:</t>
  </si>
  <si>
    <t>Consumo MP (Kg)</t>
  </si>
  <si>
    <t>Costo MP ($/u)</t>
  </si>
  <si>
    <t>Producciòn Programada (Kg)</t>
  </si>
  <si>
    <t>Costo MP ($/kg)</t>
  </si>
  <si>
    <t>Consumo Especìfico</t>
  </si>
  <si>
    <t>Gasto Especìfico</t>
  </si>
  <si>
    <t>AÑO 1:</t>
  </si>
  <si>
    <t>Del dimensionamiento técnico obtuvimos:</t>
  </si>
  <si>
    <t>Costo de MP requerida por producción realizada</t>
  </si>
  <si>
    <t>Costo de MP en Mc en curso y semielaborada</t>
  </si>
  <si>
    <t>Costo de exceso de MP en Pta en marcha</t>
  </si>
  <si>
    <t>Gasto Año 1</t>
  </si>
  <si>
    <t>Acá me pusieron cuales son los desperdicios de la puesta en marcha, no el consumo total (desperdicios más producción) en exceso</t>
  </si>
  <si>
    <t>NO ENTENDEMOS EL COMENTARIO.CONSIDERAMOS PARA EL CALCULO LA PRODUCCIÓN Y EL EXCESO DE GASTO TAMBIEN</t>
  </si>
  <si>
    <t>MOD - MOI</t>
  </si>
  <si>
    <t>TOTAL EMPLEADOR (+32,03% APORTES) + $1225 APORTES SINDICALES POR EMPLEADO +$3000 aprox ART de operario y 0,5% de oficinista + aguinaldo 8,33%</t>
  </si>
  <si>
    <t>Salarios</t>
  </si>
  <si>
    <t>Operarios por hora</t>
  </si>
  <si>
    <t>Trabajando 8 horas</t>
  </si>
  <si>
    <t>Operario Calificado</t>
  </si>
  <si>
    <t>Gasto específico MOI Año 2 a 5</t>
  </si>
  <si>
    <t>Asistente RRHH</t>
  </si>
  <si>
    <t>Gasto específico MOI Año 1</t>
  </si>
  <si>
    <t>Asistente Ventas</t>
  </si>
  <si>
    <t>Asistente Marketing</t>
  </si>
  <si>
    <t>Gasto en la Merc en Proceso año 2 a 5 MOI</t>
  </si>
  <si>
    <t>Comprador</t>
  </si>
  <si>
    <t>Gasto en la Merc en Proceso año 1 MOI</t>
  </si>
  <si>
    <t>Personal de limpieza</t>
  </si>
  <si>
    <t>Contador</t>
  </si>
  <si>
    <t>Asignado a Producción</t>
  </si>
  <si>
    <t>Personal Limpieza</t>
  </si>
  <si>
    <t>Tercerizado (8hs)</t>
  </si>
  <si>
    <t>Asignado a Administración</t>
  </si>
  <si>
    <t>Responsable Mantenimiento</t>
  </si>
  <si>
    <t>Asignado a Comercialización</t>
  </si>
  <si>
    <t>Gerente Administración</t>
  </si>
  <si>
    <t>Gasto MOD Año 2 a 5</t>
  </si>
  <si>
    <t>Gerente Producción</t>
  </si>
  <si>
    <t xml:space="preserve">Gasto especìfico </t>
  </si>
  <si>
    <t>Gerente General</t>
  </si>
  <si>
    <t>OBRAS SOCIALES</t>
  </si>
  <si>
    <t>Gasto MOD Año 1</t>
  </si>
  <si>
    <t>TOTAL SUELDOS</t>
  </si>
  <si>
    <t>Gasto en PT de MOD Año 1</t>
  </si>
  <si>
    <t>Gasto de MOD en Mc en curso y Se</t>
  </si>
  <si>
    <t>MATERIALES</t>
  </si>
  <si>
    <t>Exceso Gasto MOD en Pta en Marc</t>
  </si>
  <si>
    <t>Mantenimiento</t>
  </si>
  <si>
    <t>Anual del valor de los bs de uso (sin repuestos)</t>
  </si>
  <si>
    <t>Repuestos</t>
  </si>
  <si>
    <t xml:space="preserve">Anual de maquinaria + gastos de importaciòn para repuestos </t>
  </si>
  <si>
    <t>Producciòn</t>
  </si>
  <si>
    <t>Anual del gasto de Materia Prima</t>
  </si>
  <si>
    <t>Personal</t>
  </si>
  <si>
    <t>Anual del gasto de personal total en àrea de Producciòn</t>
  </si>
  <si>
    <t>Gastos de Importaciòn</t>
  </si>
  <si>
    <t>Gastos de Flete, Seguro y Aduana</t>
  </si>
  <si>
    <t>Derecho de Importaciòn</t>
  </si>
  <si>
    <t>De los bienes de Uso son afectados por Producciòn</t>
  </si>
  <si>
    <t xml:space="preserve">Gasto Anual de Materiales </t>
  </si>
  <si>
    <t>GASTO EN PUESTA EN MARCHA</t>
  </si>
  <si>
    <t>Gasto Específico ($/kg)</t>
  </si>
  <si>
    <t>Producción</t>
  </si>
  <si>
    <t>Gasto de Mercadería en Proceso</t>
  </si>
  <si>
    <t>Gasto en Productos Terminados</t>
  </si>
  <si>
    <t>Exceso de gasto en Puesta en marcha</t>
  </si>
  <si>
    <t>GASTOS  COMERCIALES Y ADMINISTRATIVOS</t>
  </si>
  <si>
    <t>GASTOS VARIOS DE ASESORAMIENTO (GASTO ADMINISTRATIVO)</t>
  </si>
  <si>
    <t>POR MES</t>
  </si>
  <si>
    <t>VALOR CAJA PARA LENTE + EMPAQUETADO (LOTE)</t>
  </si>
  <si>
    <t>VALOR ESTIMADO DE PAPELERIA POR LENTE VENDIDO + PUBLICIDADES + FOLLETERIA</t>
  </si>
  <si>
    <t>COSTO LOGISTICO APROXIMADO POR PAQUETE DE 5 KG</t>
  </si>
  <si>
    <t>http://www.oca.com.ar/individuos_paqueteria_oca-express-pak/</t>
  </si>
  <si>
    <t>A MODO ESTIMATIVO POR LENTE</t>
  </si>
  <si>
    <t>GASTO EN PUBLICIDAD,ASESORAMIENTO Y REPRESENTACIONES PUBLICAS DE TODO EL AÑO</t>
  </si>
  <si>
    <t>STOCK PROMEDIO DE PRODUCTOS ELABORADOS</t>
  </si>
  <si>
    <t>año 1</t>
  </si>
  <si>
    <t>años 2 a 5</t>
  </si>
  <si>
    <t>Datos</t>
  </si>
  <si>
    <t>U. de medida</t>
  </si>
  <si>
    <t>Período de instalación</t>
  </si>
  <si>
    <t>Ventas (ej 8)</t>
  </si>
  <si>
    <t>Stock promedio de elaborado (ej 7)</t>
  </si>
  <si>
    <t>Producción (ej 6)</t>
  </si>
  <si>
    <t>Desperdicio no recuperable (ej 9)</t>
  </si>
  <si>
    <t>kg. de MP</t>
  </si>
  <si>
    <t>En curso y semielaborado (ej 9)</t>
  </si>
  <si>
    <t>Consumo de materia prima (ej 9)</t>
  </si>
  <si>
    <t>Stock de materia prima (ej 10)</t>
  </si>
  <si>
    <t>Compra de materia prima (ej 9)</t>
  </si>
  <si>
    <t>STOCK POR MES</t>
  </si>
  <si>
    <t>Stock minimo de materia prima</t>
  </si>
  <si>
    <t>126.35</t>
  </si>
  <si>
    <t>kg de Consumo mensual</t>
  </si>
  <si>
    <t>Al fin del mes</t>
  </si>
  <si>
    <t>Stock</t>
  </si>
  <si>
    <t>Compras</t>
  </si>
  <si>
    <t>Enero</t>
  </si>
  <si>
    <t>Febrero</t>
  </si>
  <si>
    <t>Marzo</t>
  </si>
  <si>
    <t>Abril</t>
  </si>
  <si>
    <t>219.54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</si>
  <si>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</si>
  <si>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</si>
  <si>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</si>
  <si>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</si>
  <si>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</si>
  <si>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</si>
  <si>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</si>
  <si>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</si>
  <si>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Durante los primeros tres meses del año se espera la llegada del pedido realizado por encargue en noviembre/diciembre</t>
  </si>
  <si>
    <t>Sumatoria Stock mensual</t>
  </si>
  <si>
    <t>Stock Promedio</t>
  </si>
  <si>
    <t>6.00</t>
  </si>
  <si>
    <t>meses de consumo</t>
  </si>
  <si>
    <t>El stock promedio equivale a 6 meses de consumo</t>
  </si>
  <si>
    <t>VALORES AT</t>
  </si>
  <si>
    <t>Volumen de producción en el año 1 (anteojos)</t>
  </si>
  <si>
    <t xml:space="preserve">   c) Bienes de cambio:</t>
  </si>
  <si>
    <t xml:space="preserve">    Stock de materiales</t>
  </si>
  <si>
    <t>Volumen de producción en los años 2 al 5 (anteojos)</t>
  </si>
  <si>
    <t>Años 3 al 5</t>
  </si>
  <si>
    <t>Stock promedio de producto elaborado (anteojos/año)</t>
  </si>
  <si>
    <t>Comercialización</t>
  </si>
  <si>
    <t>Stock de materia prima Año 1 (kg)</t>
  </si>
  <si>
    <t>Stock de materia prima Años 2 al 5 (kg)</t>
  </si>
  <si>
    <t>Costo por kg MP ($)</t>
  </si>
  <si>
    <t>Stock de materia prima Período de instalación Año 0 (kg)</t>
  </si>
  <si>
    <t>5. Incrementos IVA sobre Inversiones</t>
  </si>
  <si>
    <t>Stock de elaborados</t>
  </si>
  <si>
    <t>Año 2</t>
  </si>
  <si>
    <t>Año 3</t>
  </si>
  <si>
    <t>Año 4</t>
  </si>
  <si>
    <t>Año 5</t>
  </si>
  <si>
    <t>materia prima</t>
  </si>
  <si>
    <t>materiales</t>
  </si>
  <si>
    <t>energía eléctrica</t>
  </si>
  <si>
    <t>combustibles</t>
  </si>
  <si>
    <t>seguros</t>
  </si>
  <si>
    <t>Incrementos</t>
  </si>
  <si>
    <t>Electricidad</t>
  </si>
  <si>
    <t>Maquina</t>
  </si>
  <si>
    <t>Consumo (watt)</t>
  </si>
  <si>
    <t>Cantidad de maquinas a usar</t>
  </si>
  <si>
    <t>Total dia</t>
  </si>
  <si>
    <t>Edenor</t>
  </si>
  <si>
    <t>http://www.edenor.com.ar/cms/files/SP/CuadroTarifario.pdf</t>
  </si>
  <si>
    <t>CNC</t>
  </si>
  <si>
    <t>Prensa para curvado</t>
  </si>
  <si>
    <t>Tornos de mano</t>
  </si>
  <si>
    <t>Tambores de pulido</t>
  </si>
  <si>
    <t>Limpiadoras de ultrasonido</t>
  </si>
  <si>
    <t>Tampografo</t>
  </si>
  <si>
    <t>Computadoras</t>
  </si>
  <si>
    <t>Teléfonos inalámbricos</t>
  </si>
  <si>
    <t>Aire Acondicionado</t>
  </si>
  <si>
    <t>Tasa de Imp. Inmobiliario</t>
  </si>
  <si>
    <t>Imputable a producción</t>
  </si>
  <si>
    <t>Tasa Municipal</t>
  </si>
  <si>
    <t>Total Watts</t>
  </si>
  <si>
    <t>Total Kwatt Dia</t>
  </si>
  <si>
    <t>INGRESOS BRUTOS (COMERCIAL)</t>
  </si>
  <si>
    <t>Total Kwatt Mes</t>
  </si>
  <si>
    <t>Cargo fijo Edenor usuarios con consumo mayor a 2000 Kw mes</t>
  </si>
  <si>
    <t>Valor Kw</t>
  </si>
  <si>
    <t>2 dias de mantenimiento INCLUIDOS</t>
  </si>
  <si>
    <t>Gasto ELECTRICO DIA</t>
  </si>
  <si>
    <t>Gasto ELECTRICO MES</t>
  </si>
  <si>
    <t>Area</t>
  </si>
  <si>
    <t>Consumo m3/mes</t>
  </si>
  <si>
    <t>Total Consumo MES</t>
  </si>
  <si>
    <t>Agua</t>
  </si>
  <si>
    <t>15 Personas</t>
  </si>
  <si>
    <t>Vestuarios</t>
  </si>
  <si>
    <t>Cocina</t>
  </si>
  <si>
    <t>Limpieza</t>
  </si>
  <si>
    <t>Extra</t>
  </si>
  <si>
    <t>Total m3/MES</t>
  </si>
  <si>
    <t>https://www.aya.go.cr/centroDocumetacion/catalogoGeneral/Estimaci%C3%B3n%20de%20consumo%20de%20agua%20potable%20en%20una%20casa.pdf</t>
  </si>
  <si>
    <t>Valor Fijo Aysa</t>
  </si>
  <si>
    <t>Valor por m3 Aysa</t>
  </si>
  <si>
    <t>Gasto Agua MES</t>
  </si>
  <si>
    <t>Gasto Agua Mes</t>
  </si>
  <si>
    <t>Gas</t>
  </si>
  <si>
    <t>Valor Fijo MetroGas ($)</t>
  </si>
  <si>
    <t>Valor m3 ($/m3)</t>
  </si>
  <si>
    <t>Gasto GAS MES</t>
  </si>
  <si>
    <t>Energía Eléctrica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</si>
  <si>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</si>
  <si>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</si>
  <si>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</si>
  <si>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</si>
  <si>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</si>
  <si>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</si>
  <si>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</si>
  <si>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</si>
  <si>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</si>
  <si>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</si>
  <si>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</si>
  <si>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</si>
  <si>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</si>
  <si>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</si>
  <si>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</si>
  <si>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</si>
  <si>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</si>
  <si>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</si>
  <si>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</si>
  <si>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</si>
  <si>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</si>
  <si>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</si>
  <si>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</si>
  <si>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Anteojos de Sol WallWood - Arcu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</si>
  <si>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</si>
  <si>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</si>
  <si>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</si>
  <si>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</si>
  <si>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</si>
  <si>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</si>
  <si>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</si>
  <si>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</si>
  <si>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</si>
  <si>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</si>
  <si>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</si>
  <si>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</si>
  <si>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</si>
  <si>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</si>
  <si>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</si>
  <si>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</si>
  <si>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</si>
  <si>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</si>
  <si>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</si>
  <si>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</si>
  <si>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</si>
  <si>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</si>
  <si>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</si>
  <si>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</si>
  <si>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</si>
  <si>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Nirvana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</si>
  <si>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</si>
  <si>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</si>
  <si>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</si>
  <si>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</si>
  <si>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</si>
  <si>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</si>
  <si>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</si>
  <si>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</si>
  <si>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</si>
  <si>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</si>
  <si>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</si>
  <si>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</si>
  <si>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</si>
  <si>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</si>
  <si>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solo sobre las nacionales?</t>
  </si>
  <si>
    <t>Rodados y equipos auxiliares</t>
  </si>
  <si>
    <t>Muebles y útiles</t>
  </si>
  <si>
    <t>Infraestructura en predio propio</t>
  </si>
  <si>
    <t>la tasa de imprevistos está definida en Info Inicial</t>
  </si>
  <si>
    <t>LISTO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</si>
  <si>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</si>
  <si>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</si>
  <si>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</si>
  <si>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</si>
  <si>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</si>
  <si>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</si>
  <si>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Deberían ajustarla por la calculada en los Costos.</t>
  </si>
  <si>
    <t>Patentes y Licencias</t>
  </si>
  <si>
    <t>Infraestructura en predio ajeno</t>
  </si>
  <si>
    <t>Ídem imprevistos anteriores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</si>
  <si>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</si>
  <si>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</si>
  <si>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</si>
  <si>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</si>
  <si>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</si>
  <si>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</si>
  <si>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</si>
  <si>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</si>
  <si>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</si>
  <si>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</si>
  <si>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</si>
  <si>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</si>
  <si>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</si>
  <si>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% Correspondiente al área de prod. de todos los rubros</t>
  </si>
  <si>
    <t>Pusieron acá el porcentaje de imprevistos que deberia ir arriba, acá va la cuota de amortización, seguramente 20% era. Admito que en InfoInicial está mal presentado el dato y es la primera vez que lo observo, lo voy a tener en cuenta para el año que viene</t>
  </si>
  <si>
    <t>% Correspondiente al área de prod. de repuestos</t>
  </si>
  <si>
    <t>NO DICE NADA EN INFO INICIAL,USAMOS EL 20% QUE NOS PROPONES</t>
  </si>
  <si>
    <t>Subtotal</t>
  </si>
  <si>
    <t xml:space="preserve">Cargos Diferidos </t>
  </si>
  <si>
    <t>Totales, s/IVA</t>
  </si>
  <si>
    <t>Imputación Específica año 2 a 5</t>
  </si>
  <si>
    <t>Imputación Específica año 1</t>
  </si>
  <si>
    <t>PRIMERA ESTRUCTURA FINANCIERA</t>
  </si>
  <si>
    <t>Rubros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</si>
  <si>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</si>
  <si>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</si>
  <si>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</si>
  <si>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</si>
  <si>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</si>
  <si>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</si>
  <si>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</si>
  <si>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</si>
  <si>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Tasa Credito</t>
  </si>
  <si>
    <t>15% anual</t>
  </si>
  <si>
    <t>Pago Semestral</t>
  </si>
  <si>
    <t>Acordado 6 meses despues del mutuo conocimiento</t>
  </si>
  <si>
    <t>Sobre el 50% de la compra de MP</t>
  </si>
  <si>
    <t>Dia</t>
  </si>
  <si>
    <t>Año</t>
  </si>
  <si>
    <t>Deuda</t>
  </si>
  <si>
    <t>Interes Semestral</t>
  </si>
  <si>
    <t>Interes Anual</t>
  </si>
  <si>
    <t>Meses</t>
  </si>
  <si>
    <t>Compra Kg</t>
  </si>
  <si>
    <t>Monto de compra</t>
  </si>
  <si>
    <t>Crèdito</t>
  </si>
  <si>
    <t>Cancelaciòn</t>
  </si>
  <si>
    <t>Intereses</t>
  </si>
  <si>
    <t xml:space="preserve">Los intereses equivalen a un crèdito anual de: </t>
  </si>
  <si>
    <t>COSTO TOTAL DE PRODUCCION</t>
  </si>
  <si>
    <t>Gastos en el Area de Producción</t>
  </si>
  <si>
    <t>Materia prima</t>
  </si>
  <si>
    <t>VARIABLE</t>
  </si>
  <si>
    <t>Mano de obra directa</t>
  </si>
  <si>
    <t>Gastos de fabricación:</t>
  </si>
  <si>
    <t>Amortizaciones</t>
  </si>
  <si>
    <t>CONSTANTE</t>
  </si>
  <si>
    <t>Personal indirecto</t>
  </si>
  <si>
    <t>Materiales</t>
  </si>
  <si>
    <t>Energía eléctrica</t>
  </si>
  <si>
    <t>Combustibles</t>
  </si>
  <si>
    <t>Tasas e impuestos</t>
  </si>
  <si>
    <t>Acá la misma corrección que les decía antes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</si>
  <si>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</si>
  <si>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</si>
  <si>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</si>
  <si>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</si>
  <si>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</si>
  <si>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</si>
  <si>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Este no está bien hecho me parece, fijensé en conformación de datos, la MOD la hicieron bien.. la MP es similar a la MOD y Materiales en forma de pensar</t>
  </si>
  <si>
    <t>LO HICIMOS TAL CUAL LA GUIA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</si>
  <si>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</si>
  <si>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</si>
  <si>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</si>
  <si>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</si>
  <si>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</si>
  <si>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no suma MP</t>
  </si>
  <si>
    <t>LISTO!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</si>
  <si>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</si>
  <si>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</si>
  <si>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</si>
  <si>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</si>
  <si>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</si>
  <si>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ojo que cambiaron la fórmula respecto al año 1, pusieron la MCySE siempre con signo cambiado pero acá la volvieron a cambiar</t>
  </si>
  <si>
    <t>Costo de prod. Unitario Promedio</t>
  </si>
  <si>
    <t>Gastos en el Area de Administración</t>
  </si>
  <si>
    <t>FIJO</t>
  </si>
  <si>
    <t>Amortizaciones de A. Fijo</t>
  </si>
  <si>
    <t>Combustible</t>
  </si>
  <si>
    <t>Varios</t>
  </si>
  <si>
    <t>Costo total de Admistración</t>
  </si>
  <si>
    <t>Gastos en el Area de Comercialización</t>
  </si>
  <si>
    <t>les falta el rubro amortización</t>
  </si>
  <si>
    <t>Costo total de Comercialización</t>
  </si>
  <si>
    <t>COSTO TOTAL Y RESULTADO A NIVEL ECONOMICO</t>
  </si>
  <si>
    <t>Venta anual, en Unidades Producto 1</t>
  </si>
  <si>
    <t xml:space="preserve">Precio de venta Producto 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</si>
  <si>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</si>
  <si>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</si>
  <si>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</si>
  <si>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</si>
  <si>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</si>
  <si>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Acá hicieron el mismo error con la MCySE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</si>
  <si>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</si>
  <si>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</si>
  <si>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</si>
  <si>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</si>
  <si>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</si>
  <si>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</si>
  <si>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</si>
  <si>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</si>
  <si>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</si>
  <si>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</si>
  <si>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se aplica después de HD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</si>
  <si>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</si>
  <si>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</si>
  <si>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</si>
  <si>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</si>
  <si>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</si>
  <si>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</si>
  <si>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</si>
  <si>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</si>
  <si>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</si>
  <si>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</si>
  <si>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</si>
  <si>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</si>
  <si>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</si>
  <si>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</si>
  <si>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1</t>
  </si>
  <si>
    <t>Q</t>
  </si>
  <si>
    <t>Ventas</t>
  </si>
  <si>
    <t>CV</t>
  </si>
  <si>
    <t>CF</t>
  </si>
  <si>
    <t>CT</t>
  </si>
  <si>
    <t>Tienen que ser distancias entre cada punto simétricas, sino les pasa en la curva que tienen un punto de inflexión que en realidad no existe.. no es que a partir de 5000 unidades ganan más por unidad que antes, sino que cambiaron el distanciamiento del eje X</t>
  </si>
  <si>
    <t>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</si>
  <si>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</si>
  <si>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</si>
  <si>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</si>
  <si>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</si>
  <si>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</si>
  <si>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</si>
  <si>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</si>
  <si>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</si>
  <si>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</si>
  <si>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</si>
  <si>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</si>
  <si>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</si>
  <si>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>Por qué para calcular la amortización de Stock de Elaborado toman la variación de la MCySE?</t>
  </si>
  <si>
    <t xml:space="preserve">    Utilidades en Crédito por ventas</t>
  </si>
  <si>
    <t xml:space="preserve">    Amortizaciones en Crédito por ventas</t>
  </si>
  <si>
    <t>Acá igual. No tengo la guía a mano para chequear si sale de ahí, pero la lógica me dice que le tendrías que restar el total.</t>
  </si>
  <si>
    <t>3. Inversiones en Activo de Trabajo, sin IVA</t>
  </si>
  <si>
    <t>4. Incrementos de Activo de Trabajo</t>
  </si>
  <si>
    <t xml:space="preserve">    Incrementos de Inversión en Activo de Trabajo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</si>
  <si>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</si>
  <si>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</si>
  <si>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</si>
  <si>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</si>
  <si>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</si>
  <si>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</si>
  <si>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</si>
  <si>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</si>
  <si>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Aclaraciones</t>
  </si>
  <si>
    <t>Las disponibilidades mínimas en Caja y Bancos se estimarán en este caso en el 2% de las ventas anuales.</t>
  </si>
  <si>
    <t>El plazo promedio de financiación a clientes es de 30 días.</t>
  </si>
  <si>
    <t>El proyecto prevé el credito por venta de su producción, pero no la financiación del IVA por esa venta. Por otra parte, el IVA venta pertenece al plan de explotación.</t>
  </si>
  <si>
    <t>año 2</t>
  </si>
  <si>
    <t>año 3</t>
  </si>
  <si>
    <t>año 4</t>
  </si>
  <si>
    <t>año 5</t>
  </si>
  <si>
    <t>total</t>
  </si>
  <si>
    <t>incrementos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</si>
  <si>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</si>
  <si>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</si>
  <si>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</si>
  <si>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</si>
  <si>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</si>
  <si>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</si>
  <si>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</si>
  <si>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</si>
  <si>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</si>
  <si>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</si>
  <si>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</si>
  <si>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</si>
  <si>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>son incrementos</t>
  </si>
  <si>
    <t xml:space="preserve">     Stock de Materiales</t>
  </si>
  <si>
    <t>en la hoja anterior lo tenés todo en el Año 1</t>
  </si>
  <si>
    <t>DUDA CON ESTE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</si>
  <si>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</si>
  <si>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</si>
  <si>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</si>
  <si>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</si>
  <si>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</si>
  <si>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</si>
  <si>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>en la hoja anterior da distinto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</si>
  <si>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</si>
  <si>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</si>
  <si>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</si>
  <si>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</si>
  <si>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</si>
  <si>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</si>
  <si>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</si>
  <si>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</si>
  <si>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</si>
  <si>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</si>
  <si>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pusieron el Año 0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</si>
  <si>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</si>
  <si>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</si>
  <si>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</si>
  <si>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</si>
  <si>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</si>
  <si>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</si>
  <si>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</si>
  <si>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</si>
  <si>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</si>
  <si>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</si>
  <si>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No existe el crédito fiscal negativo</t>
  </si>
  <si>
    <t>e) Recuepro de Credito Fiscal</t>
  </si>
  <si>
    <t xml:space="preserve">    Pago al Fisco por IVA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</si>
  <si>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</si>
  <si>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</si>
  <si>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</si>
  <si>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</si>
  <si>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</si>
  <si>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</si>
  <si>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</si>
  <si>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</si>
  <si>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</si>
  <si>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</si>
  <si>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</si>
  <si>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</si>
  <si>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</si>
  <si>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</si>
  <si>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</si>
  <si>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</si>
  <si>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</si>
  <si>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</si>
  <si>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una sutileza que no afecta con los números actuales, pero están restando el Año 5 incorrecto, es una fila más abajo</t>
  </si>
  <si>
    <t>toman datos de tres lados distintos</t>
  </si>
  <si>
    <t>IVA</t>
  </si>
  <si>
    <t>AT</t>
  </si>
  <si>
    <t>BN Proyecto</t>
  </si>
  <si>
    <t>https://www.atfconsulting.com.ar/prestamos-min-industria-2/</t>
  </si>
  <si>
    <t>PARA PYMES EN PARQUES INDUSTRIALES REG. (BNA)</t>
  </si>
  <si>
    <t>22% anual</t>
  </si>
  <si>
    <t>5 años de cuotas semestrales con 1/2 año de gracia</t>
  </si>
  <si>
    <t xml:space="preserve">Gasto Bancario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</si>
  <si>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</si>
  <si>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</si>
  <si>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</si>
  <si>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</si>
  <si>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</si>
  <si>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</si>
  <si>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</si>
  <si>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</si>
  <si>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</si>
  <si>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</si>
  <si>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</si>
  <si>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Sobre el 100% de la compra de MP</t>
  </si>
  <si>
    <t>gastos preoperativos:</t>
  </si>
  <si>
    <t>1/1/1</t>
  </si>
  <si>
    <t xml:space="preserve">                                                                                                                                                             </t>
  </si>
  <si>
    <t>30/6/1</t>
  </si>
  <si>
    <t>divieron por 12 en vez de 2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</si>
  <si>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</si>
  <si>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</si>
  <si>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</si>
  <si>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</si>
  <si>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</si>
  <si>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</si>
  <si>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</si>
  <si>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</si>
  <si>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</si>
  <si>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</si>
  <si>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1/4/-1</t>
  </si>
  <si>
    <t>1/8/-1</t>
  </si>
  <si>
    <t>1/12/-1</t>
  </si>
  <si>
    <t>1/6/1</t>
  </si>
  <si>
    <t>1/12/1</t>
  </si>
  <si>
    <t>1/6/2</t>
  </si>
  <si>
    <t>1/12/2</t>
  </si>
  <si>
    <t>1/6/3</t>
  </si>
  <si>
    <t>1/12/3</t>
  </si>
  <si>
    <t>1/6/4</t>
  </si>
  <si>
    <t>1/12/4</t>
  </si>
  <si>
    <t>1/6/5</t>
  </si>
  <si>
    <t>1/12/5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</si>
  <si>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</si>
  <si>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</si>
  <si>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</si>
  <si>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</si>
  <si>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</si>
  <si>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</si>
  <si>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</si>
  <si>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mal fórmula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</si>
  <si>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</si>
  <si>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</si>
  <si>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</si>
  <si>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</si>
  <si>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</si>
  <si>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</si>
  <si>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</si>
  <si>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</si>
  <si>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</si>
  <si>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</si>
  <si>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</si>
  <si>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</si>
  <si>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</si>
  <si>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acá no se pone el stock sino la variación</t>
  </si>
  <si>
    <t>Crédito por ventas (valor contable)</t>
  </si>
  <si>
    <t>Bienes de cambio (valor contable)</t>
  </si>
  <si>
    <t>acá igual, y además falta MCySE</t>
  </si>
  <si>
    <t>Totales activo de trabajo, sin IVA</t>
  </si>
  <si>
    <t>Amortizaciones en inventarios</t>
  </si>
  <si>
    <t>Amortizaciones en crédito</t>
  </si>
  <si>
    <t>Utilidades en crédito</t>
  </si>
  <si>
    <t>acá tengo dudas si se deja negativo o no sé pone, tengo que preguntar</t>
  </si>
  <si>
    <t>Inversión activo de trabajo, s/IVA</t>
  </si>
  <si>
    <t>Averigue y queda así, en la realidad no pero a fin de las cuentas si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</si>
  <si>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</si>
  <si>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</si>
  <si>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</si>
  <si>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</si>
  <si>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</si>
  <si>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</si>
  <si>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</si>
  <si>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</si>
  <si>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</si>
  <si>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</si>
  <si>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</si>
  <si>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falta el renovable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</si>
  <si>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</si>
  <si>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</si>
  <si>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</si>
  <si>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</si>
  <si>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</si>
  <si>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</si>
  <si>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</si>
  <si>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</si>
  <si>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</si>
  <si>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</si>
  <si>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</si>
  <si>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</si>
  <si>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</si>
  <si>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lo mismo que antes, no sé pone negativo</t>
  </si>
  <si>
    <t>f) Recupero Credito Fiscal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</si>
  <si>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</si>
  <si>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</si>
  <si>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</si>
  <si>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</si>
  <si>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</si>
  <si>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</si>
  <si>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</si>
  <si>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</si>
  <si>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</si>
  <si>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</si>
  <si>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</si>
  <si>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</si>
  <si>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</si>
  <si>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</si>
  <si>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</si>
  <si>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</si>
  <si>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</si>
  <si>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</si>
  <si>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</si>
  <si>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</si>
  <si>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</si>
  <si>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</si>
  <si>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</si>
  <si>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</si>
  <si>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</si>
  <si>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</si>
  <si>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</si>
  <si>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</si>
  <si>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</si>
  <si>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</si>
  <si>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</si>
  <si>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</si>
  <si>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</si>
  <si>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</si>
  <si>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</si>
  <si>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</si>
  <si>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</si>
  <si>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</si>
  <si>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</si>
  <si>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</si>
  <si>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</si>
  <si>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</si>
  <si>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</si>
  <si>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</si>
  <si>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</si>
  <si>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</si>
  <si>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</si>
  <si>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</si>
  <si>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</si>
  <si>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</si>
  <si>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</si>
  <si>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</si>
  <si>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</si>
  <si>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</si>
  <si>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</si>
  <si>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</si>
  <si>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</si>
  <si>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</si>
  <si>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COMPROVACION DE VERIFICACION INVERSOR 2</t>
  </si>
  <si>
    <t>Set B</t>
  </si>
  <si>
    <t>F- CFyU'!H28-'F- CFyU'!H7-'F- CFyU'!H8+'F- CFyU'!H14-'F- CFyU'!H25+'F- CFyU'!H15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</si>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</sst>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0.0"/>
    <numFmt numFmtId="165" formatCode="[$ $]#,##0.00"/>
    <numFmt numFmtId="166" formatCode="#,##0.000"/>
    <numFmt numFmtId="167" formatCode="_(\$* #,##0.00_);_(\$* \(#,##0.00\);_(\$* \-??_);_(@_)"/>
    <numFmt numFmtId="168" formatCode="0.000%"/>
    <numFmt numFmtId="169" formatCode="0.000"/>
    <numFmt numFmtId="170" formatCode="0.00\ %"/>
    <numFmt numFmtId="171" formatCode="_(\$* #,##0.0000_);_(\$* \(#,##0.0000\);_(\$* \-??.00_);_(@_)"/>
    <numFmt numFmtId="172" formatCode="0.0%"/>
    <numFmt numFmtId="173" formatCode="_(* #,##0.00_);_(* \(#,##0.00\);_(* \-??_);_(@_)"/>
    <numFmt numFmtId="174" formatCode="yyyy\.mm"/>
    <numFmt numFmtId="175" formatCode="0.00000"/>
    <numFmt numFmtId="176" formatCode="d&quot; de &quot;mmm&quot; de &quot;yy"/>
    <numFmt numFmtId="177" formatCode="0.0000000000"/>
    <numFmt numFmtId="178" formatCode="_(\$* #,##0.000000_);_(\$* \(#,##0.000000\);_(\$* \-??.0000_);_(@_)"/>
    <numFmt numFmtId="179" formatCode="_(* #,##0_);_(* \(#,##0\);_(* \-??_);_(@_)"/>
    <numFmt numFmtId="180" formatCode="_(* #,##0.00000_);_(* \(#,##0.00000\);_(* \-??.000_);_(@_)"/>
    <numFmt numFmtId="181" formatCode="_(* #,##0.0000000000000_);_(* \(#,##0.0000000000000\);_(* \-??.00000000000_);_(@_)"/>
    <numFmt numFmtId="182" formatCode="_(* #,##0.000000000000000000_);_(* \(#,##0.000000000000000000\);_(* \-??.0000000000000000_);_(@_)"/>
    <numFmt numFmtId="183" formatCode="_(\$* #,##0.000_);_(\$* \(#,##0.000\);_(\$* \-??.0_);_(@_)"/>
    <numFmt numFmtId="184" formatCode="_(\$* #,##0.00000000000000_);_(\$* \(#,##0.00000000000000\);_(\$* \-??.000000000000_);_(@_)"/>
    <numFmt numFmtId="185" formatCode="_(\$* #,##0.00000000_);_(\$* \(#,##0.00000000\);_(\$* \-??.000000_);_(@_)"/>
    <numFmt numFmtId="186" formatCode="_(\$* #,##0.0000000000_);_(\$* \(#,##0.0000000000\);_(\$* \-??.00000000_);_(@_)"/>
    <numFmt numFmtId="187" formatCode="0.0000%"/>
    <numFmt numFmtId="188" formatCode="_(\$* #,##0.000_);_(\$* \(#,##0.000\);_(\$* \-??.00_);_(@_)"/>
    <numFmt numFmtId="189" formatCode="_(\$* #,##0.0000_);_(\$* \(#,##0.0000\);_(\$* \-??.0000_);_(@_)"/>
    <numFmt numFmtId="190" formatCode="_(\$* #,##0.0000000000_);_(\$* \(#,##0.0000000000\);_(\$* \-??.000000000_);_(@_)"/>
    <numFmt numFmtId="191" formatCode="_(\$* #,##0.000000000000000000000000_);_(\$* \(#,##0.000000000000000000000000\);_(\$* \-??.000000000000000000000000_);_(@_)"/>
  </numFmts>
  <fonts count="29">
    <font>
      <sz val="10"/>
      <color rgb="FF000000"/>
      <name val="Arial"/>
    </font>
    <font>
      <b/>
      <sz val="14"/>
      <color rgb="FF00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rgb="FFFF0000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i/>
      <sz val="10"/>
      <color rgb="FFFFFFFF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Calibri"/>
      <family val="2"/>
    </font>
    <font>
      <b/>
      <sz val="14"/>
      <color rgb="FFFFFFFF"/>
      <name val="Arial"/>
      <family val="2"/>
    </font>
    <font>
      <u/>
      <sz val="10"/>
      <color rgb="FF0000FF"/>
      <name val="Arial"/>
      <family val="2"/>
    </font>
    <font>
      <b/>
      <i/>
      <sz val="1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1"/>
      <color rgb="FF11A9CC"/>
      <name val="Inconsolata"/>
    </font>
    <font>
      <sz val="12"/>
      <name val="Noto Sans Symbols"/>
    </font>
  </fonts>
  <fills count="3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FFD966"/>
        <bgColor rgb="FFFFD966"/>
      </patternFill>
    </fill>
    <fill>
      <patternFill patternType="solid">
        <fgColor rgb="FFA4C2F4"/>
        <bgColor rgb="FFA4C2F4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76A5AF"/>
        <bgColor rgb="FF76A5AF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DEEAF6"/>
        <bgColor rgb="FFDEEAF6"/>
      </patternFill>
    </fill>
    <fill>
      <patternFill patternType="solid">
        <fgColor rgb="FFFF0000"/>
        <bgColor rgb="FFFF0000"/>
      </patternFill>
    </fill>
    <fill>
      <patternFill patternType="solid">
        <fgColor rgb="FFE6B8AF"/>
        <bgColor rgb="FFE6B8AF"/>
      </patternFill>
    </fill>
    <fill>
      <patternFill patternType="solid">
        <fgColor rgb="FF6D9EEB"/>
        <bgColor rgb="FF6D9EEB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A2C4C9"/>
        <bgColor rgb="FFA2C4C9"/>
      </patternFill>
    </fill>
    <fill>
      <patternFill patternType="solid">
        <fgColor rgb="FFB6D7A8"/>
        <bgColor rgb="FFB6D7A8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</fills>
  <borders count="20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double">
        <color rgb="FF000000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000000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double">
        <color rgb="FF000000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double">
        <color rgb="FF3C3C3C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000000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000000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double">
        <color rgb="FF3C3C3C"/>
      </top>
      <bottom style="hair">
        <color rgb="FF3C3C3C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hair">
        <color rgb="FF3C3C3C"/>
      </bottom>
      <diagonal/>
    </border>
    <border>
      <left/>
      <right/>
      <top style="double">
        <color rgb="FF000000"/>
      </top>
      <bottom style="hair">
        <color rgb="FF3C3C3C"/>
      </bottom>
      <diagonal/>
    </border>
    <border>
      <left/>
      <right style="double">
        <color rgb="FF000000"/>
      </right>
      <top style="double">
        <color rgb="FF000000"/>
      </top>
      <bottom style="hair">
        <color rgb="FF3C3C3C"/>
      </bottom>
      <diagonal/>
    </border>
    <border>
      <left style="double">
        <color rgb="FF000000"/>
      </left>
      <right/>
      <top style="hair">
        <color rgb="FF3C3C3C"/>
      </top>
      <bottom style="hair">
        <color rgb="FF3C3C3C"/>
      </bottom>
      <diagonal/>
    </border>
    <border>
      <left style="double">
        <color rgb="FF000000"/>
      </left>
      <right/>
      <top style="hair">
        <color rgb="FF3C3C3C"/>
      </top>
      <bottom style="double">
        <color rgb="FF000000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double">
        <color rgb="FF000000"/>
      </left>
      <right/>
      <top/>
      <bottom style="hair">
        <color rgb="FF3C3C3C"/>
      </bottom>
      <diagonal/>
    </border>
    <border>
      <left/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double">
        <color rgb="FF3C3C3C"/>
      </right>
      <top style="hair">
        <color rgb="FF3C3C3C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000000"/>
      </top>
      <bottom style="hair">
        <color rgb="FF3C3C3C"/>
      </bottom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656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center"/>
    </xf>
    <xf numFmtId="0" fontId="2" fillId="0" borderId="4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1" fontId="5" fillId="0" borderId="16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/>
    <xf numFmtId="2" fontId="5" fillId="0" borderId="0" xfId="0" applyNumberFormat="1" applyFont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0" borderId="9" xfId="0" applyFont="1" applyBorder="1"/>
    <xf numFmtId="10" fontId="8" fillId="0" borderId="0" xfId="0" applyNumberFormat="1" applyFont="1" applyAlignment="1">
      <alignment horizontal="center"/>
    </xf>
    <xf numFmtId="0" fontId="4" fillId="4" borderId="9" xfId="0" applyFont="1" applyFill="1" applyBorder="1"/>
    <xf numFmtId="2" fontId="5" fillId="4" borderId="9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3" borderId="23" xfId="0" applyFont="1" applyFill="1" applyBorder="1"/>
    <xf numFmtId="0" fontId="2" fillId="2" borderId="23" xfId="0" applyFont="1" applyFill="1" applyBorder="1"/>
    <xf numFmtId="0" fontId="6" fillId="0" borderId="0" xfId="0" applyFont="1"/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2" fontId="5" fillId="2" borderId="23" xfId="0" applyNumberFormat="1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" fontId="5" fillId="3" borderId="9" xfId="0" applyNumberFormat="1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9" xfId="0" applyFont="1" applyBorder="1"/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" fillId="0" borderId="9" xfId="0" applyFont="1" applyBorder="1"/>
    <xf numFmtId="10" fontId="5" fillId="0" borderId="9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2" fontId="5" fillId="0" borderId="0" xfId="0" applyNumberFormat="1" applyFont="1"/>
    <xf numFmtId="0" fontId="5" fillId="0" borderId="0" xfId="0" applyFont="1"/>
    <xf numFmtId="0" fontId="10" fillId="8" borderId="43" xfId="0" applyFont="1" applyFill="1" applyBorder="1" applyAlignment="1">
      <alignment horizontal="center"/>
    </xf>
    <xf numFmtId="0" fontId="10" fillId="8" borderId="44" xfId="0" applyFont="1" applyFill="1" applyBorder="1" applyAlignment="1">
      <alignment horizontal="center"/>
    </xf>
    <xf numFmtId="0" fontId="10" fillId="8" borderId="45" xfId="0" applyFont="1" applyFill="1" applyBorder="1" applyAlignment="1">
      <alignment horizontal="center"/>
    </xf>
    <xf numFmtId="0" fontId="10" fillId="8" borderId="46" xfId="0" applyFont="1" applyFill="1" applyBorder="1" applyAlignment="1">
      <alignment horizontal="center"/>
    </xf>
    <xf numFmtId="0" fontId="10" fillId="11" borderId="43" xfId="0" applyFont="1" applyFill="1" applyBorder="1" applyAlignment="1">
      <alignment horizontal="center"/>
    </xf>
    <xf numFmtId="0" fontId="10" fillId="11" borderId="44" xfId="0" applyFont="1" applyFill="1" applyBorder="1" applyAlignment="1">
      <alignment horizontal="center"/>
    </xf>
    <xf numFmtId="0" fontId="10" fillId="11" borderId="45" xfId="0" applyFont="1" applyFill="1" applyBorder="1" applyAlignment="1">
      <alignment horizontal="center"/>
    </xf>
    <xf numFmtId="0" fontId="10" fillId="11" borderId="52" xfId="0" applyFont="1" applyFill="1" applyBorder="1" applyAlignment="1">
      <alignment horizontal="center"/>
    </xf>
    <xf numFmtId="0" fontId="10" fillId="11" borderId="53" xfId="0" applyFont="1" applyFill="1" applyBorder="1" applyAlignment="1">
      <alignment horizontal="center"/>
    </xf>
    <xf numFmtId="165" fontId="11" fillId="11" borderId="44" xfId="0" applyNumberFormat="1" applyFont="1" applyFill="1" applyBorder="1" applyAlignment="1">
      <alignment horizontal="center"/>
    </xf>
    <xf numFmtId="165" fontId="11" fillId="11" borderId="54" xfId="0" applyNumberFormat="1" applyFont="1" applyFill="1" applyBorder="1" applyAlignment="1">
      <alignment horizontal="center"/>
    </xf>
    <xf numFmtId="0" fontId="10" fillId="11" borderId="46" xfId="0" applyFont="1" applyFill="1" applyBorder="1" applyAlignment="1">
      <alignment horizontal="center"/>
    </xf>
    <xf numFmtId="165" fontId="10" fillId="11" borderId="44" xfId="0" applyNumberFormat="1" applyFont="1" applyFill="1" applyBorder="1" applyAlignment="1">
      <alignment horizontal="center"/>
    </xf>
    <xf numFmtId="165" fontId="10" fillId="11" borderId="52" xfId="0" applyNumberFormat="1" applyFont="1" applyFill="1" applyBorder="1" applyAlignment="1">
      <alignment horizontal="center"/>
    </xf>
    <xf numFmtId="165" fontId="10" fillId="11" borderId="53" xfId="0" applyNumberFormat="1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1" fontId="4" fillId="0" borderId="58" xfId="0" applyNumberFormat="1" applyFont="1" applyBorder="1" applyAlignment="1">
      <alignment horizontal="center" vertical="center" wrapText="1"/>
    </xf>
    <xf numFmtId="1" fontId="5" fillId="3" borderId="59" xfId="0" applyNumberFormat="1" applyFont="1" applyFill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1" fontId="4" fillId="0" borderId="61" xfId="0" applyNumberFormat="1" applyFont="1" applyBorder="1" applyAlignment="1">
      <alignment horizontal="center" vertical="center" wrapText="1"/>
    </xf>
    <xf numFmtId="1" fontId="5" fillId="3" borderId="9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1" fontId="4" fillId="0" borderId="63" xfId="0" applyNumberFormat="1" applyFont="1" applyBorder="1" applyAlignment="1">
      <alignment horizontal="center" vertical="center" wrapText="1"/>
    </xf>
    <xf numFmtId="1" fontId="5" fillId="3" borderId="64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12" borderId="43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8" fillId="13" borderId="43" xfId="0" applyFont="1" applyFill="1" applyBorder="1" applyAlignment="1">
      <alignment horizontal="center" vertical="center" wrapText="1"/>
    </xf>
    <xf numFmtId="165" fontId="8" fillId="0" borderId="43" xfId="0" applyNumberFormat="1" applyFont="1" applyBorder="1" applyAlignment="1">
      <alignment horizontal="center" vertical="center" wrapText="1"/>
    </xf>
    <xf numFmtId="0" fontId="8" fillId="13" borderId="66" xfId="0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165" fontId="8" fillId="0" borderId="46" xfId="0" applyNumberFormat="1" applyFont="1" applyBorder="1" applyAlignment="1">
      <alignment horizontal="center"/>
    </xf>
    <xf numFmtId="0" fontId="8" fillId="0" borderId="68" xfId="0" applyFont="1" applyBorder="1"/>
    <xf numFmtId="0" fontId="8" fillId="0" borderId="69" xfId="0" applyFont="1" applyBorder="1"/>
    <xf numFmtId="0" fontId="8" fillId="0" borderId="70" xfId="0" applyFont="1" applyBorder="1"/>
    <xf numFmtId="0" fontId="2" fillId="0" borderId="0" xfId="0" applyFont="1" applyAlignment="1">
      <alignment horizontal="center" vertical="center" wrapText="1"/>
    </xf>
    <xf numFmtId="0" fontId="13" fillId="0" borderId="74" xfId="0" applyFont="1" applyBorder="1" applyAlignment="1">
      <alignment horizontal="center" vertical="center" wrapText="1"/>
    </xf>
    <xf numFmtId="0" fontId="13" fillId="0" borderId="75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7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14" borderId="7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14" borderId="78" xfId="0" applyFont="1" applyFill="1" applyBorder="1" applyAlignment="1">
      <alignment horizontal="center" vertical="center" wrapText="1"/>
    </xf>
    <xf numFmtId="0" fontId="5" fillId="14" borderId="79" xfId="0" applyFont="1" applyFill="1" applyBorder="1" applyAlignment="1">
      <alignment horizontal="center" vertical="center" wrapText="1"/>
    </xf>
    <xf numFmtId="0" fontId="5" fillId="14" borderId="80" xfId="0" applyFont="1" applyFill="1" applyBorder="1" applyAlignment="1">
      <alignment horizontal="center" vertical="center" wrapText="1"/>
    </xf>
    <xf numFmtId="0" fontId="5" fillId="14" borderId="81" xfId="0" applyFont="1" applyFill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65" fontId="4" fillId="0" borderId="83" xfId="0" applyNumberFormat="1" applyFont="1" applyBorder="1" applyAlignment="1">
      <alignment horizontal="center" vertical="center" wrapText="1"/>
    </xf>
    <xf numFmtId="0" fontId="4" fillId="2" borderId="85" xfId="0" applyFont="1" applyFill="1" applyBorder="1" applyAlignment="1">
      <alignment horizontal="center" vertical="center" wrapText="1"/>
    </xf>
    <xf numFmtId="0" fontId="16" fillId="15" borderId="9" xfId="0" applyFont="1" applyFill="1" applyBorder="1" applyAlignment="1">
      <alignment horizontal="center" vertical="center" wrapText="1"/>
    </xf>
    <xf numFmtId="0" fontId="0" fillId="12" borderId="9" xfId="0" applyFont="1" applyFill="1" applyBorder="1" applyAlignment="1">
      <alignment horizontal="center" vertical="center" wrapText="1"/>
    </xf>
    <xf numFmtId="0" fontId="0" fillId="12" borderId="86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8" fillId="0" borderId="9" xfId="0" applyFont="1" applyBorder="1"/>
    <xf numFmtId="0" fontId="0" fillId="0" borderId="19" xfId="0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0" fillId="0" borderId="38" xfId="0" applyFont="1" applyBorder="1" applyAlignment="1">
      <alignment horizontal="center" wrapText="1"/>
    </xf>
    <xf numFmtId="0" fontId="0" fillId="0" borderId="22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8" fillId="0" borderId="21" xfId="0" applyFont="1" applyBorder="1"/>
    <xf numFmtId="0" fontId="9" fillId="16" borderId="23" xfId="0" applyFont="1" applyFill="1" applyBorder="1" applyAlignment="1">
      <alignment horizontal="center"/>
    </xf>
    <xf numFmtId="0" fontId="9" fillId="18" borderId="66" xfId="0" applyFont="1" applyFill="1" applyBorder="1" applyAlignment="1">
      <alignment horizontal="center" vertical="center" wrapText="1"/>
    </xf>
    <xf numFmtId="0" fontId="9" fillId="18" borderId="89" xfId="0" applyFont="1" applyFill="1" applyBorder="1" applyAlignment="1">
      <alignment horizontal="center" vertical="center" wrapText="1"/>
    </xf>
    <xf numFmtId="165" fontId="9" fillId="18" borderId="90" xfId="0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8" fillId="0" borderId="0" xfId="0" applyNumberFormat="1" applyFont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91" xfId="0" applyFont="1" applyBorder="1"/>
    <xf numFmtId="2" fontId="5" fillId="0" borderId="92" xfId="0" applyNumberFormat="1" applyFont="1" applyBorder="1" applyAlignment="1">
      <alignment horizontal="center"/>
    </xf>
    <xf numFmtId="2" fontId="5" fillId="0" borderId="93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4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93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165" fontId="8" fillId="0" borderId="0" xfId="0" applyNumberFormat="1" applyFont="1"/>
    <xf numFmtId="0" fontId="8" fillId="19" borderId="23" xfId="0" applyFont="1" applyFill="1" applyBorder="1"/>
    <xf numFmtId="0" fontId="9" fillId="7" borderId="66" xfId="0" applyFont="1" applyFill="1" applyBorder="1"/>
    <xf numFmtId="0" fontId="9" fillId="7" borderId="89" xfId="0" applyFont="1" applyFill="1" applyBorder="1"/>
    <xf numFmtId="165" fontId="9" fillId="7" borderId="90" xfId="0" applyNumberFormat="1" applyFont="1" applyFill="1" applyBorder="1"/>
    <xf numFmtId="0" fontId="8" fillId="12" borderId="23" xfId="0" applyFont="1" applyFill="1" applyBorder="1"/>
    <xf numFmtId="1" fontId="8" fillId="0" borderId="60" xfId="0" applyNumberFormat="1" applyFont="1" applyBorder="1" applyAlignment="1">
      <alignment horizontal="center" vertical="center" wrapText="1"/>
    </xf>
    <xf numFmtId="1" fontId="8" fillId="0" borderId="6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0" fontId="8" fillId="0" borderId="9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center" vertical="center" wrapText="1"/>
    </xf>
    <xf numFmtId="0" fontId="17" fillId="3" borderId="23" xfId="0" applyFont="1" applyFill="1" applyBorder="1"/>
    <xf numFmtId="0" fontId="8" fillId="21" borderId="43" xfId="0" applyFont="1" applyFill="1" applyBorder="1" applyAlignment="1">
      <alignment horizontal="center" vertical="center" wrapText="1"/>
    </xf>
    <xf numFmtId="1" fontId="8" fillId="21" borderId="43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165" fontId="9" fillId="18" borderId="23" xfId="0" applyNumberFormat="1" applyFont="1" applyFill="1" applyBorder="1"/>
    <xf numFmtId="0" fontId="9" fillId="12" borderId="43" xfId="0" applyFont="1" applyFill="1" applyBorder="1"/>
    <xf numFmtId="0" fontId="9" fillId="0" borderId="43" xfId="0" applyFont="1" applyBorder="1"/>
    <xf numFmtId="0" fontId="8" fillId="3" borderId="23" xfId="0" applyFont="1" applyFill="1" applyBorder="1"/>
    <xf numFmtId="0" fontId="9" fillId="16" borderId="23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0" fontId="2" fillId="0" borderId="72" xfId="0" applyFont="1" applyBorder="1"/>
    <xf numFmtId="0" fontId="2" fillId="0" borderId="75" xfId="0" applyFont="1" applyBorder="1"/>
    <xf numFmtId="0" fontId="4" fillId="0" borderId="72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99" xfId="0" applyFont="1" applyBorder="1" applyAlignment="1">
      <alignment horizontal="center"/>
    </xf>
    <xf numFmtId="0" fontId="2" fillId="0" borderId="99" xfId="0" applyFont="1" applyBorder="1"/>
    <xf numFmtId="0" fontId="18" fillId="0" borderId="100" xfId="0" applyFont="1" applyBorder="1"/>
    <xf numFmtId="0" fontId="5" fillId="0" borderId="22" xfId="0" applyFont="1" applyBorder="1"/>
    <xf numFmtId="0" fontId="2" fillId="22" borderId="101" xfId="0" applyFont="1" applyFill="1" applyBorder="1"/>
    <xf numFmtId="1" fontId="5" fillId="0" borderId="22" xfId="0" applyNumberFormat="1" applyFont="1" applyBorder="1" applyAlignment="1">
      <alignment horizontal="center"/>
    </xf>
    <xf numFmtId="1" fontId="2" fillId="23" borderId="102" xfId="0" applyNumberFormat="1" applyFont="1" applyFill="1" applyBorder="1"/>
    <xf numFmtId="1" fontId="2" fillId="23" borderId="77" xfId="0" applyNumberFormat="1" applyFont="1" applyFill="1" applyBorder="1"/>
    <xf numFmtId="0" fontId="5" fillId="0" borderId="22" xfId="0" applyFont="1" applyBorder="1" applyAlignment="1">
      <alignment horizontal="center"/>
    </xf>
    <xf numFmtId="0" fontId="2" fillId="23" borderId="102" xfId="0" applyFont="1" applyFill="1" applyBorder="1"/>
    <xf numFmtId="0" fontId="2" fillId="23" borderId="77" xfId="0" applyFont="1" applyFill="1" applyBorder="1"/>
    <xf numFmtId="2" fontId="5" fillId="0" borderId="22" xfId="0" applyNumberFormat="1" applyFont="1" applyBorder="1" applyAlignment="1">
      <alignment horizontal="center"/>
    </xf>
    <xf numFmtId="2" fontId="2" fillId="0" borderId="22" xfId="0" applyNumberFormat="1" applyFont="1" applyBorder="1"/>
    <xf numFmtId="2" fontId="2" fillId="0" borderId="103" xfId="0" applyNumberFormat="1" applyFont="1" applyBorder="1"/>
    <xf numFmtId="2" fontId="2" fillId="0" borderId="22" xfId="0" applyNumberFormat="1" applyFont="1" applyBorder="1" applyAlignment="1">
      <alignment horizontal="center"/>
    </xf>
    <xf numFmtId="0" fontId="2" fillId="22" borderId="104" xfId="0" applyFont="1" applyFill="1" applyBorder="1"/>
    <xf numFmtId="3" fontId="5" fillId="0" borderId="22" xfId="0" applyNumberFormat="1" applyFont="1" applyBorder="1" applyAlignment="1">
      <alignment horizontal="center"/>
    </xf>
    <xf numFmtId="0" fontId="18" fillId="0" borderId="98" xfId="0" applyFont="1" applyBorder="1"/>
    <xf numFmtId="0" fontId="5" fillId="0" borderId="99" xfId="0" applyFont="1" applyBorder="1"/>
    <xf numFmtId="0" fontId="5" fillId="0" borderId="99" xfId="0" applyFont="1" applyBorder="1" applyAlignment="1">
      <alignment horizontal="center"/>
    </xf>
    <xf numFmtId="2" fontId="5" fillId="0" borderId="99" xfId="0" applyNumberFormat="1" applyFont="1" applyBorder="1" applyAlignment="1">
      <alignment horizontal="center"/>
    </xf>
    <xf numFmtId="2" fontId="2" fillId="0" borderId="99" xfId="0" applyNumberFormat="1" applyFont="1" applyBorder="1"/>
    <xf numFmtId="2" fontId="2" fillId="0" borderId="99" xfId="0" applyNumberFormat="1" applyFont="1" applyBorder="1" applyAlignment="1">
      <alignment horizontal="center"/>
    </xf>
    <xf numFmtId="2" fontId="2" fillId="0" borderId="75" xfId="0" applyNumberFormat="1" applyFont="1" applyBorder="1"/>
    <xf numFmtId="0" fontId="18" fillId="0" borderId="0" xfId="0" applyFont="1" applyAlignment="1">
      <alignment horizontal="center"/>
    </xf>
    <xf numFmtId="2" fontId="2" fillId="0" borderId="0" xfId="0" applyNumberFormat="1" applyFont="1"/>
    <xf numFmtId="0" fontId="2" fillId="0" borderId="105" xfId="0" applyFont="1" applyBorder="1"/>
    <xf numFmtId="0" fontId="8" fillId="24" borderId="23" xfId="0" applyFont="1" applyFill="1" applyBorder="1"/>
    <xf numFmtId="1" fontId="2" fillId="0" borderId="0" xfId="0" applyNumberFormat="1" applyFont="1" applyAlignment="1">
      <alignment horizontal="right"/>
    </xf>
    <xf numFmtId="4" fontId="5" fillId="0" borderId="22" xfId="0" applyNumberFormat="1" applyFont="1" applyBorder="1" applyAlignment="1">
      <alignment horizontal="center"/>
    </xf>
    <xf numFmtId="166" fontId="5" fillId="0" borderId="22" xfId="0" applyNumberFormat="1" applyFont="1" applyBorder="1" applyAlignment="1">
      <alignment horizontal="center"/>
    </xf>
    <xf numFmtId="0" fontId="2" fillId="0" borderId="103" xfId="0" applyFont="1" applyBorder="1"/>
    <xf numFmtId="0" fontId="2" fillId="0" borderId="0" xfId="0" applyFont="1" applyAlignment="1">
      <alignment horizontal="right"/>
    </xf>
    <xf numFmtId="0" fontId="2" fillId="0" borderId="21" xfId="0" applyFont="1" applyBorder="1"/>
    <xf numFmtId="0" fontId="2" fillId="0" borderId="106" xfId="0" applyFont="1" applyBorder="1"/>
    <xf numFmtId="0" fontId="4" fillId="0" borderId="21" xfId="0" applyFont="1" applyBorder="1"/>
    <xf numFmtId="0" fontId="2" fillId="0" borderId="22" xfId="0" applyFont="1" applyBorder="1"/>
    <xf numFmtId="0" fontId="18" fillId="0" borderId="22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1" fontId="8" fillId="0" borderId="0" xfId="0" applyNumberFormat="1" applyFont="1"/>
    <xf numFmtId="167" fontId="8" fillId="3" borderId="23" xfId="0" applyNumberFormat="1" applyFont="1" applyFill="1" applyBorder="1"/>
    <xf numFmtId="167" fontId="8" fillId="0" borderId="0" xfId="0" applyNumberFormat="1" applyFont="1"/>
    <xf numFmtId="3" fontId="8" fillId="0" borderId="0" xfId="0" applyNumberFormat="1" applyFont="1"/>
    <xf numFmtId="4" fontId="8" fillId="0" borderId="0" xfId="0" applyNumberFormat="1" applyFont="1"/>
    <xf numFmtId="2" fontId="8" fillId="0" borderId="0" xfId="0" applyNumberFormat="1" applyFont="1"/>
    <xf numFmtId="0" fontId="8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/>
    </xf>
    <xf numFmtId="0" fontId="8" fillId="0" borderId="0" xfId="0" applyFont="1"/>
    <xf numFmtId="10" fontId="8" fillId="0" borderId="0" xfId="0" applyNumberFormat="1" applyFont="1"/>
    <xf numFmtId="0" fontId="19" fillId="3" borderId="23" xfId="0" applyFont="1" applyFill="1" applyBorder="1" applyAlignment="1">
      <alignment horizontal="center" vertical="center" wrapText="1"/>
    </xf>
    <xf numFmtId="168" fontId="8" fillId="0" borderId="0" xfId="0" applyNumberFormat="1" applyFont="1"/>
    <xf numFmtId="9" fontId="8" fillId="0" borderId="0" xfId="0" applyNumberFormat="1" applyFont="1"/>
    <xf numFmtId="169" fontId="8" fillId="0" borderId="0" xfId="0" applyNumberFormat="1" applyFont="1"/>
    <xf numFmtId="0" fontId="9" fillId="20" borderId="23" xfId="0" applyFont="1" applyFill="1" applyBorder="1"/>
    <xf numFmtId="0" fontId="0" fillId="0" borderId="9" xfId="0" applyFont="1" applyBorder="1" applyAlignment="1">
      <alignment horizontal="center"/>
    </xf>
    <xf numFmtId="0" fontId="8" fillId="0" borderId="17" xfId="0" applyFont="1" applyBorder="1"/>
    <xf numFmtId="0" fontId="8" fillId="0" borderId="19" xfId="0" applyFont="1" applyBorder="1" applyAlignment="1">
      <alignment horizontal="center"/>
    </xf>
    <xf numFmtId="0" fontId="2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9" fillId="20" borderId="23" xfId="0" applyFont="1" applyFill="1" applyBorder="1" applyAlignment="1">
      <alignment horizontal="center"/>
    </xf>
    <xf numFmtId="0" fontId="21" fillId="0" borderId="0" xfId="0" applyFont="1"/>
    <xf numFmtId="0" fontId="9" fillId="0" borderId="107" xfId="0" applyFont="1" applyBorder="1"/>
    <xf numFmtId="0" fontId="9" fillId="0" borderId="0" xfId="0" applyFont="1" applyAlignment="1">
      <alignment horizontal="right"/>
    </xf>
    <xf numFmtId="9" fontId="9" fillId="26" borderId="107" xfId="0" applyNumberFormat="1" applyFont="1" applyFill="1" applyBorder="1"/>
    <xf numFmtId="0" fontId="8" fillId="0" borderId="0" xfId="0" applyFont="1" applyAlignment="1">
      <alignment horizontal="right"/>
    </xf>
    <xf numFmtId="0" fontId="9" fillId="26" borderId="107" xfId="0" applyFont="1" applyFill="1" applyBorder="1" applyAlignment="1">
      <alignment horizontal="center"/>
    </xf>
    <xf numFmtId="170" fontId="9" fillId="26" borderId="107" xfId="0" applyNumberFormat="1" applyFont="1" applyFill="1" applyBorder="1" applyAlignment="1">
      <alignment horizontal="center"/>
    </xf>
    <xf numFmtId="0" fontId="8" fillId="27" borderId="119" xfId="0" applyFont="1" applyFill="1" applyBorder="1"/>
    <xf numFmtId="0" fontId="8" fillId="27" borderId="120" xfId="0" applyFont="1" applyFill="1" applyBorder="1"/>
    <xf numFmtId="0" fontId="8" fillId="27" borderId="121" xfId="0" applyFont="1" applyFill="1" applyBorder="1"/>
    <xf numFmtId="0" fontId="0" fillId="27" borderId="107" xfId="0" applyFont="1" applyFill="1" applyBorder="1" applyAlignment="1">
      <alignment horizontal="center"/>
    </xf>
    <xf numFmtId="165" fontId="0" fillId="27" borderId="107" xfId="0" applyNumberFormat="1" applyFont="1" applyFill="1" applyBorder="1" applyAlignment="1">
      <alignment horizontal="center"/>
    </xf>
    <xf numFmtId="0" fontId="8" fillId="27" borderId="107" xfId="0" applyFont="1" applyFill="1" applyBorder="1" applyAlignment="1">
      <alignment horizontal="center"/>
    </xf>
    <xf numFmtId="0" fontId="8" fillId="27" borderId="122" xfId="0" applyFont="1" applyFill="1" applyBorder="1"/>
    <xf numFmtId="0" fontId="23" fillId="0" borderId="0" xfId="0" applyFont="1"/>
    <xf numFmtId="0" fontId="8" fillId="27" borderId="126" xfId="0" applyFont="1" applyFill="1" applyBorder="1"/>
    <xf numFmtId="0" fontId="8" fillId="27" borderId="107" xfId="0" applyFont="1" applyFill="1" applyBorder="1"/>
    <xf numFmtId="0" fontId="12" fillId="0" borderId="127" xfId="0" applyFont="1" applyBorder="1"/>
    <xf numFmtId="0" fontId="12" fillId="0" borderId="131" xfId="0" applyFont="1" applyBorder="1"/>
    <xf numFmtId="0" fontId="9" fillId="0" borderId="132" xfId="0" applyFont="1" applyBorder="1" applyAlignment="1">
      <alignment horizontal="center"/>
    </xf>
    <xf numFmtId="0" fontId="9" fillId="0" borderId="133" xfId="0" applyFont="1" applyBorder="1" applyAlignment="1">
      <alignment horizontal="center"/>
    </xf>
    <xf numFmtId="0" fontId="8" fillId="0" borderId="134" xfId="0" applyFont="1" applyBorder="1"/>
    <xf numFmtId="0" fontId="8" fillId="0" borderId="135" xfId="0" applyFont="1" applyBorder="1"/>
    <xf numFmtId="0" fontId="9" fillId="0" borderId="136" xfId="0" applyFont="1" applyBorder="1"/>
    <xf numFmtId="0" fontId="8" fillId="0" borderId="137" xfId="0" applyFont="1" applyBorder="1"/>
    <xf numFmtId="0" fontId="8" fillId="0" borderId="136" xfId="0" applyFont="1" applyBorder="1"/>
    <xf numFmtId="171" fontId="8" fillId="0" borderId="137" xfId="0" applyNumberFormat="1" applyFont="1" applyBorder="1"/>
    <xf numFmtId="167" fontId="8" fillId="0" borderId="137" xfId="0" applyNumberFormat="1" applyFont="1" applyBorder="1"/>
    <xf numFmtId="0" fontId="8" fillId="0" borderId="136" xfId="0" applyFont="1" applyBorder="1" applyAlignment="1">
      <alignment horizontal="left"/>
    </xf>
    <xf numFmtId="167" fontId="8" fillId="19" borderId="137" xfId="0" applyNumberFormat="1" applyFont="1" applyFill="1" applyBorder="1"/>
    <xf numFmtId="0" fontId="9" fillId="0" borderId="131" xfId="0" applyFont="1" applyBorder="1" applyAlignment="1">
      <alignment horizontal="left"/>
    </xf>
    <xf numFmtId="167" fontId="8" fillId="0" borderId="132" xfId="0" applyNumberFormat="1" applyFont="1" applyBorder="1"/>
    <xf numFmtId="0" fontId="9" fillId="0" borderId="127" xfId="0" applyFont="1" applyBorder="1" applyAlignment="1">
      <alignment horizontal="center"/>
    </xf>
    <xf numFmtId="0" fontId="9" fillId="0" borderId="138" xfId="0" applyFont="1" applyBorder="1" applyAlignment="1">
      <alignment horizontal="center"/>
    </xf>
    <xf numFmtId="0" fontId="9" fillId="0" borderId="140" xfId="0" applyFont="1" applyBorder="1"/>
    <xf numFmtId="0" fontId="9" fillId="0" borderId="131" xfId="0" applyFont="1" applyBorder="1"/>
    <xf numFmtId="0" fontId="9" fillId="0" borderId="133" xfId="0" applyFont="1" applyBorder="1"/>
    <xf numFmtId="0" fontId="9" fillId="0" borderId="127" xfId="0" applyFont="1" applyBorder="1"/>
    <xf numFmtId="167" fontId="8" fillId="0" borderId="138" xfId="0" applyNumberFormat="1" applyFont="1" applyBorder="1"/>
    <xf numFmtId="0" fontId="8" fillId="0" borderId="138" xfId="0" applyFont="1" applyBorder="1" applyAlignment="1">
      <alignment horizontal="center"/>
    </xf>
    <xf numFmtId="0" fontId="8" fillId="0" borderId="140" xfId="0" applyFont="1" applyBorder="1"/>
    <xf numFmtId="0" fontId="9" fillId="0" borderId="134" xfId="0" applyFont="1" applyBorder="1"/>
    <xf numFmtId="167" fontId="8" fillId="0" borderId="135" xfId="0" applyNumberFormat="1" applyFont="1" applyBorder="1"/>
    <xf numFmtId="0" fontId="8" fillId="0" borderId="135" xfId="0" applyFont="1" applyBorder="1" applyAlignment="1">
      <alignment horizontal="center"/>
    </xf>
    <xf numFmtId="0" fontId="8" fillId="0" borderId="141" xfId="0" applyFont="1" applyBorder="1"/>
    <xf numFmtId="10" fontId="8" fillId="0" borderId="137" xfId="0" applyNumberFormat="1" applyFont="1" applyBorder="1"/>
    <xf numFmtId="167" fontId="8" fillId="0" borderId="142" xfId="0" applyNumberFormat="1" applyFont="1" applyBorder="1"/>
    <xf numFmtId="9" fontId="8" fillId="19" borderId="137" xfId="0" applyNumberFormat="1" applyFont="1" applyFill="1" applyBorder="1"/>
    <xf numFmtId="0" fontId="9" fillId="0" borderId="136" xfId="0" applyFont="1" applyBorder="1" applyAlignment="1">
      <alignment horizontal="left"/>
    </xf>
    <xf numFmtId="164" fontId="8" fillId="0" borderId="137" xfId="0" applyNumberFormat="1" applyFont="1" applyBorder="1" applyAlignment="1">
      <alignment horizontal="center"/>
    </xf>
    <xf numFmtId="164" fontId="8" fillId="0" borderId="137" xfId="0" applyNumberFormat="1" applyFont="1" applyBorder="1"/>
    <xf numFmtId="164" fontId="8" fillId="0" borderId="142" xfId="0" applyNumberFormat="1" applyFont="1" applyBorder="1"/>
    <xf numFmtId="167" fontId="9" fillId="0" borderId="137" xfId="0" applyNumberFormat="1" applyFont="1" applyBorder="1" applyAlignment="1">
      <alignment horizontal="center"/>
    </xf>
    <xf numFmtId="167" fontId="8" fillId="0" borderId="137" xfId="0" applyNumberFormat="1" applyFont="1" applyBorder="1" applyAlignment="1">
      <alignment horizontal="center"/>
    </xf>
    <xf numFmtId="2" fontId="8" fillId="0" borderId="137" xfId="0" applyNumberFormat="1" applyFont="1" applyBorder="1" applyAlignment="1">
      <alignment horizontal="center"/>
    </xf>
    <xf numFmtId="2" fontId="8" fillId="0" borderId="142" xfId="0" applyNumberFormat="1" applyFont="1" applyBorder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0" fontId="8" fillId="0" borderId="107" xfId="0" applyFont="1" applyBorder="1"/>
    <xf numFmtId="0" fontId="12" fillId="0" borderId="0" xfId="0" applyFont="1" applyAlignment="1">
      <alignment horizontal="left"/>
    </xf>
    <xf numFmtId="0" fontId="12" fillId="0" borderId="127" xfId="0" applyFont="1" applyBorder="1" applyAlignment="1">
      <alignment horizontal="left"/>
    </xf>
    <xf numFmtId="0" fontId="12" fillId="0" borderId="138" xfId="0" applyFont="1" applyBorder="1" applyAlignment="1">
      <alignment horizontal="center"/>
    </xf>
    <xf numFmtId="0" fontId="12" fillId="0" borderId="14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36" xfId="0" applyFont="1" applyBorder="1" applyAlignment="1">
      <alignment horizontal="center"/>
    </xf>
    <xf numFmtId="0" fontId="9" fillId="0" borderId="143" xfId="0" applyFont="1" applyBorder="1" applyAlignment="1">
      <alignment horizontal="center"/>
    </xf>
    <xf numFmtId="0" fontId="9" fillId="0" borderId="137" xfId="0" applyFont="1" applyBorder="1" applyAlignment="1">
      <alignment horizontal="center"/>
    </xf>
    <xf numFmtId="0" fontId="9" fillId="0" borderId="142" xfId="0" applyFont="1" applyBorder="1" applyAlignment="1">
      <alignment horizontal="center"/>
    </xf>
    <xf numFmtId="0" fontId="8" fillId="0" borderId="0" xfId="0" applyFont="1" applyAlignment="1">
      <alignment horizontal="left"/>
    </xf>
    <xf numFmtId="9" fontId="8" fillId="0" borderId="137" xfId="0" applyNumberFormat="1" applyFont="1" applyBorder="1" applyAlignment="1">
      <alignment horizontal="center"/>
    </xf>
    <xf numFmtId="9" fontId="8" fillId="0" borderId="142" xfId="0" applyNumberFormat="1" applyFont="1" applyBorder="1" applyAlignment="1">
      <alignment horizontal="center"/>
    </xf>
    <xf numFmtId="167" fontId="9" fillId="0" borderId="132" xfId="0" applyNumberFormat="1" applyFont="1" applyBorder="1" applyAlignment="1">
      <alignment horizontal="center"/>
    </xf>
    <xf numFmtId="9" fontId="9" fillId="0" borderId="132" xfId="0" applyNumberFormat="1" applyFont="1" applyBorder="1" applyAlignment="1">
      <alignment horizontal="center"/>
    </xf>
    <xf numFmtId="9" fontId="9" fillId="0" borderId="133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25" fillId="0" borderId="9" xfId="0" applyFont="1" applyBorder="1" applyAlignment="1">
      <alignment horizontal="center"/>
    </xf>
    <xf numFmtId="167" fontId="8" fillId="0" borderId="9" xfId="0" applyNumberFormat="1" applyFont="1" applyBorder="1" applyAlignment="1">
      <alignment horizontal="center"/>
    </xf>
    <xf numFmtId="0" fontId="5" fillId="0" borderId="9" xfId="0" applyFont="1" applyBorder="1"/>
    <xf numFmtId="166" fontId="5" fillId="0" borderId="9" xfId="0" applyNumberFormat="1" applyFont="1" applyBorder="1" applyAlignment="1">
      <alignment horizontal="center"/>
    </xf>
    <xf numFmtId="165" fontId="9" fillId="0" borderId="0" xfId="0" applyNumberFormat="1" applyFont="1"/>
    <xf numFmtId="0" fontId="12" fillId="0" borderId="146" xfId="0" applyFont="1" applyBorder="1" applyAlignment="1">
      <alignment horizontal="center"/>
    </xf>
    <xf numFmtId="0" fontId="12" fillId="0" borderId="139" xfId="0" applyFont="1" applyBorder="1" applyAlignment="1">
      <alignment horizontal="center"/>
    </xf>
    <xf numFmtId="0" fontId="12" fillId="0" borderId="130" xfId="0" applyFont="1" applyBorder="1" applyAlignment="1">
      <alignment horizontal="center"/>
    </xf>
    <xf numFmtId="167" fontId="8" fillId="0" borderId="135" xfId="0" applyNumberFormat="1" applyFont="1" applyBorder="1" applyAlignment="1">
      <alignment horizontal="center"/>
    </xf>
    <xf numFmtId="167" fontId="8" fillId="0" borderId="142" xfId="0" applyNumberFormat="1" applyFont="1" applyBorder="1" applyAlignment="1">
      <alignment horizontal="center"/>
    </xf>
    <xf numFmtId="167" fontId="8" fillId="19" borderId="137" xfId="0" applyNumberFormat="1" applyFont="1" applyFill="1" applyBorder="1" applyAlignment="1">
      <alignment horizontal="center"/>
    </xf>
    <xf numFmtId="0" fontId="8" fillId="0" borderId="147" xfId="0" applyFont="1" applyBorder="1"/>
    <xf numFmtId="164" fontId="8" fillId="0" borderId="148" xfId="0" applyNumberFormat="1" applyFont="1" applyBorder="1" applyAlignment="1">
      <alignment horizontal="center"/>
    </xf>
    <xf numFmtId="164" fontId="8" fillId="0" borderId="149" xfId="0" applyNumberFormat="1" applyFont="1" applyBorder="1"/>
    <xf numFmtId="0" fontId="9" fillId="0" borderId="147" xfId="0" applyFont="1" applyBorder="1"/>
    <xf numFmtId="10" fontId="8" fillId="0" borderId="148" xfId="0" applyNumberFormat="1" applyFont="1" applyBorder="1" applyAlignment="1">
      <alignment horizontal="center"/>
    </xf>
    <xf numFmtId="10" fontId="8" fillId="0" borderId="132" xfId="0" applyNumberFormat="1" applyFont="1" applyBorder="1" applyAlignment="1">
      <alignment horizontal="center"/>
    </xf>
    <xf numFmtId="0" fontId="8" fillId="0" borderId="150" xfId="0" applyFont="1" applyBorder="1"/>
    <xf numFmtId="0" fontId="9" fillId="0" borderId="151" xfId="0" applyFont="1" applyBorder="1" applyAlignment="1">
      <alignment horizontal="center"/>
    </xf>
    <xf numFmtId="0" fontId="9" fillId="0" borderId="152" xfId="0" applyFont="1" applyBorder="1" applyAlignment="1">
      <alignment horizontal="center"/>
    </xf>
    <xf numFmtId="0" fontId="9" fillId="0" borderId="153" xfId="0" applyFont="1" applyBorder="1" applyAlignment="1">
      <alignment horizontal="center"/>
    </xf>
    <xf numFmtId="0" fontId="9" fillId="0" borderId="154" xfId="0" applyFont="1" applyBorder="1" applyAlignment="1">
      <alignment horizontal="center"/>
    </xf>
    <xf numFmtId="0" fontId="8" fillId="0" borderId="132" xfId="0" applyFont="1" applyBorder="1" applyAlignment="1">
      <alignment horizontal="center"/>
    </xf>
    <xf numFmtId="0" fontId="8" fillId="0" borderId="155" xfId="0" applyFont="1" applyBorder="1" applyAlignment="1">
      <alignment horizontal="center"/>
    </xf>
    <xf numFmtId="0" fontId="8" fillId="0" borderId="156" xfId="0" applyFont="1" applyBorder="1"/>
    <xf numFmtId="167" fontId="8" fillId="19" borderId="154" xfId="0" applyNumberFormat="1" applyFont="1" applyFill="1" applyBorder="1" applyAlignment="1">
      <alignment horizontal="center"/>
    </xf>
    <xf numFmtId="0" fontId="8" fillId="0" borderId="153" xfId="0" applyFont="1" applyBorder="1"/>
    <xf numFmtId="167" fontId="8" fillId="0" borderId="154" xfId="0" applyNumberFormat="1" applyFont="1" applyBorder="1" applyAlignment="1">
      <alignment horizontal="center"/>
    </xf>
    <xf numFmtId="167" fontId="8" fillId="0" borderId="154" xfId="0" applyNumberFormat="1" applyFont="1" applyBorder="1"/>
    <xf numFmtId="0" fontId="9" fillId="0" borderId="157" xfId="0" applyFont="1" applyBorder="1"/>
    <xf numFmtId="167" fontId="8" fillId="0" borderId="158" xfId="0" applyNumberFormat="1" applyFont="1" applyBorder="1" applyAlignment="1">
      <alignment horizontal="center"/>
    </xf>
    <xf numFmtId="167" fontId="8" fillId="19" borderId="159" xfId="0" applyNumberFormat="1" applyFont="1" applyFill="1" applyBorder="1" applyAlignment="1">
      <alignment horizontal="center"/>
    </xf>
    <xf numFmtId="169" fontId="8" fillId="0" borderId="0" xfId="0" applyNumberFormat="1" applyFont="1" applyAlignment="1">
      <alignment horizontal="center"/>
    </xf>
    <xf numFmtId="0" fontId="9" fillId="0" borderId="150" xfId="0" applyFont="1" applyBorder="1"/>
    <xf numFmtId="169" fontId="9" fillId="0" borderId="151" xfId="0" applyNumberFormat="1" applyFont="1" applyBorder="1" applyAlignment="1">
      <alignment horizontal="center"/>
    </xf>
    <xf numFmtId="169" fontId="9" fillId="0" borderId="152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60" xfId="0" applyFont="1" applyBorder="1"/>
    <xf numFmtId="0" fontId="9" fillId="0" borderId="155" xfId="0" applyFont="1" applyBorder="1" applyAlignment="1">
      <alignment horizontal="center"/>
    </xf>
    <xf numFmtId="0" fontId="9" fillId="0" borderId="156" xfId="0" applyFont="1" applyBorder="1"/>
    <xf numFmtId="167" fontId="8" fillId="0" borderId="161" xfId="0" applyNumberFormat="1" applyFont="1" applyBorder="1" applyAlignment="1">
      <alignment horizontal="center"/>
    </xf>
    <xf numFmtId="0" fontId="9" fillId="0" borderId="153" xfId="0" applyFont="1" applyBorder="1"/>
    <xf numFmtId="169" fontId="8" fillId="19" borderId="23" xfId="0" applyNumberFormat="1" applyFont="1" applyFill="1" applyBorder="1" applyAlignment="1">
      <alignment horizontal="left"/>
    </xf>
    <xf numFmtId="0" fontId="9" fillId="0" borderId="162" xfId="0" applyFont="1" applyBorder="1"/>
    <xf numFmtId="167" fontId="8" fillId="0" borderId="148" xfId="0" applyNumberFormat="1" applyFont="1" applyBorder="1" applyAlignment="1">
      <alignment horizontal="center"/>
    </xf>
    <xf numFmtId="167" fontId="8" fillId="0" borderId="163" xfId="0" applyNumberFormat="1" applyFont="1" applyBorder="1" applyAlignment="1">
      <alignment horizontal="center"/>
    </xf>
    <xf numFmtId="169" fontId="8" fillId="12" borderId="23" xfId="0" applyNumberFormat="1" applyFont="1" applyFill="1" applyBorder="1"/>
    <xf numFmtId="172" fontId="8" fillId="0" borderId="148" xfId="0" applyNumberFormat="1" applyFont="1" applyBorder="1" applyAlignment="1">
      <alignment horizontal="center"/>
    </xf>
    <xf numFmtId="172" fontId="8" fillId="0" borderId="163" xfId="0" applyNumberFormat="1" applyFont="1" applyBorder="1" applyAlignment="1">
      <alignment horizontal="center"/>
    </xf>
    <xf numFmtId="172" fontId="8" fillId="0" borderId="158" xfId="0" applyNumberFormat="1" applyFont="1" applyBorder="1" applyAlignment="1">
      <alignment horizontal="center"/>
    </xf>
    <xf numFmtId="172" fontId="8" fillId="0" borderId="159" xfId="0" applyNumberFormat="1" applyFont="1" applyBorder="1" applyAlignment="1">
      <alignment horizontal="center"/>
    </xf>
    <xf numFmtId="0" fontId="9" fillId="0" borderId="150" xfId="0" applyFont="1" applyBorder="1" applyAlignment="1">
      <alignment horizontal="center"/>
    </xf>
    <xf numFmtId="0" fontId="9" fillId="0" borderId="160" xfId="0" applyFont="1" applyBorder="1" applyAlignment="1">
      <alignment horizontal="center"/>
    </xf>
    <xf numFmtId="0" fontId="8" fillId="0" borderId="164" xfId="0" applyFont="1" applyBorder="1"/>
    <xf numFmtId="167" fontId="8" fillId="0" borderId="138" xfId="0" applyNumberFormat="1" applyFont="1" applyBorder="1" applyAlignment="1">
      <alignment horizontal="center"/>
    </xf>
    <xf numFmtId="167" fontId="8" fillId="0" borderId="165" xfId="0" applyNumberFormat="1" applyFont="1" applyBorder="1" applyAlignment="1">
      <alignment horizontal="center"/>
    </xf>
    <xf numFmtId="164" fontId="8" fillId="0" borderId="154" xfId="0" applyNumberFormat="1" applyFont="1" applyBorder="1"/>
    <xf numFmtId="9" fontId="8" fillId="0" borderId="154" xfId="0" applyNumberFormat="1" applyFont="1" applyBorder="1" applyAlignment="1">
      <alignment horizontal="center"/>
    </xf>
    <xf numFmtId="9" fontId="8" fillId="0" borderId="158" xfId="0" applyNumberFormat="1" applyFont="1" applyBorder="1" applyAlignment="1">
      <alignment horizontal="center"/>
    </xf>
    <xf numFmtId="9" fontId="8" fillId="0" borderId="159" xfId="0" applyNumberFormat="1" applyFont="1" applyBorder="1" applyAlignment="1">
      <alignment horizontal="center"/>
    </xf>
    <xf numFmtId="0" fontId="9" fillId="19" borderId="151" xfId="0" applyFont="1" applyFill="1" applyBorder="1" applyAlignment="1">
      <alignment horizontal="center"/>
    </xf>
    <xf numFmtId="0" fontId="12" fillId="0" borderId="150" xfId="0" applyFont="1" applyBorder="1" applyAlignment="1">
      <alignment horizontal="left"/>
    </xf>
    <xf numFmtId="0" fontId="12" fillId="0" borderId="151" xfId="0" applyFont="1" applyBorder="1" applyAlignment="1">
      <alignment horizontal="center"/>
    </xf>
    <xf numFmtId="0" fontId="12" fillId="0" borderId="152" xfId="0" applyFont="1" applyBorder="1" applyAlignment="1">
      <alignment horizontal="center"/>
    </xf>
    <xf numFmtId="173" fontId="8" fillId="0" borderId="137" xfId="0" applyNumberFormat="1" applyFont="1" applyBorder="1" applyAlignment="1">
      <alignment horizontal="center"/>
    </xf>
    <xf numFmtId="173" fontId="8" fillId="0" borderId="154" xfId="0" applyNumberFormat="1" applyFont="1" applyBorder="1" applyAlignment="1">
      <alignment horizontal="center"/>
    </xf>
    <xf numFmtId="167" fontId="26" fillId="0" borderId="137" xfId="0" applyNumberFormat="1" applyFont="1" applyBorder="1" applyAlignment="1">
      <alignment horizontal="center"/>
    </xf>
    <xf numFmtId="167" fontId="26" fillId="0" borderId="154" xfId="0" applyNumberFormat="1" applyFont="1" applyBorder="1" applyAlignment="1">
      <alignment horizontal="center"/>
    </xf>
    <xf numFmtId="0" fontId="8" fillId="0" borderId="153" xfId="0" applyFont="1" applyBorder="1" applyAlignment="1">
      <alignment horizontal="left"/>
    </xf>
    <xf numFmtId="167" fontId="9" fillId="19" borderId="137" xfId="0" applyNumberFormat="1" applyFont="1" applyFill="1" applyBorder="1" applyAlignment="1">
      <alignment horizontal="center"/>
    </xf>
    <xf numFmtId="167" fontId="9" fillId="19" borderId="154" xfId="0" applyNumberFormat="1" applyFont="1" applyFill="1" applyBorder="1" applyAlignment="1">
      <alignment horizontal="center"/>
    </xf>
    <xf numFmtId="3" fontId="8" fillId="0" borderId="137" xfId="0" applyNumberFormat="1" applyFont="1" applyBorder="1" applyAlignment="1">
      <alignment horizontal="right"/>
    </xf>
    <xf numFmtId="3" fontId="8" fillId="0" borderId="154" xfId="0" applyNumberFormat="1" applyFont="1" applyBorder="1" applyAlignment="1">
      <alignment horizontal="right"/>
    </xf>
    <xf numFmtId="167" fontId="9" fillId="0" borderId="154" xfId="0" applyNumberFormat="1" applyFont="1" applyBorder="1" applyAlignment="1">
      <alignment horizontal="center"/>
    </xf>
    <xf numFmtId="0" fontId="9" fillId="0" borderId="153" xfId="0" applyFont="1" applyBorder="1" applyAlignment="1">
      <alignment horizontal="left"/>
    </xf>
    <xf numFmtId="9" fontId="8" fillId="0" borderId="137" xfId="0" applyNumberFormat="1" applyFont="1" applyBorder="1"/>
    <xf numFmtId="9" fontId="8" fillId="0" borderId="154" xfId="0" applyNumberFormat="1" applyFont="1" applyBorder="1"/>
    <xf numFmtId="165" fontId="8" fillId="0" borderId="137" xfId="0" applyNumberFormat="1" applyFont="1" applyBorder="1"/>
    <xf numFmtId="165" fontId="8" fillId="0" borderId="154" xfId="0" applyNumberFormat="1" applyFont="1" applyBorder="1"/>
    <xf numFmtId="10" fontId="8" fillId="0" borderId="158" xfId="0" applyNumberFormat="1" applyFont="1" applyBorder="1"/>
    <xf numFmtId="10" fontId="8" fillId="0" borderId="159" xfId="0" applyNumberFormat="1" applyFont="1" applyBorder="1"/>
    <xf numFmtId="0" fontId="12" fillId="0" borderId="0" xfId="0" applyFont="1"/>
    <xf numFmtId="0" fontId="8" fillId="0" borderId="166" xfId="0" applyFont="1" applyBorder="1"/>
    <xf numFmtId="0" fontId="8" fillId="19" borderId="166" xfId="0" applyFont="1" applyFill="1" applyBorder="1"/>
    <xf numFmtId="165" fontId="8" fillId="0" borderId="166" xfId="0" applyNumberFormat="1" applyFont="1" applyBorder="1"/>
    <xf numFmtId="167" fontId="8" fillId="0" borderId="166" xfId="0" applyNumberFormat="1" applyFont="1" applyBorder="1"/>
    <xf numFmtId="3" fontId="8" fillId="19" borderId="166" xfId="0" applyNumberFormat="1" applyFont="1" applyFill="1" applyBorder="1"/>
    <xf numFmtId="173" fontId="8" fillId="19" borderId="166" xfId="0" applyNumberFormat="1" applyFont="1" applyFill="1" applyBorder="1"/>
    <xf numFmtId="0" fontId="12" fillId="0" borderId="167" xfId="0" applyFont="1" applyBorder="1" applyAlignment="1">
      <alignment horizontal="center"/>
    </xf>
    <xf numFmtId="0" fontId="12" fillId="0" borderId="168" xfId="0" applyFont="1" applyBorder="1" applyAlignment="1">
      <alignment horizontal="center"/>
    </xf>
    <xf numFmtId="0" fontId="12" fillId="0" borderId="169" xfId="0" applyFont="1" applyBorder="1" applyAlignment="1">
      <alignment horizontal="center"/>
    </xf>
    <xf numFmtId="0" fontId="9" fillId="0" borderId="170" xfId="0" applyFont="1" applyBorder="1"/>
    <xf numFmtId="0" fontId="8" fillId="0" borderId="170" xfId="0" applyFont="1" applyBorder="1"/>
    <xf numFmtId="164" fontId="8" fillId="0" borderId="163" xfId="0" applyNumberFormat="1" applyFont="1" applyBorder="1"/>
    <xf numFmtId="0" fontId="9" fillId="0" borderId="171" xfId="0" applyFont="1" applyBorder="1"/>
    <xf numFmtId="167" fontId="9" fillId="0" borderId="158" xfId="0" applyNumberFormat="1" applyFont="1" applyBorder="1" applyAlignment="1">
      <alignment horizontal="center"/>
    </xf>
    <xf numFmtId="167" fontId="9" fillId="0" borderId="159" xfId="0" applyNumberFormat="1" applyFont="1" applyBorder="1" applyAlignment="1">
      <alignment horizontal="center"/>
    </xf>
    <xf numFmtId="174" fontId="8" fillId="0" borderId="0" xfId="0" applyNumberFormat="1" applyFont="1"/>
    <xf numFmtId="0" fontId="9" fillId="0" borderId="132" xfId="0" applyFont="1" applyBorder="1" applyAlignment="1">
      <alignment horizontal="center" wrapText="1"/>
    </xf>
    <xf numFmtId="0" fontId="9" fillId="0" borderId="172" xfId="0" applyFont="1" applyBorder="1" applyAlignment="1">
      <alignment horizontal="center"/>
    </xf>
    <xf numFmtId="0" fontId="9" fillId="0" borderId="173" xfId="0" applyFont="1" applyBorder="1"/>
    <xf numFmtId="167" fontId="8" fillId="0" borderId="174" xfId="0" applyNumberFormat="1" applyFont="1" applyBorder="1" applyAlignment="1">
      <alignment horizontal="center"/>
    </xf>
    <xf numFmtId="167" fontId="8" fillId="0" borderId="141" xfId="0" applyNumberFormat="1" applyFont="1" applyBorder="1" applyAlignment="1">
      <alignment horizontal="center"/>
    </xf>
    <xf numFmtId="0" fontId="8" fillId="0" borderId="173" xfId="0" applyFont="1" applyBorder="1"/>
    <xf numFmtId="167" fontId="0" fillId="0" borderId="137" xfId="0" applyNumberFormat="1" applyFont="1" applyBorder="1" applyAlignment="1">
      <alignment horizontal="center"/>
    </xf>
    <xf numFmtId="167" fontId="8" fillId="0" borderId="143" xfId="0" applyNumberFormat="1" applyFont="1" applyBorder="1" applyAlignment="1">
      <alignment horizontal="center"/>
    </xf>
    <xf numFmtId="167" fontId="0" fillId="0" borderId="142" xfId="0" applyNumberFormat="1" applyFont="1" applyBorder="1" applyAlignment="1">
      <alignment horizontal="center"/>
    </xf>
    <xf numFmtId="167" fontId="0" fillId="19" borderId="137" xfId="0" applyNumberFormat="1" applyFont="1" applyFill="1" applyBorder="1" applyAlignment="1">
      <alignment horizontal="center"/>
    </xf>
    <xf numFmtId="0" fontId="8" fillId="15" borderId="23" xfId="0" applyFont="1" applyFill="1" applyBorder="1"/>
    <xf numFmtId="167" fontId="9" fillId="0" borderId="142" xfId="0" applyNumberFormat="1" applyFont="1" applyBorder="1" applyAlignment="1">
      <alignment horizontal="center"/>
    </xf>
    <xf numFmtId="167" fontId="8" fillId="19" borderId="142" xfId="0" applyNumberFormat="1" applyFont="1" applyFill="1" applyBorder="1" applyAlignment="1">
      <alignment horizontal="center"/>
    </xf>
    <xf numFmtId="0" fontId="9" fillId="0" borderId="175" xfId="0" applyFont="1" applyBorder="1"/>
    <xf numFmtId="0" fontId="9" fillId="0" borderId="176" xfId="0" applyFont="1" applyBorder="1"/>
    <xf numFmtId="0" fontId="12" fillId="0" borderId="167" xfId="0" applyFont="1" applyBorder="1" applyAlignment="1">
      <alignment horizontal="left"/>
    </xf>
    <xf numFmtId="0" fontId="12" fillId="0" borderId="177" xfId="0" applyFont="1" applyBorder="1" applyAlignment="1">
      <alignment horizontal="left"/>
    </xf>
    <xf numFmtId="0" fontId="12" fillId="0" borderId="173" xfId="0" applyFont="1" applyBorder="1" applyAlignment="1">
      <alignment horizontal="center"/>
    </xf>
    <xf numFmtId="0" fontId="12" fillId="0" borderId="178" xfId="0" applyFont="1" applyBorder="1" applyAlignment="1">
      <alignment horizontal="center"/>
    </xf>
    <xf numFmtId="0" fontId="9" fillId="0" borderId="162" xfId="0" applyFont="1" applyBorder="1" applyAlignment="1">
      <alignment horizontal="center"/>
    </xf>
    <xf numFmtId="0" fontId="9" fillId="0" borderId="179" xfId="0" applyFont="1" applyBorder="1"/>
    <xf numFmtId="167" fontId="8" fillId="0" borderId="180" xfId="0" applyNumberFormat="1" applyFont="1" applyBorder="1" applyAlignment="1">
      <alignment horizontal="center"/>
    </xf>
    <xf numFmtId="0" fontId="8" fillId="0" borderId="181" xfId="0" applyFont="1" applyBorder="1"/>
    <xf numFmtId="167" fontId="8" fillId="0" borderId="144" xfId="0" applyNumberFormat="1" applyFont="1" applyBorder="1" applyAlignment="1">
      <alignment horizontal="center"/>
    </xf>
    <xf numFmtId="0" fontId="9" fillId="0" borderId="181" xfId="0" applyFont="1" applyBorder="1"/>
    <xf numFmtId="167" fontId="27" fillId="3" borderId="23" xfId="0" applyNumberFormat="1" applyFont="1" applyFill="1" applyBorder="1" applyAlignment="1">
      <alignment horizontal="left"/>
    </xf>
    <xf numFmtId="0" fontId="9" fillId="0" borderId="181" xfId="0" applyFont="1" applyBorder="1" applyAlignment="1">
      <alignment horizontal="left"/>
    </xf>
    <xf numFmtId="0" fontId="9" fillId="0" borderId="182" xfId="0" applyFont="1" applyBorder="1"/>
    <xf numFmtId="167" fontId="8" fillId="0" borderId="183" xfId="0" applyNumberFormat="1" applyFont="1" applyBorder="1" applyAlignment="1">
      <alignment horizontal="center"/>
    </xf>
    <xf numFmtId="0" fontId="12" fillId="0" borderId="146" xfId="0" applyFont="1" applyBorder="1" applyAlignment="1">
      <alignment horizontal="left"/>
    </xf>
    <xf numFmtId="0" fontId="9" fillId="0" borderId="147" xfId="0" applyFont="1" applyBorder="1" applyAlignment="1">
      <alignment horizontal="center"/>
    </xf>
    <xf numFmtId="0" fontId="9" fillId="0" borderId="172" xfId="0" applyFont="1" applyBorder="1" applyAlignment="1">
      <alignment horizontal="center" wrapText="1"/>
    </xf>
    <xf numFmtId="0" fontId="9" fillId="0" borderId="133" xfId="0" applyFont="1" applyBorder="1" applyAlignment="1">
      <alignment horizontal="center" wrapText="1"/>
    </xf>
    <xf numFmtId="0" fontId="9" fillId="0" borderId="184" xfId="0" applyFont="1" applyBorder="1" applyAlignment="1">
      <alignment horizontal="center"/>
    </xf>
    <xf numFmtId="0" fontId="9" fillId="0" borderId="185" xfId="0" applyFont="1" applyBorder="1" applyAlignment="1">
      <alignment horizontal="center"/>
    </xf>
    <xf numFmtId="0" fontId="9" fillId="0" borderId="186" xfId="0" applyFont="1" applyBorder="1" applyAlignment="1">
      <alignment horizontal="center"/>
    </xf>
    <xf numFmtId="167" fontId="8" fillId="0" borderId="187" xfId="0" applyNumberFormat="1" applyFont="1" applyBorder="1" applyAlignment="1">
      <alignment horizontal="center"/>
    </xf>
    <xf numFmtId="167" fontId="8" fillId="0" borderId="133" xfId="0" applyNumberFormat="1" applyFont="1" applyBorder="1" applyAlignment="1">
      <alignment horizontal="center"/>
    </xf>
    <xf numFmtId="167" fontId="8" fillId="0" borderId="107" xfId="0" applyNumberFormat="1" applyFont="1" applyBorder="1"/>
    <xf numFmtId="175" fontId="8" fillId="0" borderId="107" xfId="0" applyNumberFormat="1" applyFont="1" applyBorder="1"/>
    <xf numFmtId="168" fontId="8" fillId="0" borderId="107" xfId="0" applyNumberFormat="1" applyFont="1" applyBorder="1"/>
    <xf numFmtId="0" fontId="24" fillId="25" borderId="188" xfId="0" applyFont="1" applyFill="1" applyBorder="1"/>
    <xf numFmtId="0" fontId="8" fillId="0" borderId="188" xfId="0" applyFont="1" applyBorder="1" applyAlignment="1">
      <alignment horizontal="center"/>
    </xf>
    <xf numFmtId="0" fontId="12" fillId="0" borderId="189" xfId="0" applyFont="1" applyBorder="1" applyAlignment="1">
      <alignment horizontal="left"/>
    </xf>
    <xf numFmtId="0" fontId="12" fillId="0" borderId="190" xfId="0" applyFont="1" applyBorder="1" applyAlignment="1">
      <alignment horizontal="left"/>
    </xf>
    <xf numFmtId="0" fontId="12" fillId="0" borderId="191" xfId="0" applyFont="1" applyBorder="1" applyAlignment="1">
      <alignment horizontal="left"/>
    </xf>
    <xf numFmtId="0" fontId="9" fillId="0" borderId="192" xfId="0" applyFont="1" applyBorder="1" applyAlignment="1">
      <alignment horizontal="center"/>
    </xf>
    <xf numFmtId="0" fontId="9" fillId="0" borderId="193" xfId="0" applyFont="1" applyBorder="1" applyAlignment="1">
      <alignment horizontal="center"/>
    </xf>
    <xf numFmtId="0" fontId="9" fillId="0" borderId="194" xfId="0" applyFont="1" applyBorder="1" applyAlignment="1">
      <alignment horizontal="center"/>
    </xf>
    <xf numFmtId="0" fontId="9" fillId="0" borderId="195" xfId="0" applyFont="1" applyBorder="1" applyAlignment="1">
      <alignment horizontal="center"/>
    </xf>
    <xf numFmtId="0" fontId="9" fillId="0" borderId="196" xfId="0" applyFont="1" applyBorder="1" applyAlignment="1">
      <alignment horizontal="center"/>
    </xf>
    <xf numFmtId="0" fontId="9" fillId="0" borderId="197" xfId="0" applyFont="1" applyBorder="1" applyAlignment="1">
      <alignment horizontal="center"/>
    </xf>
    <xf numFmtId="176" fontId="8" fillId="0" borderId="127" xfId="0" applyNumberFormat="1" applyFont="1" applyBorder="1"/>
    <xf numFmtId="9" fontId="8" fillId="0" borderId="138" xfId="0" applyNumberFormat="1" applyFont="1" applyBorder="1"/>
    <xf numFmtId="167" fontId="8" fillId="0" borderId="140" xfId="0" applyNumberFormat="1" applyFont="1" applyBorder="1" applyAlignment="1">
      <alignment horizontal="center"/>
    </xf>
    <xf numFmtId="176" fontId="8" fillId="0" borderId="136" xfId="0" applyNumberFormat="1" applyFont="1" applyBorder="1"/>
    <xf numFmtId="176" fontId="8" fillId="0" borderId="131" xfId="0" applyNumberFormat="1" applyFont="1" applyBorder="1"/>
    <xf numFmtId="167" fontId="8" fillId="0" borderId="132" xfId="0" applyNumberFormat="1" applyFont="1" applyBorder="1" applyAlignment="1">
      <alignment horizontal="center"/>
    </xf>
    <xf numFmtId="9" fontId="8" fillId="0" borderId="132" xfId="0" applyNumberFormat="1" applyFont="1" applyBorder="1"/>
    <xf numFmtId="167" fontId="8" fillId="0" borderId="149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center"/>
    </xf>
    <xf numFmtId="167" fontId="9" fillId="0" borderId="107" xfId="0" applyNumberFormat="1" applyFont="1" applyBorder="1" applyAlignment="1">
      <alignment horizontal="center"/>
    </xf>
    <xf numFmtId="167" fontId="9" fillId="0" borderId="0" xfId="0" applyNumberFormat="1" applyFont="1"/>
    <xf numFmtId="177" fontId="8" fillId="0" borderId="0" xfId="0" applyNumberFormat="1" applyFont="1"/>
    <xf numFmtId="49" fontId="8" fillId="0" borderId="127" xfId="0" applyNumberFormat="1" applyFont="1" applyBorder="1"/>
    <xf numFmtId="49" fontId="8" fillId="0" borderId="136" xfId="0" applyNumberFormat="1" applyFont="1" applyBorder="1"/>
    <xf numFmtId="176" fontId="8" fillId="0" borderId="136" xfId="0" applyNumberFormat="1" applyFont="1" applyBorder="1" applyAlignment="1">
      <alignment horizontal="left"/>
    </xf>
    <xf numFmtId="0" fontId="9" fillId="0" borderId="131" xfId="0" applyFont="1" applyBorder="1" applyAlignment="1">
      <alignment horizontal="center"/>
    </xf>
    <xf numFmtId="0" fontId="8" fillId="0" borderId="127" xfId="0" applyFont="1" applyBorder="1"/>
    <xf numFmtId="176" fontId="8" fillId="0" borderId="0" xfId="0" applyNumberFormat="1" applyFont="1"/>
    <xf numFmtId="176" fontId="8" fillId="0" borderId="0" xfId="0" applyNumberFormat="1" applyFont="1" applyAlignment="1">
      <alignment horizontal="left"/>
    </xf>
    <xf numFmtId="0" fontId="8" fillId="28" borderId="23" xfId="0" applyFont="1" applyFill="1" applyBorder="1"/>
    <xf numFmtId="167" fontId="8" fillId="3" borderId="137" xfId="0" applyNumberFormat="1" applyFont="1" applyFill="1" applyBorder="1" applyAlignment="1">
      <alignment horizontal="center"/>
    </xf>
    <xf numFmtId="167" fontId="8" fillId="19" borderId="198" xfId="0" applyNumberFormat="1" applyFont="1" applyFill="1" applyBorder="1" applyAlignment="1">
      <alignment horizontal="center"/>
    </xf>
    <xf numFmtId="167" fontId="8" fillId="3" borderId="142" xfId="0" applyNumberFormat="1" applyFont="1" applyFill="1" applyBorder="1" applyAlignment="1">
      <alignment horizontal="center"/>
    </xf>
    <xf numFmtId="178" fontId="8" fillId="0" borderId="0" xfId="0" applyNumberFormat="1" applyFont="1"/>
    <xf numFmtId="0" fontId="9" fillId="12" borderId="23" xfId="0" applyFont="1" applyFill="1" applyBorder="1" applyAlignment="1">
      <alignment horizontal="center" wrapText="1"/>
    </xf>
    <xf numFmtId="0" fontId="8" fillId="29" borderId="23" xfId="0" applyFont="1" applyFill="1" applyBorder="1"/>
    <xf numFmtId="0" fontId="8" fillId="0" borderId="199" xfId="0" applyFont="1" applyBorder="1"/>
    <xf numFmtId="167" fontId="8" fillId="3" borderId="198" xfId="0" applyNumberFormat="1" applyFont="1" applyFill="1" applyBorder="1" applyAlignment="1">
      <alignment horizontal="center"/>
    </xf>
    <xf numFmtId="167" fontId="9" fillId="0" borderId="141" xfId="0" applyNumberFormat="1" applyFont="1" applyBorder="1" applyAlignment="1">
      <alignment horizontal="center"/>
    </xf>
    <xf numFmtId="10" fontId="8" fillId="0" borderId="132" xfId="0" applyNumberFormat="1" applyFont="1" applyBorder="1"/>
    <xf numFmtId="0" fontId="12" fillId="15" borderId="23" xfId="0" applyFont="1" applyFill="1" applyBorder="1"/>
    <xf numFmtId="179" fontId="8" fillId="19" borderId="166" xfId="0" applyNumberFormat="1" applyFont="1" applyFill="1" applyBorder="1"/>
    <xf numFmtId="0" fontId="12" fillId="0" borderId="200" xfId="0" applyFont="1" applyBorder="1" applyAlignment="1">
      <alignment horizontal="left"/>
    </xf>
    <xf numFmtId="0" fontId="12" fillId="0" borderId="145" xfId="0" applyFont="1" applyBorder="1" applyAlignment="1">
      <alignment horizontal="center"/>
    </xf>
    <xf numFmtId="0" fontId="9" fillId="0" borderId="184" xfId="0" applyFont="1" applyBorder="1"/>
    <xf numFmtId="0" fontId="8" fillId="0" borderId="185" xfId="0" applyFont="1" applyBorder="1"/>
    <xf numFmtId="0" fontId="8" fillId="0" borderId="185" xfId="0" applyFont="1" applyBorder="1" applyAlignment="1">
      <alignment horizontal="left"/>
    </xf>
    <xf numFmtId="0" fontId="9" fillId="0" borderId="185" xfId="0" applyFont="1" applyBorder="1"/>
    <xf numFmtId="165" fontId="8" fillId="0" borderId="144" xfId="0" applyNumberFormat="1" applyFont="1" applyBorder="1" applyAlignment="1">
      <alignment horizontal="center"/>
    </xf>
    <xf numFmtId="0" fontId="9" fillId="0" borderId="185" xfId="0" applyFont="1" applyBorder="1" applyAlignment="1">
      <alignment horizontal="left"/>
    </xf>
    <xf numFmtId="167" fontId="8" fillId="3" borderId="201" xfId="0" applyNumberFormat="1" applyFont="1" applyFill="1" applyBorder="1" applyAlignment="1">
      <alignment horizontal="center"/>
    </xf>
    <xf numFmtId="0" fontId="9" fillId="0" borderId="186" xfId="0" applyFont="1" applyBorder="1"/>
    <xf numFmtId="0" fontId="9" fillId="0" borderId="148" xfId="0" applyFont="1" applyBorder="1" applyAlignment="1">
      <alignment horizontal="center"/>
    </xf>
    <xf numFmtId="0" fontId="9" fillId="0" borderId="149" xfId="0" applyFont="1" applyBorder="1" applyAlignment="1">
      <alignment horizontal="center"/>
    </xf>
    <xf numFmtId="173" fontId="8" fillId="0" borderId="138" xfId="0" applyNumberFormat="1" applyFont="1" applyBorder="1" applyAlignment="1">
      <alignment horizontal="center"/>
    </xf>
    <xf numFmtId="173" fontId="8" fillId="0" borderId="137" xfId="0" applyNumberFormat="1" applyFont="1" applyBorder="1"/>
    <xf numFmtId="173" fontId="8" fillId="3" borderId="137" xfId="0" applyNumberFormat="1" applyFont="1" applyFill="1" applyBorder="1" applyAlignment="1">
      <alignment horizontal="center"/>
    </xf>
    <xf numFmtId="173" fontId="8" fillId="0" borderId="142" xfId="0" applyNumberFormat="1" applyFont="1" applyBorder="1" applyAlignment="1">
      <alignment horizontal="center"/>
    </xf>
    <xf numFmtId="173" fontId="8" fillId="3" borderId="137" xfId="0" applyNumberFormat="1" applyFont="1" applyFill="1" applyBorder="1"/>
    <xf numFmtId="173" fontId="8" fillId="0" borderId="142" xfId="0" applyNumberFormat="1" applyFont="1" applyBorder="1"/>
    <xf numFmtId="173" fontId="8" fillId="3" borderId="142" xfId="0" applyNumberFormat="1" applyFont="1" applyFill="1" applyBorder="1"/>
    <xf numFmtId="173" fontId="8" fillId="0" borderId="0" xfId="0" applyNumberFormat="1" applyFont="1"/>
    <xf numFmtId="0" fontId="24" fillId="25" borderId="188" xfId="0" applyFont="1" applyFill="1" applyBorder="1" applyAlignment="1">
      <alignment horizontal="center"/>
    </xf>
    <xf numFmtId="0" fontId="12" fillId="0" borderId="202" xfId="0" applyFont="1" applyBorder="1" applyAlignment="1">
      <alignment horizontal="center"/>
    </xf>
    <xf numFmtId="0" fontId="9" fillId="0" borderId="203" xfId="0" applyFont="1" applyBorder="1"/>
    <xf numFmtId="0" fontId="8" fillId="0" borderId="203" xfId="0" applyFont="1" applyBorder="1"/>
    <xf numFmtId="173" fontId="8" fillId="0" borderId="154" xfId="0" applyNumberFormat="1" applyFont="1" applyBorder="1"/>
    <xf numFmtId="171" fontId="8" fillId="0" borderId="137" xfId="0" applyNumberFormat="1" applyFont="1" applyBorder="1" applyAlignment="1">
      <alignment horizontal="center"/>
    </xf>
    <xf numFmtId="180" fontId="8" fillId="0" borderId="154" xfId="0" applyNumberFormat="1" applyFont="1" applyBorder="1"/>
    <xf numFmtId="181" fontId="8" fillId="0" borderId="0" xfId="0" applyNumberFormat="1" applyFont="1"/>
    <xf numFmtId="173" fontId="8" fillId="0" borderId="143" xfId="0" applyNumberFormat="1" applyFont="1" applyBorder="1" applyAlignment="1">
      <alignment horizontal="center"/>
    </xf>
    <xf numFmtId="167" fontId="8" fillId="3" borderId="154" xfId="0" applyNumberFormat="1" applyFont="1" applyFill="1" applyBorder="1" applyAlignment="1">
      <alignment horizontal="center"/>
    </xf>
    <xf numFmtId="182" fontId="8" fillId="0" borderId="0" xfId="0" applyNumberFormat="1" applyFont="1"/>
    <xf numFmtId="183" fontId="8" fillId="0" borderId="0" xfId="0" applyNumberFormat="1" applyFont="1"/>
    <xf numFmtId="184" fontId="8" fillId="0" borderId="0" xfId="0" applyNumberFormat="1" applyFont="1"/>
    <xf numFmtId="167" fontId="8" fillId="0" borderId="158" xfId="0" applyNumberFormat="1" applyFont="1" applyBorder="1"/>
    <xf numFmtId="185" fontId="8" fillId="0" borderId="0" xfId="0" applyNumberFormat="1" applyFont="1"/>
    <xf numFmtId="186" fontId="8" fillId="0" borderId="0" xfId="0" applyNumberFormat="1" applyFont="1"/>
    <xf numFmtId="187" fontId="8" fillId="0" borderId="107" xfId="0" applyNumberFormat="1" applyFont="1" applyBorder="1"/>
    <xf numFmtId="0" fontId="9" fillId="0" borderId="0" xfId="0" applyFont="1" applyAlignment="1">
      <alignment horizontal="center" vertical="center"/>
    </xf>
    <xf numFmtId="9" fontId="8" fillId="0" borderId="107" xfId="0" applyNumberFormat="1" applyFont="1" applyBorder="1"/>
    <xf numFmtId="171" fontId="8" fillId="0" borderId="0" xfId="0" applyNumberFormat="1" applyFon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vertical="center" wrapText="1"/>
    </xf>
    <xf numFmtId="0" fontId="28" fillId="0" borderId="0" xfId="0" applyFont="1"/>
    <xf numFmtId="1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188" fontId="8" fillId="0" borderId="174" xfId="0" applyNumberFormat="1" applyFont="1" applyBorder="1" applyAlignment="1">
      <alignment horizontal="center"/>
    </xf>
    <xf numFmtId="188" fontId="8" fillId="0" borderId="143" xfId="0" applyNumberFormat="1" applyFont="1" applyBorder="1" applyAlignment="1">
      <alignment horizontal="center"/>
    </xf>
    <xf numFmtId="0" fontId="0" fillId="3" borderId="23" xfId="0" quotePrefix="1" applyFont="1" applyFill="1" applyBorder="1"/>
    <xf numFmtId="189" fontId="8" fillId="0" borderId="172" xfId="0" applyNumberFormat="1" applyFont="1" applyBorder="1" applyAlignment="1">
      <alignment horizontal="center"/>
    </xf>
    <xf numFmtId="188" fontId="8" fillId="0" borderId="0" xfId="0" applyNumberFormat="1" applyFont="1"/>
    <xf numFmtId="190" fontId="8" fillId="19" borderId="23" xfId="0" applyNumberFormat="1" applyFont="1" applyFill="1" applyBorder="1"/>
    <xf numFmtId="191" fontId="8" fillId="0" borderId="0" xfId="0" applyNumberFormat="1" applyFont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6" fillId="0" borderId="1" xfId="0" applyFont="1" applyBorder="1"/>
    <xf numFmtId="0" fontId="5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5" fillId="0" borderId="17" xfId="0" applyFont="1" applyBorder="1" applyAlignment="1">
      <alignment horizontal="center" vertical="center" wrapText="1"/>
    </xf>
    <xf numFmtId="0" fontId="6" fillId="0" borderId="17" xfId="0" applyFont="1" applyBorder="1"/>
    <xf numFmtId="0" fontId="4" fillId="0" borderId="17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/>
    <xf numFmtId="0" fontId="6" fillId="0" borderId="17" xfId="0" applyFont="1" applyBorder="1" applyAlignment="1">
      <alignment horizontal="center"/>
    </xf>
    <xf numFmtId="0" fontId="6" fillId="2" borderId="32" xfId="0" applyFont="1" applyFill="1" applyBorder="1"/>
    <xf numFmtId="0" fontId="3" fillId="0" borderId="33" xfId="0" applyFont="1" applyBorder="1"/>
    <xf numFmtId="0" fontId="4" fillId="2" borderId="1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4" fillId="0" borderId="37" xfId="0" applyFont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/>
    </xf>
    <xf numFmtId="0" fontId="3" fillId="0" borderId="28" xfId="0" applyFont="1" applyBorder="1"/>
    <xf numFmtId="0" fontId="3" fillId="0" borderId="31" xfId="0" applyFont="1" applyBorder="1"/>
    <xf numFmtId="0" fontId="4" fillId="3" borderId="25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  <xf numFmtId="0" fontId="3" fillId="0" borderId="29" xfId="0" applyFont="1" applyBorder="1"/>
    <xf numFmtId="0" fontId="3" fillId="0" borderId="30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6" fillId="5" borderId="37" xfId="0" applyFont="1" applyFill="1" applyBorder="1" applyAlignment="1">
      <alignment horizontal="center" vertical="center" wrapText="1"/>
    </xf>
    <xf numFmtId="0" fontId="3" fillId="0" borderId="39" xfId="0" applyFont="1" applyBorder="1"/>
    <xf numFmtId="0" fontId="4" fillId="5" borderId="40" xfId="0" applyFont="1" applyFill="1" applyBorder="1" applyAlignment="1">
      <alignment horizontal="center" vertical="center"/>
    </xf>
    <xf numFmtId="0" fontId="3" fillId="0" borderId="41" xfId="0" applyFont="1" applyBorder="1"/>
    <xf numFmtId="0" fontId="3" fillId="0" borderId="42" xfId="0" applyFont="1" applyBorder="1"/>
    <xf numFmtId="0" fontId="4" fillId="2" borderId="17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/>
    </xf>
    <xf numFmtId="0" fontId="13" fillId="0" borderId="71" xfId="0" applyFont="1" applyBorder="1" applyAlignment="1">
      <alignment horizontal="center" vertical="center" wrapText="1"/>
    </xf>
    <xf numFmtId="0" fontId="3" fillId="0" borderId="72" xfId="0" applyFont="1" applyBorder="1"/>
    <xf numFmtId="0" fontId="3" fillId="0" borderId="73" xfId="0" applyFont="1" applyBorder="1"/>
    <xf numFmtId="0" fontId="11" fillId="10" borderId="49" xfId="0" applyFont="1" applyFill="1" applyBorder="1" applyAlignment="1">
      <alignment horizontal="center" vertical="center"/>
    </xf>
    <xf numFmtId="165" fontId="11" fillId="10" borderId="48" xfId="0" applyNumberFormat="1" applyFont="1" applyFill="1" applyBorder="1" applyAlignment="1">
      <alignment horizontal="center" vertical="center"/>
    </xf>
    <xf numFmtId="0" fontId="3" fillId="0" borderId="51" xfId="0" applyFont="1" applyBorder="1"/>
    <xf numFmtId="0" fontId="10" fillId="9" borderId="47" xfId="0" applyFont="1" applyFill="1" applyBorder="1" applyAlignment="1">
      <alignment horizontal="center" wrapText="1"/>
    </xf>
    <xf numFmtId="0" fontId="3" fillId="0" borderId="50" xfId="0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0" xfId="0" applyFont="1"/>
    <xf numFmtId="0" fontId="5" fillId="0" borderId="17" xfId="0" applyFont="1" applyBorder="1" applyAlignment="1">
      <alignment horizontal="left"/>
    </xf>
    <xf numFmtId="0" fontId="12" fillId="0" borderId="95" xfId="0" applyFont="1" applyBorder="1" applyAlignment="1">
      <alignment horizontal="center" vertical="center" wrapText="1"/>
    </xf>
    <xf numFmtId="0" fontId="3" fillId="0" borderId="96" xfId="0" applyFont="1" applyBorder="1"/>
    <xf numFmtId="0" fontId="3" fillId="0" borderId="97" xfId="0" applyFont="1" applyBorder="1"/>
    <xf numFmtId="0" fontId="3" fillId="0" borderId="20" xfId="0" applyFont="1" applyBorder="1"/>
    <xf numFmtId="0" fontId="8" fillId="21" borderId="82" xfId="0" applyFont="1" applyFill="1" applyBorder="1" applyAlignment="1">
      <alignment horizontal="center" vertical="center" wrapText="1"/>
    </xf>
    <xf numFmtId="0" fontId="3" fillId="0" borderId="94" xfId="0" applyFont="1" applyBorder="1"/>
    <xf numFmtId="0" fontId="3" fillId="0" borderId="83" xfId="0" applyFont="1" applyBorder="1"/>
    <xf numFmtId="0" fontId="5" fillId="0" borderId="17" xfId="0" applyFont="1" applyBorder="1" applyAlignment="1">
      <alignment horizontal="left" vertical="center" wrapText="1"/>
    </xf>
    <xf numFmtId="0" fontId="9" fillId="18" borderId="32" xfId="0" applyFont="1" applyFill="1" applyBorder="1"/>
    <xf numFmtId="0" fontId="8" fillId="4" borderId="82" xfId="0" applyFont="1" applyFill="1" applyBorder="1" applyAlignment="1">
      <alignment horizontal="center" vertical="center" wrapText="1"/>
    </xf>
    <xf numFmtId="0" fontId="11" fillId="10" borderId="48" xfId="0" applyFont="1" applyFill="1" applyBorder="1" applyAlignment="1">
      <alignment horizontal="center" vertical="center"/>
    </xf>
    <xf numFmtId="0" fontId="9" fillId="17" borderId="68" xfId="0" applyFont="1" applyFill="1" applyBorder="1" applyAlignment="1">
      <alignment horizontal="center" vertical="center" wrapText="1"/>
    </xf>
    <xf numFmtId="0" fontId="3" fillId="0" borderId="69" xfId="0" applyFont="1" applyBorder="1"/>
    <xf numFmtId="0" fontId="3" fillId="0" borderId="70" xfId="0" applyFont="1" applyBorder="1"/>
    <xf numFmtId="0" fontId="3" fillId="0" borderId="87" xfId="0" applyFont="1" applyBorder="1"/>
    <xf numFmtId="0" fontId="3" fillId="0" borderId="88" xfId="0" applyFont="1" applyBorder="1"/>
    <xf numFmtId="0" fontId="3" fillId="0" borderId="84" xfId="0" applyFont="1" applyBorder="1"/>
    <xf numFmtId="0" fontId="2" fillId="0" borderId="17" xfId="0" applyFont="1" applyBorder="1"/>
    <xf numFmtId="0" fontId="9" fillId="16" borderId="32" xfId="0" applyFont="1" applyFill="1" applyBorder="1" applyAlignment="1">
      <alignment horizontal="center"/>
    </xf>
    <xf numFmtId="0" fontId="8" fillId="20" borderId="17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24" fillId="25" borderId="111" xfId="0" applyFont="1" applyFill="1" applyBorder="1" applyAlignment="1">
      <alignment horizontal="left" vertical="center" wrapText="1"/>
    </xf>
    <xf numFmtId="0" fontId="3" fillId="0" borderId="112" xfId="0" applyFont="1" applyBorder="1"/>
    <xf numFmtId="0" fontId="3" fillId="0" borderId="113" xfId="0" applyFont="1" applyBorder="1"/>
    <xf numFmtId="0" fontId="3" fillId="0" borderId="116" xfId="0" applyFont="1" applyBorder="1"/>
    <xf numFmtId="0" fontId="3" fillId="0" borderId="117" xfId="0" applyFont="1" applyBorder="1"/>
    <xf numFmtId="0" fontId="3" fillId="0" borderId="118" xfId="0" applyFont="1" applyBorder="1"/>
    <xf numFmtId="0" fontId="8" fillId="27" borderId="123" xfId="0" applyFont="1" applyFill="1" applyBorder="1" applyAlignment="1">
      <alignment horizontal="center"/>
    </xf>
    <xf numFmtId="0" fontId="3" fillId="0" borderId="124" xfId="0" applyFont="1" applyBorder="1"/>
    <xf numFmtId="0" fontId="3" fillId="0" borderId="125" xfId="0" applyFont="1" applyBorder="1"/>
    <xf numFmtId="0" fontId="22" fillId="25" borderId="108" xfId="0" applyFont="1" applyFill="1" applyBorder="1" applyAlignment="1">
      <alignment horizontal="center"/>
    </xf>
    <xf numFmtId="0" fontId="3" fillId="0" borderId="109" xfId="0" applyFont="1" applyBorder="1"/>
    <xf numFmtId="0" fontId="3" fillId="0" borderId="110" xfId="0" applyFont="1" applyBorder="1"/>
    <xf numFmtId="0" fontId="23" fillId="25" borderId="111" xfId="0" applyFont="1" applyFill="1" applyBorder="1" applyAlignment="1">
      <alignment horizontal="left" vertical="center" wrapText="1"/>
    </xf>
    <xf numFmtId="0" fontId="3" fillId="0" borderId="114" xfId="0" applyFont="1" applyBorder="1"/>
    <xf numFmtId="0" fontId="3" fillId="0" borderId="115" xfId="0" applyFont="1" applyBorder="1"/>
    <xf numFmtId="0" fontId="24" fillId="25" borderId="108" xfId="0" applyFont="1" applyFill="1" applyBorder="1" applyAlignment="1">
      <alignment horizontal="left" vertical="center"/>
    </xf>
    <xf numFmtId="0" fontId="9" fillId="0" borderId="128" xfId="0" applyFont="1" applyBorder="1" applyAlignment="1">
      <alignment horizontal="center"/>
    </xf>
    <xf numFmtId="0" fontId="3" fillId="0" borderId="129" xfId="0" applyFont="1" applyBorder="1"/>
    <xf numFmtId="0" fontId="3" fillId="0" borderId="130" xfId="0" applyFont="1" applyBorder="1"/>
    <xf numFmtId="0" fontId="3" fillId="0" borderId="139" xfId="0" applyFont="1" applyBorder="1"/>
    <xf numFmtId="0" fontId="9" fillId="0" borderId="143" xfId="0" applyFont="1" applyBorder="1" applyAlignment="1">
      <alignment horizontal="center"/>
    </xf>
    <xf numFmtId="0" fontId="3" fillId="0" borderId="144" xfId="0" applyFont="1" applyBorder="1"/>
    <xf numFmtId="0" fontId="3" fillId="0" borderId="145" xfId="0" applyFont="1" applyBorder="1"/>
    <xf numFmtId="0" fontId="24" fillId="25" borderId="10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4" fillId="25" borderId="108" xfId="0" applyFont="1" applyFill="1" applyBorder="1" applyAlignment="1">
      <alignment horizontal="center"/>
    </xf>
  </cellXfs>
  <cellStyles count="1">
    <cellStyle name="Normal" xfId="0" builtinId="0"/>
  </cellStyles>
  <dxfs count="43"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ont>
        <color rgb="FFFFFFFF"/>
      </font>
      <fill>
        <patternFill patternType="solid">
          <fgColor rgb="FFED1C24"/>
          <bgColor rgb="FFED1C24"/>
        </patternFill>
      </fill>
    </dxf>
    <dxf>
      <font>
        <color rgb="FFFFFFFF"/>
      </font>
      <fill>
        <patternFill patternType="solid">
          <fgColor rgb="FF62A73B"/>
          <bgColor rgb="FF62A73B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cat>
            <c:strRef>
              <c:f>'E-Costos'!$B$168:$B$199</c:f>
              <c:strCache>
                <c:ptCount val="32"/>
                <c:pt idx="0">
                  <c:v>Q</c:v>
                </c:pt>
                <c:pt idx="1">
                  <c:v>0</c:v>
                </c:pt>
                <c:pt idx="2">
                  <c:v>500</c:v>
                </c:pt>
                <c:pt idx="3">
                  <c:v>1.000</c:v>
                </c:pt>
                <c:pt idx="4">
                  <c:v>1.500</c:v>
                </c:pt>
                <c:pt idx="5">
                  <c:v>2.000</c:v>
                </c:pt>
                <c:pt idx="6">
                  <c:v>2.500</c:v>
                </c:pt>
                <c:pt idx="7">
                  <c:v>3.000</c:v>
                </c:pt>
                <c:pt idx="8">
                  <c:v>3.500</c:v>
                </c:pt>
                <c:pt idx="9">
                  <c:v>4.000</c:v>
                </c:pt>
                <c:pt idx="10">
                  <c:v>4.500</c:v>
                </c:pt>
                <c:pt idx="11">
                  <c:v>5000</c:v>
                </c:pt>
                <c:pt idx="12">
                  <c:v>5.500</c:v>
                </c:pt>
                <c:pt idx="13">
                  <c:v>6000</c:v>
                </c:pt>
                <c:pt idx="14">
                  <c:v>6.500</c:v>
                </c:pt>
                <c:pt idx="15">
                  <c:v>7000</c:v>
                </c:pt>
                <c:pt idx="16">
                  <c:v>7.500</c:v>
                </c:pt>
                <c:pt idx="17">
                  <c:v>8000</c:v>
                </c:pt>
                <c:pt idx="18">
                  <c:v>8.500</c:v>
                </c:pt>
                <c:pt idx="19">
                  <c:v>9000</c:v>
                </c:pt>
                <c:pt idx="20">
                  <c:v>9.500</c:v>
                </c:pt>
                <c:pt idx="21">
                  <c:v>10000</c:v>
                </c:pt>
                <c:pt idx="22">
                  <c:v>10.500</c:v>
                </c:pt>
                <c:pt idx="23">
                  <c:v>11000</c:v>
                </c:pt>
                <c:pt idx="24">
                  <c:v>11.500</c:v>
                </c:pt>
                <c:pt idx="25">
                  <c:v>12000</c:v>
                </c:pt>
                <c:pt idx="26">
                  <c:v>12.500</c:v>
                </c:pt>
                <c:pt idx="27">
                  <c:v>13000</c:v>
                </c:pt>
                <c:pt idx="28">
                  <c:v>13.500</c:v>
                </c:pt>
                <c:pt idx="29">
                  <c:v>14000</c:v>
                </c:pt>
                <c:pt idx="30">
                  <c:v>14.500</c:v>
                </c:pt>
                <c:pt idx="31">
                  <c:v>14850</c:v>
                </c:pt>
              </c:strCache>
            </c:strRef>
          </c:cat>
          <c:val>
            <c:numRef>
              <c:f>'E-Costos'!$C$169:$C$199</c:f>
              <c:numCache>
                <c:formatCode>[$ $]#,##0.00</c:formatCode>
                <c:ptCount val="31"/>
                <c:pt idx="0">
                  <c:v>0</c:v>
                </c:pt>
                <c:pt idx="1">
                  <c:v>713636.36363636365</c:v>
                </c:pt>
                <c:pt idx="2">
                  <c:v>1427272.7272727273</c:v>
                </c:pt>
                <c:pt idx="3">
                  <c:v>2140909.0909090908</c:v>
                </c:pt>
                <c:pt idx="4">
                  <c:v>2854545.4545454546</c:v>
                </c:pt>
                <c:pt idx="5">
                  <c:v>3568181.8181818184</c:v>
                </c:pt>
                <c:pt idx="6">
                  <c:v>4281818.1818181816</c:v>
                </c:pt>
                <c:pt idx="7">
                  <c:v>4995454.5454545449</c:v>
                </c:pt>
                <c:pt idx="8">
                  <c:v>5709090.9090909092</c:v>
                </c:pt>
                <c:pt idx="9">
                  <c:v>6422727.2727272725</c:v>
                </c:pt>
                <c:pt idx="10">
                  <c:v>7136363.6363636367</c:v>
                </c:pt>
                <c:pt idx="11">
                  <c:v>7850000</c:v>
                </c:pt>
                <c:pt idx="12">
                  <c:v>8563636.3636363633</c:v>
                </c:pt>
                <c:pt idx="13">
                  <c:v>9277272.7272727266</c:v>
                </c:pt>
                <c:pt idx="14">
                  <c:v>9990909.0909090899</c:v>
                </c:pt>
                <c:pt idx="15">
                  <c:v>10704545.454545455</c:v>
                </c:pt>
                <c:pt idx="16">
                  <c:v>11418181.818181818</c:v>
                </c:pt>
                <c:pt idx="17">
                  <c:v>12131818.181818182</c:v>
                </c:pt>
                <c:pt idx="18">
                  <c:v>12845454.545454545</c:v>
                </c:pt>
                <c:pt idx="19">
                  <c:v>13559090.909090908</c:v>
                </c:pt>
                <c:pt idx="20">
                  <c:v>14272727.272727273</c:v>
                </c:pt>
                <c:pt idx="21">
                  <c:v>14986363.636363637</c:v>
                </c:pt>
                <c:pt idx="22">
                  <c:v>15700000</c:v>
                </c:pt>
                <c:pt idx="23">
                  <c:v>16413636.363636363</c:v>
                </c:pt>
                <c:pt idx="24">
                  <c:v>17127272.727272727</c:v>
                </c:pt>
                <c:pt idx="25">
                  <c:v>17840909.09090909</c:v>
                </c:pt>
                <c:pt idx="26">
                  <c:v>18554545.454545453</c:v>
                </c:pt>
                <c:pt idx="27">
                  <c:v>19268181.818181816</c:v>
                </c:pt>
                <c:pt idx="28">
                  <c:v>19981818.18181818</c:v>
                </c:pt>
                <c:pt idx="29">
                  <c:v>20695454.545454547</c:v>
                </c:pt>
                <c:pt idx="30">
                  <c:v>21195000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0-4D21-B2AB-97BB99425DF3}"/>
            </c:ext>
          </c:extLst>
        </c:ser>
        <c:ser>
          <c:idx val="1"/>
          <c:order val="1"/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cat>
            <c:strRef>
              <c:f>'E-Costos'!$B$168:$B$199</c:f>
              <c:strCache>
                <c:ptCount val="32"/>
                <c:pt idx="0">
                  <c:v>Q</c:v>
                </c:pt>
                <c:pt idx="1">
                  <c:v>0</c:v>
                </c:pt>
                <c:pt idx="2">
                  <c:v>500</c:v>
                </c:pt>
                <c:pt idx="3">
                  <c:v>1.000</c:v>
                </c:pt>
                <c:pt idx="4">
                  <c:v>1.500</c:v>
                </c:pt>
                <c:pt idx="5">
                  <c:v>2.000</c:v>
                </c:pt>
                <c:pt idx="6">
                  <c:v>2.500</c:v>
                </c:pt>
                <c:pt idx="7">
                  <c:v>3.000</c:v>
                </c:pt>
                <c:pt idx="8">
                  <c:v>3.500</c:v>
                </c:pt>
                <c:pt idx="9">
                  <c:v>4.000</c:v>
                </c:pt>
                <c:pt idx="10">
                  <c:v>4.500</c:v>
                </c:pt>
                <c:pt idx="11">
                  <c:v>5000</c:v>
                </c:pt>
                <c:pt idx="12">
                  <c:v>5.500</c:v>
                </c:pt>
                <c:pt idx="13">
                  <c:v>6000</c:v>
                </c:pt>
                <c:pt idx="14">
                  <c:v>6.500</c:v>
                </c:pt>
                <c:pt idx="15">
                  <c:v>7000</c:v>
                </c:pt>
                <c:pt idx="16">
                  <c:v>7.500</c:v>
                </c:pt>
                <c:pt idx="17">
                  <c:v>8000</c:v>
                </c:pt>
                <c:pt idx="18">
                  <c:v>8.500</c:v>
                </c:pt>
                <c:pt idx="19">
                  <c:v>9000</c:v>
                </c:pt>
                <c:pt idx="20">
                  <c:v>9.500</c:v>
                </c:pt>
                <c:pt idx="21">
                  <c:v>10000</c:v>
                </c:pt>
                <c:pt idx="22">
                  <c:v>10.500</c:v>
                </c:pt>
                <c:pt idx="23">
                  <c:v>11000</c:v>
                </c:pt>
                <c:pt idx="24">
                  <c:v>11.500</c:v>
                </c:pt>
                <c:pt idx="25">
                  <c:v>12000</c:v>
                </c:pt>
                <c:pt idx="26">
                  <c:v>12.500</c:v>
                </c:pt>
                <c:pt idx="27">
                  <c:v>13000</c:v>
                </c:pt>
                <c:pt idx="28">
                  <c:v>13.500</c:v>
                </c:pt>
                <c:pt idx="29">
                  <c:v>14000</c:v>
                </c:pt>
                <c:pt idx="30">
                  <c:v>14.500</c:v>
                </c:pt>
                <c:pt idx="31">
                  <c:v>14850</c:v>
                </c:pt>
              </c:strCache>
            </c:strRef>
          </c:cat>
          <c:val>
            <c:numRef>
              <c:f>'E-Costos'!$D$169:$D$199</c:f>
              <c:numCache>
                <c:formatCode>[$ $]#,##0.00</c:formatCode>
                <c:ptCount val="31"/>
                <c:pt idx="0">
                  <c:v>0</c:v>
                </c:pt>
                <c:pt idx="1">
                  <c:v>268562.41924010834</c:v>
                </c:pt>
                <c:pt idx="2">
                  <c:v>537124.83848021668</c:v>
                </c:pt>
                <c:pt idx="3">
                  <c:v>805687.25772032503</c:v>
                </c:pt>
                <c:pt idx="4">
                  <c:v>1074249.6769604334</c:v>
                </c:pt>
                <c:pt idx="5">
                  <c:v>1342812.0962005416</c:v>
                </c:pt>
                <c:pt idx="6">
                  <c:v>1611374.5154406501</c:v>
                </c:pt>
                <c:pt idx="7">
                  <c:v>1879936.9346807583</c:v>
                </c:pt>
                <c:pt idx="8">
                  <c:v>2148499.3539208667</c:v>
                </c:pt>
                <c:pt idx="9">
                  <c:v>2417061.773160975</c:v>
                </c:pt>
                <c:pt idx="10">
                  <c:v>2685624.1924010832</c:v>
                </c:pt>
                <c:pt idx="11">
                  <c:v>2954186.6116411919</c:v>
                </c:pt>
                <c:pt idx="12">
                  <c:v>3222749.0308813001</c:v>
                </c:pt>
                <c:pt idx="13">
                  <c:v>3491311.4501214083</c:v>
                </c:pt>
                <c:pt idx="14">
                  <c:v>3759873.8693615166</c:v>
                </c:pt>
                <c:pt idx="15">
                  <c:v>4028436.2886016252</c:v>
                </c:pt>
                <c:pt idx="16">
                  <c:v>4296998.7078417335</c:v>
                </c:pt>
                <c:pt idx="17">
                  <c:v>4565561.1270818422</c:v>
                </c:pt>
                <c:pt idx="18">
                  <c:v>4834123.5463219499</c:v>
                </c:pt>
                <c:pt idx="19">
                  <c:v>5102685.9655620586</c:v>
                </c:pt>
                <c:pt idx="20">
                  <c:v>5371248.3848021664</c:v>
                </c:pt>
                <c:pt idx="21">
                  <c:v>5639810.8040422751</c:v>
                </c:pt>
                <c:pt idx="22">
                  <c:v>5908373.2232823838</c:v>
                </c:pt>
                <c:pt idx="23">
                  <c:v>6176935.6425224915</c:v>
                </c:pt>
                <c:pt idx="24">
                  <c:v>6445498.0617626002</c:v>
                </c:pt>
                <c:pt idx="25">
                  <c:v>6714060.4810027089</c:v>
                </c:pt>
                <c:pt idx="26">
                  <c:v>6982622.9002428167</c:v>
                </c:pt>
                <c:pt idx="27">
                  <c:v>7251185.3194829253</c:v>
                </c:pt>
                <c:pt idx="28">
                  <c:v>7519747.7387230331</c:v>
                </c:pt>
                <c:pt idx="29">
                  <c:v>7788310.1579631418</c:v>
                </c:pt>
                <c:pt idx="30">
                  <c:v>7976303.851431218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0-4D21-B2AB-97BB99425DF3}"/>
            </c:ext>
          </c:extLst>
        </c:ser>
        <c:ser>
          <c:idx val="2"/>
          <c:order val="2"/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'E-Costos'!$B$168:$B$199</c:f>
              <c:strCache>
                <c:ptCount val="32"/>
                <c:pt idx="0">
                  <c:v>Q</c:v>
                </c:pt>
                <c:pt idx="1">
                  <c:v>0</c:v>
                </c:pt>
                <c:pt idx="2">
                  <c:v>500</c:v>
                </c:pt>
                <c:pt idx="3">
                  <c:v>1.000</c:v>
                </c:pt>
                <c:pt idx="4">
                  <c:v>1.500</c:v>
                </c:pt>
                <c:pt idx="5">
                  <c:v>2.000</c:v>
                </c:pt>
                <c:pt idx="6">
                  <c:v>2.500</c:v>
                </c:pt>
                <c:pt idx="7">
                  <c:v>3.000</c:v>
                </c:pt>
                <c:pt idx="8">
                  <c:v>3.500</c:v>
                </c:pt>
                <c:pt idx="9">
                  <c:v>4.000</c:v>
                </c:pt>
                <c:pt idx="10">
                  <c:v>4.500</c:v>
                </c:pt>
                <c:pt idx="11">
                  <c:v>5000</c:v>
                </c:pt>
                <c:pt idx="12">
                  <c:v>5.500</c:v>
                </c:pt>
                <c:pt idx="13">
                  <c:v>6000</c:v>
                </c:pt>
                <c:pt idx="14">
                  <c:v>6.500</c:v>
                </c:pt>
                <c:pt idx="15">
                  <c:v>7000</c:v>
                </c:pt>
                <c:pt idx="16">
                  <c:v>7.500</c:v>
                </c:pt>
                <c:pt idx="17">
                  <c:v>8000</c:v>
                </c:pt>
                <c:pt idx="18">
                  <c:v>8.500</c:v>
                </c:pt>
                <c:pt idx="19">
                  <c:v>9000</c:v>
                </c:pt>
                <c:pt idx="20">
                  <c:v>9.500</c:v>
                </c:pt>
                <c:pt idx="21">
                  <c:v>10000</c:v>
                </c:pt>
                <c:pt idx="22">
                  <c:v>10.500</c:v>
                </c:pt>
                <c:pt idx="23">
                  <c:v>11000</c:v>
                </c:pt>
                <c:pt idx="24">
                  <c:v>11.500</c:v>
                </c:pt>
                <c:pt idx="25">
                  <c:v>12000</c:v>
                </c:pt>
                <c:pt idx="26">
                  <c:v>12.500</c:v>
                </c:pt>
                <c:pt idx="27">
                  <c:v>13000</c:v>
                </c:pt>
                <c:pt idx="28">
                  <c:v>13.500</c:v>
                </c:pt>
                <c:pt idx="29">
                  <c:v>14000</c:v>
                </c:pt>
                <c:pt idx="30">
                  <c:v>14.500</c:v>
                </c:pt>
                <c:pt idx="31">
                  <c:v>14850</c:v>
                </c:pt>
              </c:strCache>
            </c:strRef>
          </c:cat>
          <c:val>
            <c:numRef>
              <c:f>'E-Costos'!$E$169:$E$199</c:f>
              <c:numCache>
                <c:formatCode>_(\$* #,##0.00_);_(\$* \(#,##0.00\);_(\$* \-??_);_(@_)</c:formatCode>
                <c:ptCount val="31"/>
                <c:pt idx="0">
                  <c:v>7248534.383605211</c:v>
                </c:pt>
                <c:pt idx="1">
                  <c:v>7248534.383605211</c:v>
                </c:pt>
                <c:pt idx="2">
                  <c:v>7248534.383605211</c:v>
                </c:pt>
                <c:pt idx="3">
                  <c:v>7248534.383605211</c:v>
                </c:pt>
                <c:pt idx="4">
                  <c:v>7248534.383605211</c:v>
                </c:pt>
                <c:pt idx="5">
                  <c:v>7248534.383605211</c:v>
                </c:pt>
                <c:pt idx="6">
                  <c:v>7248534.383605211</c:v>
                </c:pt>
                <c:pt idx="7">
                  <c:v>7248534.383605211</c:v>
                </c:pt>
                <c:pt idx="8">
                  <c:v>7248534.383605211</c:v>
                </c:pt>
                <c:pt idx="9">
                  <c:v>7248534.383605211</c:v>
                </c:pt>
                <c:pt idx="10">
                  <c:v>7248534.383605211</c:v>
                </c:pt>
                <c:pt idx="11">
                  <c:v>7248534.383605211</c:v>
                </c:pt>
                <c:pt idx="12">
                  <c:v>7248534.383605211</c:v>
                </c:pt>
                <c:pt idx="13">
                  <c:v>7248534.383605211</c:v>
                </c:pt>
                <c:pt idx="14">
                  <c:v>7248534.383605211</c:v>
                </c:pt>
                <c:pt idx="15">
                  <c:v>7248534.383605211</c:v>
                </c:pt>
                <c:pt idx="16">
                  <c:v>7248534.383605211</c:v>
                </c:pt>
                <c:pt idx="17">
                  <c:v>7248534.383605211</c:v>
                </c:pt>
                <c:pt idx="18">
                  <c:v>7248534.383605211</c:v>
                </c:pt>
                <c:pt idx="19">
                  <c:v>7248534.383605211</c:v>
                </c:pt>
                <c:pt idx="20">
                  <c:v>7248534.383605211</c:v>
                </c:pt>
                <c:pt idx="21">
                  <c:v>7248534.383605211</c:v>
                </c:pt>
                <c:pt idx="22">
                  <c:v>7248534.383605211</c:v>
                </c:pt>
                <c:pt idx="23">
                  <c:v>7248534.383605211</c:v>
                </c:pt>
                <c:pt idx="24">
                  <c:v>7248534.383605211</c:v>
                </c:pt>
                <c:pt idx="25">
                  <c:v>7248534.383605211</c:v>
                </c:pt>
                <c:pt idx="26">
                  <c:v>7248534.383605211</c:v>
                </c:pt>
                <c:pt idx="27">
                  <c:v>7248534.383605211</c:v>
                </c:pt>
                <c:pt idx="28">
                  <c:v>7248534.383605211</c:v>
                </c:pt>
                <c:pt idx="29">
                  <c:v>7248534.383605211</c:v>
                </c:pt>
                <c:pt idx="30">
                  <c:v>7248534.383605211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10-4D21-B2AB-97BB99425DF3}"/>
            </c:ext>
          </c:extLst>
        </c:ser>
        <c:ser>
          <c:idx val="3"/>
          <c:order val="3"/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cat>
            <c:strRef>
              <c:f>'E-Costos'!$B$168:$B$199</c:f>
              <c:strCache>
                <c:ptCount val="32"/>
                <c:pt idx="0">
                  <c:v>Q</c:v>
                </c:pt>
                <c:pt idx="1">
                  <c:v>0</c:v>
                </c:pt>
                <c:pt idx="2">
                  <c:v>500</c:v>
                </c:pt>
                <c:pt idx="3">
                  <c:v>1.000</c:v>
                </c:pt>
                <c:pt idx="4">
                  <c:v>1.500</c:v>
                </c:pt>
                <c:pt idx="5">
                  <c:v>2.000</c:v>
                </c:pt>
                <c:pt idx="6">
                  <c:v>2.500</c:v>
                </c:pt>
                <c:pt idx="7">
                  <c:v>3.000</c:v>
                </c:pt>
                <c:pt idx="8">
                  <c:v>3.500</c:v>
                </c:pt>
                <c:pt idx="9">
                  <c:v>4.000</c:v>
                </c:pt>
                <c:pt idx="10">
                  <c:v>4.500</c:v>
                </c:pt>
                <c:pt idx="11">
                  <c:v>5000</c:v>
                </c:pt>
                <c:pt idx="12">
                  <c:v>5.500</c:v>
                </c:pt>
                <c:pt idx="13">
                  <c:v>6000</c:v>
                </c:pt>
                <c:pt idx="14">
                  <c:v>6.500</c:v>
                </c:pt>
                <c:pt idx="15">
                  <c:v>7000</c:v>
                </c:pt>
                <c:pt idx="16">
                  <c:v>7.500</c:v>
                </c:pt>
                <c:pt idx="17">
                  <c:v>8000</c:v>
                </c:pt>
                <c:pt idx="18">
                  <c:v>8.500</c:v>
                </c:pt>
                <c:pt idx="19">
                  <c:v>9000</c:v>
                </c:pt>
                <c:pt idx="20">
                  <c:v>9.500</c:v>
                </c:pt>
                <c:pt idx="21">
                  <c:v>10000</c:v>
                </c:pt>
                <c:pt idx="22">
                  <c:v>10.500</c:v>
                </c:pt>
                <c:pt idx="23">
                  <c:v>11000</c:v>
                </c:pt>
                <c:pt idx="24">
                  <c:v>11.500</c:v>
                </c:pt>
                <c:pt idx="25">
                  <c:v>12000</c:v>
                </c:pt>
                <c:pt idx="26">
                  <c:v>12.500</c:v>
                </c:pt>
                <c:pt idx="27">
                  <c:v>13000</c:v>
                </c:pt>
                <c:pt idx="28">
                  <c:v>13.500</c:v>
                </c:pt>
                <c:pt idx="29">
                  <c:v>14000</c:v>
                </c:pt>
                <c:pt idx="30">
                  <c:v>14.500</c:v>
                </c:pt>
                <c:pt idx="31">
                  <c:v>14850</c:v>
                </c:pt>
              </c:strCache>
            </c:strRef>
          </c:cat>
          <c:val>
            <c:numRef>
              <c:f>'E-Costos'!$F$169:$F$199</c:f>
              <c:numCache>
                <c:formatCode>[$ $]#,##0.00</c:formatCode>
                <c:ptCount val="31"/>
                <c:pt idx="0">
                  <c:v>7248534.383605211</c:v>
                </c:pt>
                <c:pt idx="1">
                  <c:v>7517096.8028453197</c:v>
                </c:pt>
                <c:pt idx="2">
                  <c:v>7785659.2220854275</c:v>
                </c:pt>
                <c:pt idx="3">
                  <c:v>8054221.6413255362</c:v>
                </c:pt>
                <c:pt idx="4">
                  <c:v>8322784.0605656449</c:v>
                </c:pt>
                <c:pt idx="5">
                  <c:v>8591346.4798057526</c:v>
                </c:pt>
                <c:pt idx="6">
                  <c:v>8859908.8990458604</c:v>
                </c:pt>
                <c:pt idx="7">
                  <c:v>9128471.31828597</c:v>
                </c:pt>
                <c:pt idx="8">
                  <c:v>9397033.7375260778</c:v>
                </c:pt>
                <c:pt idx="9">
                  <c:v>9665596.1567661855</c:v>
                </c:pt>
                <c:pt idx="10">
                  <c:v>9934158.5760062933</c:v>
                </c:pt>
                <c:pt idx="11">
                  <c:v>10202720.995246403</c:v>
                </c:pt>
                <c:pt idx="12">
                  <c:v>10471283.414486511</c:v>
                </c:pt>
                <c:pt idx="13">
                  <c:v>10739845.833726618</c:v>
                </c:pt>
                <c:pt idx="14">
                  <c:v>11008408.252966728</c:v>
                </c:pt>
                <c:pt idx="15">
                  <c:v>11276970.672206836</c:v>
                </c:pt>
                <c:pt idx="16">
                  <c:v>11545533.091446944</c:v>
                </c:pt>
                <c:pt idx="17">
                  <c:v>11814095.510687053</c:v>
                </c:pt>
                <c:pt idx="18">
                  <c:v>12082657.929927161</c:v>
                </c:pt>
                <c:pt idx="19">
                  <c:v>12351220.349167269</c:v>
                </c:pt>
                <c:pt idx="20">
                  <c:v>12619782.768407378</c:v>
                </c:pt>
                <c:pt idx="21">
                  <c:v>12888345.187647486</c:v>
                </c:pt>
                <c:pt idx="22">
                  <c:v>13156907.606887594</c:v>
                </c:pt>
                <c:pt idx="23">
                  <c:v>13425470.026127703</c:v>
                </c:pt>
                <c:pt idx="24">
                  <c:v>13694032.445367811</c:v>
                </c:pt>
                <c:pt idx="25">
                  <c:v>13962594.864607919</c:v>
                </c:pt>
                <c:pt idx="26">
                  <c:v>14231157.283848029</c:v>
                </c:pt>
                <c:pt idx="27">
                  <c:v>14499719.703088136</c:v>
                </c:pt>
                <c:pt idx="28">
                  <c:v>14768282.122328244</c:v>
                </c:pt>
                <c:pt idx="29">
                  <c:v>15036844.541568354</c:v>
                </c:pt>
                <c:pt idx="30">
                  <c:v>15224838.235036429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10-4D21-B2AB-97BB99425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048643"/>
        <c:axId val="645351599"/>
      </c:lineChart>
      <c:catAx>
        <c:axId val="35804864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645351599"/>
        <c:crosses val="autoZero"/>
        <c:auto val="1"/>
        <c:lblAlgn val="ctr"/>
        <c:lblOffset val="100"/>
        <c:noMultiLvlLbl val="1"/>
      </c:catAx>
      <c:valAx>
        <c:axId val="6453515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[$ $]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358048643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t>PUNTO DE EQUILIBRIO AÑO 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6450960566228516E-2"/>
          <c:y val="0.13712509742147377"/>
          <c:w val="0.79422576844413006"/>
          <c:h val="0.77618818137136847"/>
        </c:manualLayout>
      </c:layout>
      <c:lineChart>
        <c:grouping val="standard"/>
        <c:varyColors val="1"/>
        <c:ser>
          <c:idx val="0"/>
          <c:order val="0"/>
          <c:tx>
            <c:strRef>
              <c:f>'E-Costos'!$C$139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cat>
            <c:numRef>
              <c:f>'E-Costos'!$B$140:$B$164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 formatCode="General">
                  <c:v>3500</c:v>
                </c:pt>
                <c:pt idx="8" formatCode="General">
                  <c:v>4000</c:v>
                </c:pt>
                <c:pt idx="9" formatCode="General">
                  <c:v>4500</c:v>
                </c:pt>
                <c:pt idx="10" formatCode="General">
                  <c:v>5000</c:v>
                </c:pt>
                <c:pt idx="11" formatCode="General">
                  <c:v>5500</c:v>
                </c:pt>
                <c:pt idx="12" formatCode="General">
                  <c:v>6000</c:v>
                </c:pt>
                <c:pt idx="13" formatCode="General">
                  <c:v>6500</c:v>
                </c:pt>
                <c:pt idx="14" formatCode="General">
                  <c:v>7000</c:v>
                </c:pt>
                <c:pt idx="15" formatCode="General">
                  <c:v>7500</c:v>
                </c:pt>
                <c:pt idx="16" formatCode="General">
                  <c:v>8000</c:v>
                </c:pt>
                <c:pt idx="17" formatCode="General">
                  <c:v>8500</c:v>
                </c:pt>
                <c:pt idx="18" formatCode="General">
                  <c:v>9000</c:v>
                </c:pt>
                <c:pt idx="19" formatCode="General">
                  <c:v>9500</c:v>
                </c:pt>
                <c:pt idx="20" formatCode="General">
                  <c:v>10000</c:v>
                </c:pt>
                <c:pt idx="21" formatCode="General">
                  <c:v>10500</c:v>
                </c:pt>
                <c:pt idx="22" formatCode="General">
                  <c:v>11000</c:v>
                </c:pt>
                <c:pt idx="23" formatCode="General">
                  <c:v>11500</c:v>
                </c:pt>
                <c:pt idx="24" formatCode="_(* #,##0.00_);_(* \(#,##0.00\);_(* \-??_);_(@_)">
                  <c:v>11880</c:v>
                </c:pt>
              </c:numCache>
            </c:numRef>
          </c:cat>
          <c:val>
            <c:numRef>
              <c:f>'E-Costos'!$C$140:$C$164</c:f>
              <c:numCache>
                <c:formatCode>[$ $]#,##0.00</c:formatCode>
                <c:ptCount val="25"/>
                <c:pt idx="0">
                  <c:v>0</c:v>
                </c:pt>
                <c:pt idx="1">
                  <c:v>713636.36363636365</c:v>
                </c:pt>
                <c:pt idx="2">
                  <c:v>1427272.7272727273</c:v>
                </c:pt>
                <c:pt idx="3">
                  <c:v>2140909.0909090908</c:v>
                </c:pt>
                <c:pt idx="4">
                  <c:v>2854545.4545454546</c:v>
                </c:pt>
                <c:pt idx="5">
                  <c:v>3568181.8181818184</c:v>
                </c:pt>
                <c:pt idx="6">
                  <c:v>4281818.1818181816</c:v>
                </c:pt>
                <c:pt idx="7">
                  <c:v>4995454.5454545449</c:v>
                </c:pt>
                <c:pt idx="8">
                  <c:v>5709090.9090909092</c:v>
                </c:pt>
                <c:pt idx="9">
                  <c:v>6422727.2727272725</c:v>
                </c:pt>
                <c:pt idx="10">
                  <c:v>7136363.6363636367</c:v>
                </c:pt>
                <c:pt idx="11">
                  <c:v>7850000</c:v>
                </c:pt>
                <c:pt idx="12">
                  <c:v>8563636.3636363633</c:v>
                </c:pt>
                <c:pt idx="13">
                  <c:v>9277272.7272727266</c:v>
                </c:pt>
                <c:pt idx="14">
                  <c:v>9990909.0909090899</c:v>
                </c:pt>
                <c:pt idx="15">
                  <c:v>10704545.454545455</c:v>
                </c:pt>
                <c:pt idx="16">
                  <c:v>11418181.818181818</c:v>
                </c:pt>
                <c:pt idx="17">
                  <c:v>12131818.181818182</c:v>
                </c:pt>
                <c:pt idx="18">
                  <c:v>12845454.545454545</c:v>
                </c:pt>
                <c:pt idx="19">
                  <c:v>13559090.909090908</c:v>
                </c:pt>
                <c:pt idx="20">
                  <c:v>14272727.272727273</c:v>
                </c:pt>
                <c:pt idx="21">
                  <c:v>14986363.636363637</c:v>
                </c:pt>
                <c:pt idx="22">
                  <c:v>15700000</c:v>
                </c:pt>
                <c:pt idx="23">
                  <c:v>16413636.363636363</c:v>
                </c:pt>
                <c:pt idx="24">
                  <c:v>16956000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F8-41B1-BE6E-33D03218C9F6}"/>
            </c:ext>
          </c:extLst>
        </c:ser>
        <c:ser>
          <c:idx val="1"/>
          <c:order val="1"/>
          <c:tx>
            <c:strRef>
              <c:f>'E-Costos'!$D$139</c:f>
              <c:strCache>
                <c:ptCount val="1"/>
                <c:pt idx="0">
                  <c:v>CV</c:v>
                </c:pt>
              </c:strCache>
            </c:strRef>
          </c:tx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cat>
            <c:numRef>
              <c:f>'E-Costos'!$B$140:$B$164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 formatCode="General">
                  <c:v>3500</c:v>
                </c:pt>
                <c:pt idx="8" formatCode="General">
                  <c:v>4000</c:v>
                </c:pt>
                <c:pt idx="9" formatCode="General">
                  <c:v>4500</c:v>
                </c:pt>
                <c:pt idx="10" formatCode="General">
                  <c:v>5000</c:v>
                </c:pt>
                <c:pt idx="11" formatCode="General">
                  <c:v>5500</c:v>
                </c:pt>
                <c:pt idx="12" formatCode="General">
                  <c:v>6000</c:v>
                </c:pt>
                <c:pt idx="13" formatCode="General">
                  <c:v>6500</c:v>
                </c:pt>
                <c:pt idx="14" formatCode="General">
                  <c:v>7000</c:v>
                </c:pt>
                <c:pt idx="15" formatCode="General">
                  <c:v>7500</c:v>
                </c:pt>
                <c:pt idx="16" formatCode="General">
                  <c:v>8000</c:v>
                </c:pt>
                <c:pt idx="17" formatCode="General">
                  <c:v>8500</c:v>
                </c:pt>
                <c:pt idx="18" formatCode="General">
                  <c:v>9000</c:v>
                </c:pt>
                <c:pt idx="19" formatCode="General">
                  <c:v>9500</c:v>
                </c:pt>
                <c:pt idx="20" formatCode="General">
                  <c:v>10000</c:v>
                </c:pt>
                <c:pt idx="21" formatCode="General">
                  <c:v>10500</c:v>
                </c:pt>
                <c:pt idx="22" formatCode="General">
                  <c:v>11000</c:v>
                </c:pt>
                <c:pt idx="23" formatCode="General">
                  <c:v>11500</c:v>
                </c:pt>
                <c:pt idx="24" formatCode="_(* #,##0.00_);_(* \(#,##0.00\);_(* \-??_);_(@_)">
                  <c:v>11880</c:v>
                </c:pt>
              </c:numCache>
            </c:numRef>
          </c:cat>
          <c:val>
            <c:numRef>
              <c:f>'E-Costos'!$D$140:$D$164</c:f>
              <c:numCache>
                <c:formatCode>[$ $]#,##0.00</c:formatCode>
                <c:ptCount val="25"/>
                <c:pt idx="0">
                  <c:v>0</c:v>
                </c:pt>
                <c:pt idx="1">
                  <c:v>279459.66279524501</c:v>
                </c:pt>
                <c:pt idx="2">
                  <c:v>558919.32559049001</c:v>
                </c:pt>
                <c:pt idx="3">
                  <c:v>838378.98838573496</c:v>
                </c:pt>
                <c:pt idx="4">
                  <c:v>1117838.65118098</c:v>
                </c:pt>
                <c:pt idx="5">
                  <c:v>1397298.313976225</c:v>
                </c:pt>
                <c:pt idx="6">
                  <c:v>1676757.9767714699</c:v>
                </c:pt>
                <c:pt idx="7">
                  <c:v>1956217.6395667149</c:v>
                </c:pt>
                <c:pt idx="8">
                  <c:v>2235677.3023619601</c:v>
                </c:pt>
                <c:pt idx="9">
                  <c:v>2515136.9651572048</c:v>
                </c:pt>
                <c:pt idx="10">
                  <c:v>2794596.62795245</c:v>
                </c:pt>
                <c:pt idx="11">
                  <c:v>3074056.2907476947</c:v>
                </c:pt>
                <c:pt idx="12">
                  <c:v>3353515.9535429399</c:v>
                </c:pt>
                <c:pt idx="13">
                  <c:v>3632975.6163381846</c:v>
                </c:pt>
                <c:pt idx="14">
                  <c:v>3912435.2791334298</c:v>
                </c:pt>
                <c:pt idx="15">
                  <c:v>4191894.9419286749</c:v>
                </c:pt>
                <c:pt idx="16">
                  <c:v>4471354.6047239201</c:v>
                </c:pt>
                <c:pt idx="17">
                  <c:v>4750814.2675191648</c:v>
                </c:pt>
                <c:pt idx="18">
                  <c:v>5030273.9303144095</c:v>
                </c:pt>
                <c:pt idx="19">
                  <c:v>5309733.5931096543</c:v>
                </c:pt>
                <c:pt idx="20">
                  <c:v>5589193.2559048999</c:v>
                </c:pt>
                <c:pt idx="21">
                  <c:v>5868652.9187001446</c:v>
                </c:pt>
                <c:pt idx="22">
                  <c:v>6148112.5814953893</c:v>
                </c:pt>
                <c:pt idx="23">
                  <c:v>6427572.244290635</c:v>
                </c:pt>
                <c:pt idx="24">
                  <c:v>6639961.5880150208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F8-41B1-BE6E-33D03218C9F6}"/>
            </c:ext>
          </c:extLst>
        </c:ser>
        <c:ser>
          <c:idx val="2"/>
          <c:order val="2"/>
          <c:tx>
            <c:strRef>
              <c:f>'E-Costos'!$E$139</c:f>
              <c:strCache>
                <c:ptCount val="1"/>
                <c:pt idx="0">
                  <c:v>CF</c:v>
                </c:pt>
              </c:strCache>
            </c:strRef>
          </c:tx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'E-Costos'!$B$140:$B$164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 formatCode="General">
                  <c:v>3500</c:v>
                </c:pt>
                <c:pt idx="8" formatCode="General">
                  <c:v>4000</c:v>
                </c:pt>
                <c:pt idx="9" formatCode="General">
                  <c:v>4500</c:v>
                </c:pt>
                <c:pt idx="10" formatCode="General">
                  <c:v>5000</c:v>
                </c:pt>
                <c:pt idx="11" formatCode="General">
                  <c:v>5500</c:v>
                </c:pt>
                <c:pt idx="12" formatCode="General">
                  <c:v>6000</c:v>
                </c:pt>
                <c:pt idx="13" formatCode="General">
                  <c:v>6500</c:v>
                </c:pt>
                <c:pt idx="14" formatCode="General">
                  <c:v>7000</c:v>
                </c:pt>
                <c:pt idx="15" formatCode="General">
                  <c:v>7500</c:v>
                </c:pt>
                <c:pt idx="16" formatCode="General">
                  <c:v>8000</c:v>
                </c:pt>
                <c:pt idx="17" formatCode="General">
                  <c:v>8500</c:v>
                </c:pt>
                <c:pt idx="18" formatCode="General">
                  <c:v>9000</c:v>
                </c:pt>
                <c:pt idx="19" formatCode="General">
                  <c:v>9500</c:v>
                </c:pt>
                <c:pt idx="20" formatCode="General">
                  <c:v>10000</c:v>
                </c:pt>
                <c:pt idx="21" formatCode="General">
                  <c:v>10500</c:v>
                </c:pt>
                <c:pt idx="22" formatCode="General">
                  <c:v>11000</c:v>
                </c:pt>
                <c:pt idx="23" formatCode="General">
                  <c:v>11500</c:v>
                </c:pt>
                <c:pt idx="24" formatCode="_(* #,##0.00_);_(* \(#,##0.00\);_(* \-??_);_(@_)">
                  <c:v>11880</c:v>
                </c:pt>
              </c:numCache>
            </c:numRef>
          </c:cat>
          <c:val>
            <c:numRef>
              <c:f>'E-Costos'!$E$140:$E$164</c:f>
              <c:numCache>
                <c:formatCode>_(\$* #,##0.00_);_(\$* \(#,##0.00\);_(\$* \-??_);_(@_)</c:formatCode>
                <c:ptCount val="25"/>
                <c:pt idx="0">
                  <c:v>6683105.0005407548</c:v>
                </c:pt>
                <c:pt idx="1">
                  <c:v>6683105.0005407548</c:v>
                </c:pt>
                <c:pt idx="2">
                  <c:v>6683105.0005407548</c:v>
                </c:pt>
                <c:pt idx="3">
                  <c:v>6683105.0005407548</c:v>
                </c:pt>
                <c:pt idx="4">
                  <c:v>6683105.0005407548</c:v>
                </c:pt>
                <c:pt idx="5">
                  <c:v>6683105.0005407548</c:v>
                </c:pt>
                <c:pt idx="6">
                  <c:v>6683105.0005407548</c:v>
                </c:pt>
                <c:pt idx="7">
                  <c:v>6683105.0005407548</c:v>
                </c:pt>
                <c:pt idx="8">
                  <c:v>6683105.0005407548</c:v>
                </c:pt>
                <c:pt idx="9">
                  <c:v>6683105.0005407548</c:v>
                </c:pt>
                <c:pt idx="10">
                  <c:v>6683105.0005407548</c:v>
                </c:pt>
                <c:pt idx="11">
                  <c:v>6683105.0005407548</c:v>
                </c:pt>
                <c:pt idx="12">
                  <c:v>6683105.0005407548</c:v>
                </c:pt>
                <c:pt idx="13">
                  <c:v>6683105.0005407548</c:v>
                </c:pt>
                <c:pt idx="14">
                  <c:v>6683105.0005407548</c:v>
                </c:pt>
                <c:pt idx="15">
                  <c:v>6683105.0005407548</c:v>
                </c:pt>
                <c:pt idx="16">
                  <c:v>6683105.0005407548</c:v>
                </c:pt>
                <c:pt idx="17">
                  <c:v>6683105.0005407548</c:v>
                </c:pt>
                <c:pt idx="18">
                  <c:v>6683105.0005407548</c:v>
                </c:pt>
                <c:pt idx="19">
                  <c:v>6683105.0005407548</c:v>
                </c:pt>
                <c:pt idx="20">
                  <c:v>6683105.0005407548</c:v>
                </c:pt>
                <c:pt idx="21">
                  <c:v>6683105.0005407548</c:v>
                </c:pt>
                <c:pt idx="22">
                  <c:v>6683105.0005407548</c:v>
                </c:pt>
                <c:pt idx="23">
                  <c:v>6683105.0005407548</c:v>
                </c:pt>
                <c:pt idx="24">
                  <c:v>6683105.0005407548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F8-41B1-BE6E-33D03218C9F6}"/>
            </c:ext>
          </c:extLst>
        </c:ser>
        <c:ser>
          <c:idx val="3"/>
          <c:order val="3"/>
          <c:tx>
            <c:strRef>
              <c:f>'E-Costos'!$F$139</c:f>
              <c:strCache>
                <c:ptCount val="1"/>
                <c:pt idx="0">
                  <c:v>CT</c:v>
                </c:pt>
              </c:strCache>
            </c:strRef>
          </c:tx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cat>
            <c:numRef>
              <c:f>'E-Costos'!$B$140:$B$164</c:f>
              <c:numCache>
                <c:formatCode>#,##0</c:formatCode>
                <c:ptCount val="25"/>
                <c:pt idx="0" formatCode="General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 formatCode="General">
                  <c:v>3500</c:v>
                </c:pt>
                <c:pt idx="8" formatCode="General">
                  <c:v>4000</c:v>
                </c:pt>
                <c:pt idx="9" formatCode="General">
                  <c:v>4500</c:v>
                </c:pt>
                <c:pt idx="10" formatCode="General">
                  <c:v>5000</c:v>
                </c:pt>
                <c:pt idx="11" formatCode="General">
                  <c:v>5500</c:v>
                </c:pt>
                <c:pt idx="12" formatCode="General">
                  <c:v>6000</c:v>
                </c:pt>
                <c:pt idx="13" formatCode="General">
                  <c:v>6500</c:v>
                </c:pt>
                <c:pt idx="14" formatCode="General">
                  <c:v>7000</c:v>
                </c:pt>
                <c:pt idx="15" formatCode="General">
                  <c:v>7500</c:v>
                </c:pt>
                <c:pt idx="16" formatCode="General">
                  <c:v>8000</c:v>
                </c:pt>
                <c:pt idx="17" formatCode="General">
                  <c:v>8500</c:v>
                </c:pt>
                <c:pt idx="18" formatCode="General">
                  <c:v>9000</c:v>
                </c:pt>
                <c:pt idx="19" formatCode="General">
                  <c:v>9500</c:v>
                </c:pt>
                <c:pt idx="20" formatCode="General">
                  <c:v>10000</c:v>
                </c:pt>
                <c:pt idx="21" formatCode="General">
                  <c:v>10500</c:v>
                </c:pt>
                <c:pt idx="22" formatCode="General">
                  <c:v>11000</c:v>
                </c:pt>
                <c:pt idx="23" formatCode="General">
                  <c:v>11500</c:v>
                </c:pt>
                <c:pt idx="24" formatCode="_(* #,##0.00_);_(* \(#,##0.00\);_(* \-??_);_(@_)">
                  <c:v>11880</c:v>
                </c:pt>
              </c:numCache>
            </c:numRef>
          </c:cat>
          <c:val>
            <c:numRef>
              <c:f>'E-Costos'!$F$140:$F$164</c:f>
              <c:numCache>
                <c:formatCode>[$ $]#,##0.00</c:formatCode>
                <c:ptCount val="25"/>
                <c:pt idx="0">
                  <c:v>6683105.0005407548</c:v>
                </c:pt>
                <c:pt idx="1">
                  <c:v>6962564.6633359995</c:v>
                </c:pt>
                <c:pt idx="2">
                  <c:v>7242024.3261312451</c:v>
                </c:pt>
                <c:pt idx="3">
                  <c:v>7521483.9889264898</c:v>
                </c:pt>
                <c:pt idx="4">
                  <c:v>7800943.6517217346</c:v>
                </c:pt>
                <c:pt idx="5">
                  <c:v>8080403.3145169802</c:v>
                </c:pt>
                <c:pt idx="6">
                  <c:v>8359862.9773122249</c:v>
                </c:pt>
                <c:pt idx="7">
                  <c:v>8639322.6401074696</c:v>
                </c:pt>
                <c:pt idx="8">
                  <c:v>8918782.3029027153</c:v>
                </c:pt>
                <c:pt idx="9">
                  <c:v>9198241.9656979591</c:v>
                </c:pt>
                <c:pt idx="10">
                  <c:v>9477701.6284932047</c:v>
                </c:pt>
                <c:pt idx="11">
                  <c:v>9757161.2912884504</c:v>
                </c:pt>
                <c:pt idx="12">
                  <c:v>10036620.954083694</c:v>
                </c:pt>
                <c:pt idx="13">
                  <c:v>10316080.61687894</c:v>
                </c:pt>
                <c:pt idx="14">
                  <c:v>10595540.279674184</c:v>
                </c:pt>
                <c:pt idx="15">
                  <c:v>10874999.942469429</c:v>
                </c:pt>
                <c:pt idx="16">
                  <c:v>11154459.605264675</c:v>
                </c:pt>
                <c:pt idx="17">
                  <c:v>11433919.268059921</c:v>
                </c:pt>
                <c:pt idx="18">
                  <c:v>11713378.930855164</c:v>
                </c:pt>
                <c:pt idx="19">
                  <c:v>11992838.593650408</c:v>
                </c:pt>
                <c:pt idx="20">
                  <c:v>12272298.256445654</c:v>
                </c:pt>
                <c:pt idx="21">
                  <c:v>12551757.919240899</c:v>
                </c:pt>
                <c:pt idx="22">
                  <c:v>12831217.582036145</c:v>
                </c:pt>
                <c:pt idx="23">
                  <c:v>13110677.244831391</c:v>
                </c:pt>
                <c:pt idx="24">
                  <c:v>13323066.588555776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F8-41B1-BE6E-33D03218C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392189"/>
        <c:axId val="209580012"/>
      </c:lineChart>
      <c:catAx>
        <c:axId val="1989392189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209580012"/>
        <c:crosses val="autoZero"/>
        <c:auto val="1"/>
        <c:lblAlgn val="ctr"/>
        <c:lblOffset val="100"/>
        <c:noMultiLvlLbl val="1"/>
      </c:catAx>
      <c:valAx>
        <c:axId val="2095800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[$ $]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1989392189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t>PUNTO DE EQUILIBRIO AÑO 1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6450960566228516E-2"/>
          <c:y val="0.13712509742147377"/>
          <c:w val="0.79422576844413006"/>
          <c:h val="0.77618818137136847"/>
        </c:manualLayout>
      </c:layout>
      <c:lineChart>
        <c:grouping val="standard"/>
        <c:varyColors val="1"/>
        <c:ser>
          <c:idx val="0"/>
          <c:order val="0"/>
          <c:tx>
            <c:strRef>
              <c:f>'F-2 Estructura'!$C$55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val>
            <c:numRef>
              <c:f>'F-2 Estructura'!$C$56:$C$80</c:f>
              <c:numCache>
                <c:formatCode>[$ $]#,##0.00</c:formatCode>
                <c:ptCount val="25"/>
                <c:pt idx="0">
                  <c:v>0</c:v>
                </c:pt>
                <c:pt idx="1">
                  <c:v>713636.36363636365</c:v>
                </c:pt>
                <c:pt idx="2">
                  <c:v>1427272.7272727273</c:v>
                </c:pt>
                <c:pt idx="3">
                  <c:v>2140909.0909090908</c:v>
                </c:pt>
                <c:pt idx="4">
                  <c:v>2854545.4545454546</c:v>
                </c:pt>
                <c:pt idx="5">
                  <c:v>3568181.8181818184</c:v>
                </c:pt>
                <c:pt idx="6">
                  <c:v>4281818.1818181816</c:v>
                </c:pt>
                <c:pt idx="7">
                  <c:v>4995454.5454545449</c:v>
                </c:pt>
                <c:pt idx="8">
                  <c:v>5709090.9090909092</c:v>
                </c:pt>
                <c:pt idx="9">
                  <c:v>6422727.2727272725</c:v>
                </c:pt>
                <c:pt idx="10">
                  <c:v>7136363.6363636367</c:v>
                </c:pt>
                <c:pt idx="11">
                  <c:v>7850000</c:v>
                </c:pt>
                <c:pt idx="12">
                  <c:v>8563636.3636363633</c:v>
                </c:pt>
                <c:pt idx="13">
                  <c:v>9277272.7272727266</c:v>
                </c:pt>
                <c:pt idx="14">
                  <c:v>9990909.0909090899</c:v>
                </c:pt>
                <c:pt idx="15">
                  <c:v>10704545.454545455</c:v>
                </c:pt>
                <c:pt idx="16">
                  <c:v>11418181.818181818</c:v>
                </c:pt>
                <c:pt idx="17">
                  <c:v>12131818.181818182</c:v>
                </c:pt>
                <c:pt idx="18">
                  <c:v>12845454.545454545</c:v>
                </c:pt>
                <c:pt idx="19">
                  <c:v>13559090.909090908</c:v>
                </c:pt>
                <c:pt idx="20">
                  <c:v>14272727.272727273</c:v>
                </c:pt>
                <c:pt idx="21">
                  <c:v>14986363.636363637</c:v>
                </c:pt>
                <c:pt idx="22">
                  <c:v>15700000</c:v>
                </c:pt>
                <c:pt idx="23">
                  <c:v>16413636.363636363</c:v>
                </c:pt>
                <c:pt idx="24">
                  <c:v>16956000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2-4990-A021-805013E7E93D}"/>
            </c:ext>
          </c:extLst>
        </c:ser>
        <c:ser>
          <c:idx val="1"/>
          <c:order val="1"/>
          <c:tx>
            <c:strRef>
              <c:f>'F-2 Estructura'!$D$55</c:f>
              <c:strCache>
                <c:ptCount val="1"/>
                <c:pt idx="0">
                  <c:v>CV</c:v>
                </c:pt>
              </c:strCache>
            </c:strRef>
          </c:tx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val>
            <c:numRef>
              <c:f>'F-2 Estructura'!$D$56:$D$80</c:f>
              <c:numCache>
                <c:formatCode>[$ $]#,##0.00</c:formatCode>
                <c:ptCount val="25"/>
                <c:pt idx="0">
                  <c:v>0</c:v>
                </c:pt>
                <c:pt idx="1">
                  <c:v>273464.45977976418</c:v>
                </c:pt>
                <c:pt idx="2">
                  <c:v>546928.91955952835</c:v>
                </c:pt>
                <c:pt idx="3">
                  <c:v>820393.37933929253</c:v>
                </c:pt>
                <c:pt idx="4">
                  <c:v>1093857.8391190567</c:v>
                </c:pt>
                <c:pt idx="5">
                  <c:v>1367322.298898821</c:v>
                </c:pt>
                <c:pt idx="6">
                  <c:v>1640786.7586785851</c:v>
                </c:pt>
                <c:pt idx="7">
                  <c:v>1914251.2184583494</c:v>
                </c:pt>
                <c:pt idx="8">
                  <c:v>2187715.6782381134</c:v>
                </c:pt>
                <c:pt idx="9">
                  <c:v>2461180.1380178775</c:v>
                </c:pt>
                <c:pt idx="10">
                  <c:v>2734644.597797642</c:v>
                </c:pt>
                <c:pt idx="11">
                  <c:v>3008109.0575774061</c:v>
                </c:pt>
                <c:pt idx="12">
                  <c:v>3281573.5173571701</c:v>
                </c:pt>
                <c:pt idx="13">
                  <c:v>3555037.9771369342</c:v>
                </c:pt>
                <c:pt idx="14">
                  <c:v>3828502.4369166987</c:v>
                </c:pt>
                <c:pt idx="15">
                  <c:v>4101966.8966964628</c:v>
                </c:pt>
                <c:pt idx="16">
                  <c:v>4375431.3564762268</c:v>
                </c:pt>
                <c:pt idx="17">
                  <c:v>4648895.8162559913</c:v>
                </c:pt>
                <c:pt idx="18">
                  <c:v>4922360.2760357549</c:v>
                </c:pt>
                <c:pt idx="19">
                  <c:v>5195824.7358155195</c:v>
                </c:pt>
                <c:pt idx="20">
                  <c:v>5469289.195595284</c:v>
                </c:pt>
                <c:pt idx="21">
                  <c:v>5742753.6553750476</c:v>
                </c:pt>
                <c:pt idx="22">
                  <c:v>6016218.1151548121</c:v>
                </c:pt>
                <c:pt idx="23">
                  <c:v>6289682.5749345766</c:v>
                </c:pt>
                <c:pt idx="24">
                  <c:v>6497515.5643671975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2-4990-A021-805013E7E93D}"/>
            </c:ext>
          </c:extLst>
        </c:ser>
        <c:ser>
          <c:idx val="2"/>
          <c:order val="2"/>
          <c:tx>
            <c:strRef>
              <c:f>'F-2 Estructura'!$E$55</c:f>
              <c:strCache>
                <c:ptCount val="1"/>
                <c:pt idx="0">
                  <c:v>CF</c:v>
                </c:pt>
              </c:strCache>
            </c:strRef>
          </c:tx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'F-2 Estructura'!$E$56:$E$80</c:f>
              <c:numCache>
                <c:formatCode>_(\$* #,##0.00_);_(\$* \(#,##0.00\);_(\$* \-??_);_(@_)</c:formatCode>
                <c:ptCount val="25"/>
                <c:pt idx="0">
                  <c:v>13763777.523296006</c:v>
                </c:pt>
                <c:pt idx="1">
                  <c:v>13763777.523296006</c:v>
                </c:pt>
                <c:pt idx="2">
                  <c:v>13763777.523296006</c:v>
                </c:pt>
                <c:pt idx="3">
                  <c:v>13763777.523296006</c:v>
                </c:pt>
                <c:pt idx="4">
                  <c:v>13763777.523296006</c:v>
                </c:pt>
                <c:pt idx="5">
                  <c:v>13763777.523296006</c:v>
                </c:pt>
                <c:pt idx="6">
                  <c:v>13763777.523296006</c:v>
                </c:pt>
                <c:pt idx="7">
                  <c:v>13763777.523296006</c:v>
                </c:pt>
                <c:pt idx="8">
                  <c:v>13763777.523296006</c:v>
                </c:pt>
                <c:pt idx="9">
                  <c:v>13763777.523296006</c:v>
                </c:pt>
                <c:pt idx="10">
                  <c:v>13763777.523296006</c:v>
                </c:pt>
                <c:pt idx="11">
                  <c:v>13763777.523296006</c:v>
                </c:pt>
                <c:pt idx="12">
                  <c:v>13763777.523296006</c:v>
                </c:pt>
                <c:pt idx="13">
                  <c:v>13763777.523296006</c:v>
                </c:pt>
                <c:pt idx="14">
                  <c:v>13763777.523296006</c:v>
                </c:pt>
                <c:pt idx="15">
                  <c:v>13763777.523296006</c:v>
                </c:pt>
                <c:pt idx="16">
                  <c:v>13763777.523296006</c:v>
                </c:pt>
                <c:pt idx="17">
                  <c:v>13763777.523296006</c:v>
                </c:pt>
                <c:pt idx="18">
                  <c:v>13763777.523296006</c:v>
                </c:pt>
                <c:pt idx="19">
                  <c:v>13763777.523296006</c:v>
                </c:pt>
                <c:pt idx="20">
                  <c:v>13763777.523296006</c:v>
                </c:pt>
                <c:pt idx="21">
                  <c:v>13763777.523296006</c:v>
                </c:pt>
                <c:pt idx="22">
                  <c:v>13763777.523296006</c:v>
                </c:pt>
                <c:pt idx="23">
                  <c:v>13763777.523296006</c:v>
                </c:pt>
                <c:pt idx="24">
                  <c:v>13763777.523296006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E2-4990-A021-805013E7E93D}"/>
            </c:ext>
          </c:extLst>
        </c:ser>
        <c:ser>
          <c:idx val="3"/>
          <c:order val="3"/>
          <c:tx>
            <c:strRef>
              <c:f>'F-2 Estructura'!$F$55</c:f>
              <c:strCache>
                <c:ptCount val="1"/>
                <c:pt idx="0">
                  <c:v>CT</c:v>
                </c:pt>
              </c:strCache>
            </c:strRef>
          </c:tx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val>
            <c:numRef>
              <c:f>'F-2 Estructura'!$F$56:$F$80</c:f>
              <c:numCache>
                <c:formatCode>[$ $]#,##0.00</c:formatCode>
                <c:ptCount val="25"/>
                <c:pt idx="0">
                  <c:v>13763777.523296006</c:v>
                </c:pt>
                <c:pt idx="1">
                  <c:v>14037241.98307577</c:v>
                </c:pt>
                <c:pt idx="2">
                  <c:v>14310706.442855535</c:v>
                </c:pt>
                <c:pt idx="3">
                  <c:v>14584170.902635299</c:v>
                </c:pt>
                <c:pt idx="4">
                  <c:v>14857635.362415062</c:v>
                </c:pt>
                <c:pt idx="5">
                  <c:v>15131099.822194828</c:v>
                </c:pt>
                <c:pt idx="6">
                  <c:v>15404564.281974591</c:v>
                </c:pt>
                <c:pt idx="7">
                  <c:v>15678028.741754355</c:v>
                </c:pt>
                <c:pt idx="8">
                  <c:v>15951493.201534119</c:v>
                </c:pt>
                <c:pt idx="9">
                  <c:v>16224957.661313884</c:v>
                </c:pt>
                <c:pt idx="10">
                  <c:v>16498422.121093648</c:v>
                </c:pt>
                <c:pt idx="11">
                  <c:v>16771886.580873411</c:v>
                </c:pt>
                <c:pt idx="12">
                  <c:v>17045351.040653177</c:v>
                </c:pt>
                <c:pt idx="13">
                  <c:v>17318815.500432938</c:v>
                </c:pt>
                <c:pt idx="14">
                  <c:v>17592279.960212704</c:v>
                </c:pt>
                <c:pt idx="15">
                  <c:v>17865744.419992469</c:v>
                </c:pt>
                <c:pt idx="16">
                  <c:v>18139208.879772231</c:v>
                </c:pt>
                <c:pt idx="17">
                  <c:v>18412673.339551996</c:v>
                </c:pt>
                <c:pt idx="18">
                  <c:v>18686137.799331762</c:v>
                </c:pt>
                <c:pt idx="19">
                  <c:v>18959602.259111524</c:v>
                </c:pt>
                <c:pt idx="20">
                  <c:v>19233066.718891289</c:v>
                </c:pt>
                <c:pt idx="21">
                  <c:v>19506531.178671055</c:v>
                </c:pt>
                <c:pt idx="22">
                  <c:v>19779995.638450816</c:v>
                </c:pt>
                <c:pt idx="23">
                  <c:v>20053460.098230582</c:v>
                </c:pt>
                <c:pt idx="24">
                  <c:v>20261293.087663203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E2-4990-A021-805013E7E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425874"/>
        <c:axId val="1984207913"/>
      </c:lineChart>
      <c:catAx>
        <c:axId val="83042587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1984207913"/>
        <c:crosses val="autoZero"/>
        <c:auto val="1"/>
        <c:lblAlgn val="ctr"/>
        <c:lblOffset val="100"/>
        <c:noMultiLvlLbl val="1"/>
      </c:catAx>
      <c:valAx>
        <c:axId val="19842079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[$ $]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830425874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 i="0"/>
            </a:pPr>
            <a:r>
              <a:t>PUNTO DE EQUILIBRIO AÑO 5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8.6450960566228516E-2"/>
          <c:y val="0.13712509742147377"/>
          <c:w val="0.79422576844413006"/>
          <c:h val="0.77618818137136847"/>
        </c:manualLayout>
      </c:layout>
      <c:lineChart>
        <c:grouping val="standard"/>
        <c:varyColors val="1"/>
        <c:ser>
          <c:idx val="0"/>
          <c:order val="0"/>
          <c:tx>
            <c:strRef>
              <c:f>'F-2 Estructura'!$C$84</c:f>
              <c:strCache>
                <c:ptCount val="1"/>
                <c:pt idx="0">
                  <c:v>Ventas</c:v>
                </c:pt>
              </c:strCache>
            </c:strRef>
          </c:tx>
          <c:spPr>
            <a:ln w="19050" cmpd="sng">
              <a:solidFill>
                <a:srgbClr val="3366CC"/>
              </a:solidFill>
              <a:prstDash val="solid"/>
            </a:ln>
          </c:spPr>
          <c:marker>
            <c:symbol val="none"/>
          </c:marker>
          <c:val>
            <c:numRef>
              <c:f>'F-2 Estructura'!$C$85:$C$115</c:f>
              <c:numCache>
                <c:formatCode>[$ $]#,##0.00</c:formatCode>
                <c:ptCount val="31"/>
                <c:pt idx="0">
                  <c:v>0</c:v>
                </c:pt>
                <c:pt idx="1">
                  <c:v>713636.36363636365</c:v>
                </c:pt>
                <c:pt idx="2">
                  <c:v>1427272.7272727273</c:v>
                </c:pt>
                <c:pt idx="3">
                  <c:v>2140909.0909090908</c:v>
                </c:pt>
                <c:pt idx="4">
                  <c:v>2854545.4545454546</c:v>
                </c:pt>
                <c:pt idx="5">
                  <c:v>3568181.8181818184</c:v>
                </c:pt>
                <c:pt idx="6">
                  <c:v>4281818.1818181816</c:v>
                </c:pt>
                <c:pt idx="7">
                  <c:v>4995454.5454545449</c:v>
                </c:pt>
                <c:pt idx="8">
                  <c:v>5709090.9090909092</c:v>
                </c:pt>
                <c:pt idx="9">
                  <c:v>6422727.2727272725</c:v>
                </c:pt>
                <c:pt idx="10">
                  <c:v>7136363.6363636367</c:v>
                </c:pt>
                <c:pt idx="11">
                  <c:v>7850000</c:v>
                </c:pt>
                <c:pt idx="12">
                  <c:v>8563636.3636363633</c:v>
                </c:pt>
                <c:pt idx="13">
                  <c:v>9277272.7272727266</c:v>
                </c:pt>
                <c:pt idx="14">
                  <c:v>9990909.0909090899</c:v>
                </c:pt>
                <c:pt idx="15">
                  <c:v>10704545.454545455</c:v>
                </c:pt>
                <c:pt idx="16">
                  <c:v>11418181.818181818</c:v>
                </c:pt>
                <c:pt idx="17">
                  <c:v>12131818.181818182</c:v>
                </c:pt>
                <c:pt idx="18">
                  <c:v>12845454.545454545</c:v>
                </c:pt>
                <c:pt idx="19">
                  <c:v>13559090.909090908</c:v>
                </c:pt>
                <c:pt idx="20">
                  <c:v>14272727.272727273</c:v>
                </c:pt>
                <c:pt idx="21">
                  <c:v>14986363.636363637</c:v>
                </c:pt>
                <c:pt idx="22">
                  <c:v>15700000</c:v>
                </c:pt>
                <c:pt idx="23">
                  <c:v>16413636.363636363</c:v>
                </c:pt>
                <c:pt idx="24">
                  <c:v>17127272.727272727</c:v>
                </c:pt>
                <c:pt idx="25">
                  <c:v>17840909.09090909</c:v>
                </c:pt>
                <c:pt idx="26">
                  <c:v>18554545.454545453</c:v>
                </c:pt>
                <c:pt idx="27">
                  <c:v>19268181.818181816</c:v>
                </c:pt>
                <c:pt idx="28">
                  <c:v>19981818.18181818</c:v>
                </c:pt>
                <c:pt idx="29">
                  <c:v>20695454.545454547</c:v>
                </c:pt>
                <c:pt idx="30">
                  <c:v>21195000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8-4143-96D0-DD36B7C036C1}"/>
            </c:ext>
          </c:extLst>
        </c:ser>
        <c:ser>
          <c:idx val="1"/>
          <c:order val="1"/>
          <c:tx>
            <c:strRef>
              <c:f>'F-2 Estructura'!$D$84</c:f>
              <c:strCache>
                <c:ptCount val="1"/>
                <c:pt idx="0">
                  <c:v>CV</c:v>
                </c:pt>
              </c:strCache>
            </c:strRef>
          </c:tx>
          <c:spPr>
            <a:ln w="19050" cmpd="sng">
              <a:solidFill>
                <a:srgbClr val="DC3912"/>
              </a:solidFill>
              <a:prstDash val="solid"/>
            </a:ln>
          </c:spPr>
          <c:marker>
            <c:symbol val="none"/>
          </c:marker>
          <c:val>
            <c:numRef>
              <c:f>'F-2 Estructura'!$D$85:$D$115</c:f>
              <c:numCache>
                <c:formatCode>[$ $]#,##0.00</c:formatCode>
                <c:ptCount val="31"/>
                <c:pt idx="0">
                  <c:v>0</c:v>
                </c:pt>
                <c:pt idx="1">
                  <c:v>263664.42604284768</c:v>
                </c:pt>
                <c:pt idx="2">
                  <c:v>527328.85208569537</c:v>
                </c:pt>
                <c:pt idx="3">
                  <c:v>790993.27812854317</c:v>
                </c:pt>
                <c:pt idx="4">
                  <c:v>1054657.7041713907</c:v>
                </c:pt>
                <c:pt idx="5">
                  <c:v>1318322.1302142385</c:v>
                </c:pt>
                <c:pt idx="6">
                  <c:v>1581986.5562570863</c:v>
                </c:pt>
                <c:pt idx="7">
                  <c:v>1845650.9822999339</c:v>
                </c:pt>
                <c:pt idx="8">
                  <c:v>2109315.4083427815</c:v>
                </c:pt>
                <c:pt idx="9">
                  <c:v>2372979.8343856293</c:v>
                </c:pt>
                <c:pt idx="10">
                  <c:v>2636644.2604284771</c:v>
                </c:pt>
                <c:pt idx="11">
                  <c:v>2900308.6864713249</c:v>
                </c:pt>
                <c:pt idx="12">
                  <c:v>3163973.1125141727</c:v>
                </c:pt>
                <c:pt idx="13">
                  <c:v>3427637.53855702</c:v>
                </c:pt>
                <c:pt idx="14">
                  <c:v>3691301.9645998678</c:v>
                </c:pt>
                <c:pt idx="15">
                  <c:v>3954966.3906427156</c:v>
                </c:pt>
                <c:pt idx="16">
                  <c:v>4218630.816685563</c:v>
                </c:pt>
                <c:pt idx="17">
                  <c:v>4482295.2427284112</c:v>
                </c:pt>
                <c:pt idx="18">
                  <c:v>4745959.6687712586</c:v>
                </c:pt>
                <c:pt idx="19">
                  <c:v>5009624.0948141068</c:v>
                </c:pt>
                <c:pt idx="20">
                  <c:v>5273288.5208569542</c:v>
                </c:pt>
                <c:pt idx="21">
                  <c:v>5536952.9468998015</c:v>
                </c:pt>
                <c:pt idx="22">
                  <c:v>5800617.3729426498</c:v>
                </c:pt>
                <c:pt idx="23">
                  <c:v>6064281.7989854971</c:v>
                </c:pt>
                <c:pt idx="24">
                  <c:v>6327946.2250283454</c:v>
                </c:pt>
                <c:pt idx="25">
                  <c:v>6591610.6510711927</c:v>
                </c:pt>
                <c:pt idx="26">
                  <c:v>6855275.07711404</c:v>
                </c:pt>
                <c:pt idx="27">
                  <c:v>7118939.5031568883</c:v>
                </c:pt>
                <c:pt idx="28">
                  <c:v>7382603.9291997356</c:v>
                </c:pt>
                <c:pt idx="29">
                  <c:v>7646268.3552425839</c:v>
                </c:pt>
                <c:pt idx="30">
                  <c:v>7830833.453472577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98-4143-96D0-DD36B7C036C1}"/>
            </c:ext>
          </c:extLst>
        </c:ser>
        <c:ser>
          <c:idx val="2"/>
          <c:order val="2"/>
          <c:tx>
            <c:strRef>
              <c:f>'F-2 Estructura'!$E$84</c:f>
              <c:strCache>
                <c:ptCount val="1"/>
                <c:pt idx="0">
                  <c:v>CF</c:v>
                </c:pt>
              </c:strCache>
            </c:strRef>
          </c:tx>
          <c:spPr>
            <a:ln w="19050" cmpd="sng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'F-2 Estructura'!$E$85:$E$115</c:f>
              <c:numCache>
                <c:formatCode>_(\$* #,##0.00_);_(\$* \(#,##0.00\);_(\$* \-??_);_(@_)</c:formatCode>
                <c:ptCount val="31"/>
                <c:pt idx="0">
                  <c:v>11367967.904760463</c:v>
                </c:pt>
                <c:pt idx="1">
                  <c:v>11367967.904760463</c:v>
                </c:pt>
                <c:pt idx="2">
                  <c:v>11367967.904760463</c:v>
                </c:pt>
                <c:pt idx="3">
                  <c:v>11367967.904760463</c:v>
                </c:pt>
                <c:pt idx="4">
                  <c:v>11367967.904760463</c:v>
                </c:pt>
                <c:pt idx="5">
                  <c:v>11367967.904760463</c:v>
                </c:pt>
                <c:pt idx="6">
                  <c:v>11367967.904760463</c:v>
                </c:pt>
                <c:pt idx="7">
                  <c:v>11367967.904760463</c:v>
                </c:pt>
                <c:pt idx="8">
                  <c:v>11367967.904760463</c:v>
                </c:pt>
                <c:pt idx="9">
                  <c:v>11367967.904760463</c:v>
                </c:pt>
                <c:pt idx="10">
                  <c:v>11367967.904760463</c:v>
                </c:pt>
                <c:pt idx="11">
                  <c:v>11367967.904760463</c:v>
                </c:pt>
                <c:pt idx="12">
                  <c:v>11367967.904760463</c:v>
                </c:pt>
                <c:pt idx="13">
                  <c:v>11367967.904760463</c:v>
                </c:pt>
                <c:pt idx="14">
                  <c:v>11367967.904760463</c:v>
                </c:pt>
                <c:pt idx="15">
                  <c:v>11367967.904760463</c:v>
                </c:pt>
                <c:pt idx="16">
                  <c:v>11367967.904760463</c:v>
                </c:pt>
                <c:pt idx="17">
                  <c:v>11367967.904760463</c:v>
                </c:pt>
                <c:pt idx="18">
                  <c:v>11367967.904760463</c:v>
                </c:pt>
                <c:pt idx="19">
                  <c:v>11367967.904760463</c:v>
                </c:pt>
                <c:pt idx="20">
                  <c:v>11367967.904760463</c:v>
                </c:pt>
                <c:pt idx="21">
                  <c:v>11367967.904760463</c:v>
                </c:pt>
                <c:pt idx="22">
                  <c:v>11367967.904760463</c:v>
                </c:pt>
                <c:pt idx="23">
                  <c:v>11367967.904760463</c:v>
                </c:pt>
                <c:pt idx="24">
                  <c:v>11367967.904760463</c:v>
                </c:pt>
                <c:pt idx="25">
                  <c:v>11367967.904760463</c:v>
                </c:pt>
                <c:pt idx="26">
                  <c:v>11367967.904760463</c:v>
                </c:pt>
                <c:pt idx="27">
                  <c:v>11367967.904760463</c:v>
                </c:pt>
                <c:pt idx="28">
                  <c:v>11367967.904760463</c:v>
                </c:pt>
                <c:pt idx="29">
                  <c:v>11367967.904760463</c:v>
                </c:pt>
                <c:pt idx="30">
                  <c:v>11367967.904760463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98-4143-96D0-DD36B7C036C1}"/>
            </c:ext>
          </c:extLst>
        </c:ser>
        <c:ser>
          <c:idx val="3"/>
          <c:order val="3"/>
          <c:tx>
            <c:strRef>
              <c:f>'F-2 Estructura'!$F$84</c:f>
              <c:strCache>
                <c:ptCount val="1"/>
                <c:pt idx="0">
                  <c:v>CT</c:v>
                </c:pt>
              </c:strCache>
            </c:strRef>
          </c:tx>
          <c:spPr>
            <a:ln w="19050" cmpd="sng">
              <a:solidFill>
                <a:srgbClr val="109618"/>
              </a:solidFill>
              <a:prstDash val="solid"/>
            </a:ln>
          </c:spPr>
          <c:marker>
            <c:symbol val="none"/>
          </c:marker>
          <c:val>
            <c:numRef>
              <c:f>'F-2 Estructura'!$F$85:$F$115</c:f>
              <c:numCache>
                <c:formatCode>[$ $]#,##0.00</c:formatCode>
                <c:ptCount val="31"/>
                <c:pt idx="0">
                  <c:v>11367967.904760463</c:v>
                </c:pt>
                <c:pt idx="1">
                  <c:v>11631632.33080331</c:v>
                </c:pt>
                <c:pt idx="2">
                  <c:v>11895296.756846158</c:v>
                </c:pt>
                <c:pt idx="3">
                  <c:v>12158961.182889007</c:v>
                </c:pt>
                <c:pt idx="4">
                  <c:v>12422625.608931854</c:v>
                </c:pt>
                <c:pt idx="5">
                  <c:v>12686290.034974702</c:v>
                </c:pt>
                <c:pt idx="6">
                  <c:v>12949954.461017549</c:v>
                </c:pt>
                <c:pt idx="7">
                  <c:v>13213618.887060396</c:v>
                </c:pt>
                <c:pt idx="8">
                  <c:v>13477283.313103244</c:v>
                </c:pt>
                <c:pt idx="9">
                  <c:v>13740947.739146093</c:v>
                </c:pt>
                <c:pt idx="10">
                  <c:v>14004612.16518894</c:v>
                </c:pt>
                <c:pt idx="11">
                  <c:v>14268276.591231788</c:v>
                </c:pt>
                <c:pt idx="12">
                  <c:v>14531941.017274637</c:v>
                </c:pt>
                <c:pt idx="13">
                  <c:v>14795605.443317484</c:v>
                </c:pt>
                <c:pt idx="14">
                  <c:v>15059269.869360331</c:v>
                </c:pt>
                <c:pt idx="15">
                  <c:v>15322934.295403179</c:v>
                </c:pt>
                <c:pt idx="16">
                  <c:v>15586598.721446026</c:v>
                </c:pt>
                <c:pt idx="17">
                  <c:v>15850263.147488873</c:v>
                </c:pt>
                <c:pt idx="18">
                  <c:v>16113927.573531721</c:v>
                </c:pt>
                <c:pt idx="19">
                  <c:v>16377591.99957457</c:v>
                </c:pt>
                <c:pt idx="20">
                  <c:v>16641256.425617417</c:v>
                </c:pt>
                <c:pt idx="21">
                  <c:v>16904920.851660267</c:v>
                </c:pt>
                <c:pt idx="22">
                  <c:v>17168585.277703114</c:v>
                </c:pt>
                <c:pt idx="23">
                  <c:v>17432249.703745961</c:v>
                </c:pt>
                <c:pt idx="24">
                  <c:v>17695914.129788809</c:v>
                </c:pt>
                <c:pt idx="25">
                  <c:v>17959578.555831656</c:v>
                </c:pt>
                <c:pt idx="26">
                  <c:v>18223242.981874503</c:v>
                </c:pt>
                <c:pt idx="27">
                  <c:v>18486907.407917351</c:v>
                </c:pt>
                <c:pt idx="28">
                  <c:v>18750571.833960198</c:v>
                </c:pt>
                <c:pt idx="29">
                  <c:v>19014236.260003045</c:v>
                </c:pt>
                <c:pt idx="30">
                  <c:v>19198801.358233042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98-4143-96D0-DD36B7C03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246028"/>
        <c:axId val="1611498824"/>
      </c:lineChart>
      <c:catAx>
        <c:axId val="95624602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b="0" i="0"/>
            </a:pPr>
            <a:endParaRPr lang="es-AR"/>
          </a:p>
        </c:txPr>
        <c:crossAx val="1611498824"/>
        <c:crosses val="autoZero"/>
        <c:auto val="1"/>
        <c:lblAlgn val="ctr"/>
        <c:lblOffset val="100"/>
        <c:noMultiLvlLbl val="1"/>
      </c:catAx>
      <c:valAx>
        <c:axId val="16114988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[$ $]#,##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/>
            </a:pPr>
            <a:endParaRPr lang="es-AR"/>
          </a:p>
        </c:txPr>
        <c:crossAx val="956246028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352425</xdr:colOff>
      <xdr:row>167</xdr:row>
      <xdr:rowOff>95250</xdr:rowOff>
    </xdr:from>
    <xdr:ext cx="14325600" cy="48006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123825</xdr:colOff>
      <xdr:row>138</xdr:row>
      <xdr:rowOff>133350</xdr:rowOff>
    </xdr:from>
    <xdr:ext cx="14573250" cy="455295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51</xdr:row>
      <xdr:rowOff>133350</xdr:rowOff>
    </xdr:from>
    <xdr:ext cx="11125200" cy="4714875"/>
    <xdr:graphicFrame macro="">
      <xdr:nvGraphicFramePr>
        <xdr:cNvPr id="3" name="Chart 3" title="Gráfic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476250</xdr:colOff>
      <xdr:row>88</xdr:row>
      <xdr:rowOff>133350</xdr:rowOff>
    </xdr:from>
    <xdr:ext cx="11125200" cy="4714875"/>
    <xdr:graphicFrame macro="">
      <xdr:nvGraphicFramePr>
        <xdr:cNvPr id="4" name="Chart 4" title="Gráfic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ya.go.cr/centroDocumetacion/catalogoGeneral/Estimaci%C3%B3n%20de%20consumo%20de%20agua%20potable%20en%20una%20casa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B1:P234"/>
  <sheetViews>
    <sheetView showGridLines="0" workbookViewId="0"/>
  </sheetViews>
  <sheetFormatPr defaultColWidth="14.44140625" defaultRowHeight="15" customHeight="1"/>
  <cols>
    <col min="1" max="1" width="11.44140625" customWidth="1"/>
    <col min="2" max="2" width="11.88671875" customWidth="1"/>
    <col min="3" max="3" width="11.44140625" customWidth="1"/>
    <col min="4" max="4" width="12.5546875" customWidth="1"/>
    <col min="5" max="6" width="11.44140625" customWidth="1"/>
    <col min="7" max="7" width="14.5546875" customWidth="1"/>
    <col min="8" max="8" width="8.5546875" customWidth="1"/>
    <col min="9" max="9" width="11.44140625" customWidth="1"/>
    <col min="10" max="10" width="12" customWidth="1"/>
    <col min="11" max="11" width="18.5546875" customWidth="1"/>
  </cols>
  <sheetData>
    <row r="1" spans="2:16" ht="18">
      <c r="D1" s="1" t="s">
        <v>18</v>
      </c>
    </row>
    <row r="3" spans="2:16" ht="14.4">
      <c r="B3" s="554" t="s">
        <v>19</v>
      </c>
      <c r="C3" s="555"/>
      <c r="D3" s="556"/>
      <c r="E3" s="3" t="s">
        <v>20</v>
      </c>
      <c r="F3" s="3"/>
    </row>
    <row r="5" spans="2:16" ht="14.4">
      <c r="B5" s="567" t="s">
        <v>21</v>
      </c>
      <c r="C5" s="555"/>
      <c r="D5" s="556"/>
      <c r="E5" s="2">
        <v>5</v>
      </c>
      <c r="F5" s="2" t="s">
        <v>22</v>
      </c>
    </row>
    <row r="6" spans="2:16" ht="14.4">
      <c r="B6" s="27"/>
      <c r="C6" s="27"/>
      <c r="D6" s="27"/>
      <c r="E6" s="27"/>
      <c r="F6" s="27"/>
    </row>
    <row r="7" spans="2:16" ht="14.4">
      <c r="B7" s="554" t="s">
        <v>23</v>
      </c>
      <c r="C7" s="555"/>
      <c r="D7" s="556"/>
      <c r="E7" s="25">
        <v>73</v>
      </c>
      <c r="F7" s="2" t="s">
        <v>24</v>
      </c>
    </row>
    <row r="11" spans="2:16" ht="14.4">
      <c r="B11" s="565" t="s">
        <v>25</v>
      </c>
      <c r="C11" s="558"/>
      <c r="D11" s="558"/>
      <c r="E11" s="558"/>
      <c r="F11" s="558"/>
      <c r="G11" s="559"/>
      <c r="H11" s="13">
        <v>101.60523483656486</v>
      </c>
      <c r="I11" s="28" t="s">
        <v>13</v>
      </c>
      <c r="J11" s="12"/>
      <c r="K11" s="28"/>
      <c r="M11" t="s">
        <v>26</v>
      </c>
      <c r="P11" t="e">
        <v>#REF!</v>
      </c>
    </row>
    <row r="12" spans="2:16" ht="14.4">
      <c r="B12" s="566" t="s">
        <v>27</v>
      </c>
      <c r="C12" s="558"/>
      <c r="D12" s="558"/>
      <c r="E12" s="558"/>
      <c r="F12" s="558"/>
      <c r="G12" s="559"/>
      <c r="H12" s="12">
        <v>1072.791630964394</v>
      </c>
      <c r="I12" s="28" t="s">
        <v>13</v>
      </c>
      <c r="J12" s="12"/>
      <c r="K12" s="28"/>
    </row>
    <row r="13" spans="2:16" ht="14.4">
      <c r="B13" s="565" t="s">
        <v>28</v>
      </c>
      <c r="C13" s="558"/>
      <c r="D13" s="558"/>
      <c r="E13" s="558"/>
      <c r="F13" s="558"/>
      <c r="G13" s="559"/>
      <c r="H13" s="13">
        <v>1174.3968658009589</v>
      </c>
      <c r="I13" s="28" t="s">
        <v>13</v>
      </c>
      <c r="J13" s="12"/>
      <c r="K13" s="28"/>
      <c r="M13" t="s">
        <v>29</v>
      </c>
      <c r="P13" t="e">
        <f>'DIM TECNICO - Balance Anual - M'!F33*#REF!</f>
        <v>#REF!</v>
      </c>
    </row>
    <row r="14" spans="2:16" ht="14.4">
      <c r="B14" s="565" t="s">
        <v>30</v>
      </c>
      <c r="C14" s="558"/>
      <c r="D14" s="558"/>
      <c r="E14" s="558"/>
      <c r="F14" s="558"/>
      <c r="G14" s="559"/>
      <c r="H14" s="13">
        <v>935.48568541666657</v>
      </c>
      <c r="I14" s="28" t="s">
        <v>13</v>
      </c>
      <c r="J14" s="12"/>
      <c r="K14" s="28"/>
    </row>
    <row r="15" spans="2:16" ht="14.4">
      <c r="B15" s="565" t="s">
        <v>31</v>
      </c>
      <c r="C15" s="558"/>
      <c r="D15" s="558"/>
      <c r="E15" s="558"/>
      <c r="F15" s="558"/>
      <c r="G15" s="559"/>
      <c r="H15" s="13">
        <v>238.91118038429238</v>
      </c>
      <c r="I15" s="28" t="s">
        <v>13</v>
      </c>
      <c r="J15" s="13"/>
      <c r="K15" s="28"/>
      <c r="M15" t="s">
        <v>32</v>
      </c>
      <c r="P15" t="e">
        <v>#REF!</v>
      </c>
    </row>
    <row r="18" spans="2:11" ht="14.4">
      <c r="B18" s="29" t="s">
        <v>33</v>
      </c>
      <c r="J18" s="30">
        <v>20.769657534246573</v>
      </c>
      <c r="K18" s="27" t="s">
        <v>13</v>
      </c>
    </row>
    <row r="20" spans="2:11" ht="14.4">
      <c r="B20" s="560" t="s">
        <v>34</v>
      </c>
      <c r="C20" s="555"/>
      <c r="D20" s="555"/>
      <c r="E20" s="556"/>
    </row>
    <row r="21" spans="2:11" ht="15.75" customHeight="1">
      <c r="B21" s="561" t="s">
        <v>35</v>
      </c>
      <c r="C21" s="562"/>
      <c r="D21" s="562"/>
      <c r="E21" s="563"/>
      <c r="F21" s="13">
        <v>16.778410270671756</v>
      </c>
      <c r="G21" s="28" t="s">
        <v>13</v>
      </c>
    </row>
    <row r="22" spans="2:11" ht="15.75" customHeight="1">
      <c r="B22" s="557" t="s">
        <v>36</v>
      </c>
      <c r="C22" s="558"/>
      <c r="D22" s="558"/>
      <c r="E22" s="559"/>
      <c r="F22" s="13">
        <v>3.9912472635748166</v>
      </c>
      <c r="G22" s="28" t="s">
        <v>13</v>
      </c>
    </row>
    <row r="23" spans="2:11" ht="15.75" customHeight="1">
      <c r="B23" s="557" t="s">
        <v>37</v>
      </c>
      <c r="C23" s="558"/>
      <c r="D23" s="558"/>
      <c r="E23" s="559"/>
      <c r="F23" s="28">
        <v>0</v>
      </c>
      <c r="G23" s="28" t="s">
        <v>13</v>
      </c>
    </row>
    <row r="24" spans="2:11" ht="15.75" customHeight="1">
      <c r="B24" s="564" t="s">
        <v>38</v>
      </c>
      <c r="C24" s="558"/>
      <c r="D24" s="558"/>
      <c r="E24" s="559"/>
      <c r="F24" s="13">
        <v>20.769657534246573</v>
      </c>
      <c r="G24" s="28" t="s">
        <v>13</v>
      </c>
    </row>
    <row r="25" spans="2:11" ht="15.75" customHeight="1"/>
    <row r="26" spans="2:11" ht="15.75" customHeight="1">
      <c r="B26" s="560" t="s">
        <v>39</v>
      </c>
      <c r="C26" s="555"/>
      <c r="D26" s="555"/>
      <c r="E26" s="556"/>
    </row>
    <row r="27" spans="2:11" ht="15.75" customHeight="1">
      <c r="B27" s="557" t="s">
        <v>40</v>
      </c>
      <c r="C27" s="558"/>
      <c r="D27" s="559"/>
      <c r="E27" s="13">
        <v>1174.3968658009589</v>
      </c>
      <c r="F27" s="28" t="s">
        <v>13</v>
      </c>
      <c r="G27" s="13"/>
      <c r="H27" s="28"/>
    </row>
    <row r="28" spans="2:11" ht="15.75" customHeight="1">
      <c r="B28" s="557" t="s">
        <v>41</v>
      </c>
      <c r="C28" s="558"/>
      <c r="D28" s="559"/>
      <c r="E28" s="13">
        <v>20.769657534246573</v>
      </c>
      <c r="F28" s="28" t="s">
        <v>13</v>
      </c>
      <c r="G28" s="13"/>
      <c r="H28" s="28"/>
    </row>
    <row r="29" spans="2:11" ht="15.75" customHeight="1">
      <c r="B29" s="557" t="s">
        <v>42</v>
      </c>
      <c r="C29" s="558"/>
      <c r="D29" s="559"/>
      <c r="E29" s="13">
        <v>1195.1665233352055</v>
      </c>
      <c r="F29" s="28" t="s">
        <v>13</v>
      </c>
      <c r="G29" s="13"/>
      <c r="H29" s="28"/>
    </row>
    <row r="30" spans="2:11" ht="15.75" customHeight="1"/>
    <row r="31" spans="2:11" ht="15.75" customHeight="1">
      <c r="B31" s="560" t="s">
        <v>43</v>
      </c>
      <c r="C31" s="555"/>
      <c r="D31" s="555"/>
      <c r="E31" s="556"/>
    </row>
    <row r="32" spans="2:11" ht="15.75" customHeight="1">
      <c r="B32" s="557" t="s">
        <v>44</v>
      </c>
      <c r="C32" s="558"/>
      <c r="D32" s="559"/>
      <c r="E32" s="13">
        <v>1430.3888412858589</v>
      </c>
      <c r="F32" s="28" t="s">
        <v>13</v>
      </c>
      <c r="G32" s="13"/>
      <c r="H32" s="28"/>
    </row>
    <row r="33" spans="2:8" ht="15.75" customHeight="1">
      <c r="B33" s="557" t="s">
        <v>45</v>
      </c>
      <c r="C33" s="558"/>
      <c r="D33" s="559"/>
      <c r="E33" s="28">
        <v>1155.5149999999999</v>
      </c>
      <c r="F33" s="28" t="s">
        <v>13</v>
      </c>
      <c r="G33" s="28"/>
      <c r="H33" s="28"/>
    </row>
    <row r="34" spans="2:8" ht="15.75" customHeight="1">
      <c r="B34" s="557" t="s">
        <v>46</v>
      </c>
      <c r="C34" s="558"/>
      <c r="D34" s="559"/>
      <c r="E34" s="28">
        <v>274.87384128585904</v>
      </c>
      <c r="F34" s="28" t="s">
        <v>13</v>
      </c>
      <c r="G34" s="13"/>
      <c r="H34" s="28"/>
    </row>
    <row r="35" spans="2:8" ht="15.75" customHeight="1"/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/>
    <row r="42" spans="2:8" ht="15.75" customHeight="1"/>
    <row r="43" spans="2:8" ht="15.75" customHeight="1"/>
    <row r="44" spans="2:8" ht="15.75" customHeight="1"/>
    <row r="45" spans="2:8" ht="15.75" customHeight="1"/>
    <row r="46" spans="2:8" ht="15.75" customHeight="1"/>
    <row r="47" spans="2:8" ht="15.75" customHeight="1"/>
    <row r="48" spans="2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</sheetData>
  <mergeCells count="21">
    <mergeCell ref="B32:D32"/>
    <mergeCell ref="B34:D34"/>
    <mergeCell ref="B33:D33"/>
    <mergeCell ref="B31:E31"/>
    <mergeCell ref="B11:G11"/>
    <mergeCell ref="B12:G12"/>
    <mergeCell ref="B3:D3"/>
    <mergeCell ref="B5:D5"/>
    <mergeCell ref="B14:G14"/>
    <mergeCell ref="B7:D7"/>
    <mergeCell ref="B28:D28"/>
    <mergeCell ref="B29:D29"/>
    <mergeCell ref="B24:E24"/>
    <mergeCell ref="B20:E20"/>
    <mergeCell ref="B13:G13"/>
    <mergeCell ref="B15:G15"/>
    <mergeCell ref="B27:D27"/>
    <mergeCell ref="B26:E26"/>
    <mergeCell ref="B23:E23"/>
    <mergeCell ref="B21:E21"/>
    <mergeCell ref="B22:E22"/>
  </mergeCells>
  <pageMargins left="0.7" right="0.7" top="0.75" bottom="0.75" header="0" footer="0"/>
  <pageSetup orientation="landscape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225"/>
  <sheetViews>
    <sheetView showGridLines="0" workbookViewId="0"/>
  </sheetViews>
  <sheetFormatPr defaultColWidth="14.44140625" defaultRowHeight="15" customHeight="1"/>
  <cols>
    <col min="1" max="1" width="28" customWidth="1"/>
    <col min="2" max="2" width="16.44140625" customWidth="1"/>
    <col min="3" max="3" width="17.109375" customWidth="1"/>
    <col min="4" max="4" width="18.88671875" customWidth="1"/>
    <col min="5" max="5" width="20.109375" customWidth="1"/>
    <col min="6" max="6" width="17.44140625" customWidth="1"/>
    <col min="7" max="7" width="16.6640625" customWidth="1"/>
    <col min="8" max="8" width="15.33203125" customWidth="1"/>
    <col min="9" max="9" width="20.109375" customWidth="1"/>
    <col min="10" max="26" width="9" customWidth="1"/>
  </cols>
  <sheetData>
    <row r="1" spans="1:26" ht="14.25" customHeight="1">
      <c r="A1" s="244" t="s">
        <v>483</v>
      </c>
      <c r="E1" s="231"/>
      <c r="F1" s="231"/>
      <c r="G1" s="245">
        <f>InfoInicial!E1</f>
        <v>10</v>
      </c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3.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6.5" customHeight="1">
      <c r="A3" s="324" t="s">
        <v>736</v>
      </c>
      <c r="B3" s="325"/>
      <c r="C3" s="325"/>
      <c r="D3" s="325"/>
      <c r="E3" s="325"/>
      <c r="F3" s="325"/>
      <c r="G3" s="325"/>
      <c r="H3" s="325"/>
      <c r="I3" s="326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26.25" customHeight="1">
      <c r="A4" s="308" t="s">
        <v>586</v>
      </c>
      <c r="B4" s="417" t="s">
        <v>737</v>
      </c>
      <c r="C4" s="417" t="s">
        <v>738</v>
      </c>
      <c r="D4" s="263" t="s">
        <v>39</v>
      </c>
      <c r="E4" s="263" t="s">
        <v>425</v>
      </c>
      <c r="F4" s="263" t="s">
        <v>426</v>
      </c>
      <c r="G4" s="263" t="s">
        <v>427</v>
      </c>
      <c r="H4" s="418" t="s">
        <v>428</v>
      </c>
      <c r="I4" s="264" t="s">
        <v>277</v>
      </c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3.5" customHeight="1">
      <c r="A5" s="419" t="s">
        <v>739</v>
      </c>
      <c r="B5" s="327"/>
      <c r="C5" s="327"/>
      <c r="D5" s="327"/>
      <c r="E5" s="327"/>
      <c r="F5" s="327"/>
      <c r="G5" s="327"/>
      <c r="H5" s="420"/>
      <c r="I5" s="42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2.75" customHeight="1">
      <c r="A6" s="422" t="s">
        <v>740</v>
      </c>
      <c r="B6" s="297">
        <v>0</v>
      </c>
      <c r="C6" s="423">
        <f>SUM('E-Inv AF y Am'!B21,'E-Inv AF y Am'!D21)</f>
        <v>27762072.462799996</v>
      </c>
      <c r="D6" s="297">
        <v>0</v>
      </c>
      <c r="E6" s="297">
        <v>0</v>
      </c>
      <c r="F6" s="297">
        <v>0</v>
      </c>
      <c r="G6" s="297">
        <v>0</v>
      </c>
      <c r="H6" s="297">
        <v>0</v>
      </c>
      <c r="I6" s="328">
        <f>SUM(C6)</f>
        <v>27762072.462799996</v>
      </c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2.75" customHeight="1">
      <c r="A7" s="422" t="s">
        <v>741</v>
      </c>
      <c r="B7" s="423">
        <f>'E-Inv AF y Am'!B24</f>
        <v>11104.828985119999</v>
      </c>
      <c r="C7" s="423">
        <f>'E-Inv AF y Am'!B32-'E-Inv AF y Am'!B24</f>
        <v>36770.22999933199</v>
      </c>
      <c r="D7" s="423">
        <f>'E-Inv AF y Am'!C27</f>
        <v>278655.36042134126</v>
      </c>
      <c r="E7" s="297" t="s">
        <v>235</v>
      </c>
      <c r="F7" s="297" t="s">
        <v>235</v>
      </c>
      <c r="G7" s="297" t="s">
        <v>235</v>
      </c>
      <c r="H7" s="424" t="s">
        <v>235</v>
      </c>
      <c r="I7" s="425">
        <f>SUM(B7:D7)</f>
        <v>326530.41940579325</v>
      </c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2.75" customHeight="1">
      <c r="A8" s="419" t="s">
        <v>742</v>
      </c>
      <c r="B8" s="296">
        <f t="shared" ref="B8:D8" si="0">SUM(B6:B7)</f>
        <v>11104.828985119999</v>
      </c>
      <c r="C8" s="385">
        <f t="shared" si="0"/>
        <v>27798842.69279933</v>
      </c>
      <c r="D8" s="385">
        <f t="shared" si="0"/>
        <v>278655.36042134126</v>
      </c>
      <c r="E8" s="385">
        <v>0</v>
      </c>
      <c r="F8" s="385">
        <v>0</v>
      </c>
      <c r="G8" s="385">
        <v>0</v>
      </c>
      <c r="H8" s="385">
        <v>0</v>
      </c>
      <c r="I8" s="385">
        <f>SUM(I6:I7)</f>
        <v>28088602.882205788</v>
      </c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2.75" customHeight="1">
      <c r="A9" s="422"/>
      <c r="B9" s="297"/>
      <c r="C9" s="297"/>
      <c r="D9" s="297"/>
      <c r="E9" s="297"/>
      <c r="F9" s="297"/>
      <c r="G9" s="297"/>
      <c r="H9" s="424"/>
      <c r="I9" s="328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2.75" customHeight="1">
      <c r="A10" s="419" t="s">
        <v>743</v>
      </c>
      <c r="B10" s="297"/>
      <c r="C10" s="297"/>
      <c r="D10" s="297"/>
      <c r="E10" s="297"/>
      <c r="F10" s="297"/>
      <c r="G10" s="297"/>
      <c r="H10" s="424"/>
      <c r="I10" s="328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422" t="s">
        <v>744</v>
      </c>
      <c r="B11" s="423" t="s">
        <v>235</v>
      </c>
      <c r="C11" s="423">
        <f>'E-InvAT'!B6</f>
        <v>339120</v>
      </c>
      <c r="D11" s="423">
        <f>'E-InvAT'!C6-'E-InvAT'!B6</f>
        <v>84780</v>
      </c>
      <c r="E11" s="423">
        <f>'E-InvAT'!D6-'E-InvAT'!C6</f>
        <v>0</v>
      </c>
      <c r="F11" s="423">
        <f>'E-InvAT'!E6-'E-InvAT'!D6</f>
        <v>0</v>
      </c>
      <c r="G11" s="423">
        <f>'E-InvAT'!F6-'E-InvAT'!E6</f>
        <v>0</v>
      </c>
      <c r="H11" s="423">
        <f>'E-InvAT'!G6-'E-InvAT'!F6</f>
        <v>0</v>
      </c>
      <c r="I11" s="425">
        <f>SUM(B11:H11)</f>
        <v>423900</v>
      </c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2.75" customHeight="1">
      <c r="A12" s="422" t="s">
        <v>745</v>
      </c>
      <c r="B12" s="297"/>
      <c r="C12" s="297"/>
      <c r="D12" s="297">
        <f>'E-InvAT'!C7-'E-InvAT'!C19-'E-InvAT'!C20</f>
        <v>971729.19203525549</v>
      </c>
      <c r="E12" s="297">
        <f>'E-InvAT'!D7-'E-InvAT'!D19-'E-InvAT'!D20-D12</f>
        <v>231127.83077284461</v>
      </c>
      <c r="F12" s="297">
        <f>'E-InvAT'!E7-'E-InvAT'!E19-'E-InvAT'!E20-('E-InvAT'!D7-'E-InvAT'!D19-'E-InvAT'!D20)</f>
        <v>296.83318276773207</v>
      </c>
      <c r="G12" s="297">
        <f>'E-InvAT'!F7-'E-InvAT'!F19-'E-InvAT'!F20-'E-InvAT'!E7+'E-InvAT'!E19+'E-InvAT'!E20</f>
        <v>0.17770972385187633</v>
      </c>
      <c r="H12" s="297">
        <f>'E-InvAT'!G7-'E-InvAT'!G19-'E-InvAT'!G20-'E-InvAT'!F7+'E-InvAT'!F19+'E-InvAT'!F20</f>
        <v>0</v>
      </c>
      <c r="I12" s="328">
        <f>SUM(C12:H12)</f>
        <v>1203154.0337005917</v>
      </c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422" t="s">
        <v>746</v>
      </c>
      <c r="B13" s="297"/>
      <c r="C13" s="297"/>
      <c r="D13" s="297"/>
      <c r="E13" s="297"/>
      <c r="F13" s="297"/>
      <c r="G13" s="297"/>
      <c r="H13" s="424"/>
      <c r="I13" s="328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422" t="s">
        <v>747</v>
      </c>
      <c r="B14" s="297" t="s">
        <v>235</v>
      </c>
      <c r="C14" s="423">
        <f>'E-InvAT'!B10</f>
        <v>177949.98552863329</v>
      </c>
      <c r="D14" s="426">
        <f>'E-InvAT'!C10-'E-InvAT'!B10</f>
        <v>1149762.6035063737</v>
      </c>
      <c r="E14" s="423">
        <f>'E-InvAT'!D10-'E-InvAT'!C10</f>
        <v>0</v>
      </c>
      <c r="F14" s="423">
        <f>'E-InvAT'!E10-'E-InvAT'!D10</f>
        <v>0</v>
      </c>
      <c r="G14" s="423">
        <f>'E-InvAT'!F10-'E-InvAT'!E10</f>
        <v>0</v>
      </c>
      <c r="H14" s="423">
        <f>'E-InvAT'!G10-'E-InvAT'!F10</f>
        <v>0</v>
      </c>
      <c r="I14" s="425">
        <f t="shared" ref="I14:I15" si="1">SUM(C14:H14)</f>
        <v>1327712.5890350069</v>
      </c>
      <c r="J14" s="156" t="s">
        <v>748</v>
      </c>
      <c r="K14" s="160" t="s">
        <v>640</v>
      </c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422" t="s">
        <v>749</v>
      </c>
      <c r="B15" s="297" t="s">
        <v>235</v>
      </c>
      <c r="C15" s="329">
        <f>'E-InvAT'!B11</f>
        <v>163037.27573614905</v>
      </c>
      <c r="D15" s="297">
        <f>'E-InvAT'!C11-'E-InvAT'!B11</f>
        <v>40759.318934037234</v>
      </c>
      <c r="E15" s="297">
        <f>'E-InvAT'!D11-'E-InvAT'!C11</f>
        <v>4525.7637167784851</v>
      </c>
      <c r="F15" s="297">
        <f>'E-InvAT'!E11-'E-InvAT'!D11</f>
        <v>0</v>
      </c>
      <c r="G15" s="297">
        <f>'E-InvAT'!F11-'E-InvAT'!E11</f>
        <v>0</v>
      </c>
      <c r="H15" s="424">
        <f>'E-InvAT'!G11-'E-InvAT'!F11</f>
        <v>0</v>
      </c>
      <c r="I15" s="328">
        <f t="shared" si="1"/>
        <v>208322.35838696477</v>
      </c>
      <c r="J15" s="156" t="s">
        <v>750</v>
      </c>
      <c r="K15" s="231"/>
      <c r="L15" s="427" t="s">
        <v>751</v>
      </c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422" t="s">
        <v>752</v>
      </c>
      <c r="B16" s="297"/>
      <c r="C16" s="297"/>
      <c r="D16" s="297">
        <f>'E-InvAT'!C12-'E-InvAT'!C17-'E-InvAT'!B12+'E-InvAT'!B17</f>
        <v>61723.621944596744</v>
      </c>
      <c r="E16" s="297">
        <f>'E-InvAT'!D12-'E-InvAT'!D17-'E-InvAT'!C12+'E-InvAT'!C17</f>
        <v>599.00556392535873</v>
      </c>
      <c r="F16" s="297">
        <f>'E-InvAT'!E12-'E-InvAT'!E17-'E-InvAT'!D12+'E-InvAT'!D17</f>
        <v>0</v>
      </c>
      <c r="G16" s="297">
        <f>'E-InvAT'!F12-'E-InvAT'!F17-'E-InvAT'!E12+'E-InvAT'!E17</f>
        <v>0</v>
      </c>
      <c r="H16" s="297">
        <f>'E-InvAT'!G12-'E-InvAT'!G17-'E-InvAT'!F12+'E-InvAT'!F17</f>
        <v>0</v>
      </c>
      <c r="I16" s="328">
        <f>SUM(B16:H16)</f>
        <v>62322.627508522099</v>
      </c>
      <c r="J16" s="160" t="s">
        <v>640</v>
      </c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422" t="s">
        <v>753</v>
      </c>
      <c r="B17" s="297"/>
      <c r="C17" s="297"/>
      <c r="D17" s="297">
        <f>'E-InvAT'!C13-'E-InvAT'!C18</f>
        <v>71249.232524761203</v>
      </c>
      <c r="E17" s="297">
        <f>'E-InvAT'!D13-'E-InvAT'!D18-'E-InvAT'!C13+'E-InvAT'!C18</f>
        <v>-1152.787573651407</v>
      </c>
      <c r="F17" s="297">
        <f>'E-InvAT'!E13-'E-InvAT'!E18-'E-InvAT'!D13+'E-InvAT'!D18</f>
        <v>-23.426777064819362</v>
      </c>
      <c r="G17" s="297">
        <f>'E-InvAT'!F13-'E-InvAT'!F18-'E-InvAT'!E13+'E-InvAT'!E18</f>
        <v>0</v>
      </c>
      <c r="H17" s="297">
        <f>'E-InvAT'!G13-'E-InvAT'!G18-'E-InvAT'!F13+'E-InvAT'!F18</f>
        <v>0</v>
      </c>
      <c r="I17" s="328">
        <f>SUM(D17:H17)</f>
        <v>70073.018174044977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419" t="s">
        <v>754</v>
      </c>
      <c r="B18" s="296">
        <f t="shared" ref="B18:I18" si="2">SUM(B11:B17)</f>
        <v>0</v>
      </c>
      <c r="C18" s="296">
        <f t="shared" si="2"/>
        <v>680107.2612647824</v>
      </c>
      <c r="D18" s="296">
        <f t="shared" si="2"/>
        <v>2380003.9689450241</v>
      </c>
      <c r="E18" s="296">
        <f t="shared" si="2"/>
        <v>235099.81247989705</v>
      </c>
      <c r="F18" s="296">
        <f t="shared" si="2"/>
        <v>273.40640570291271</v>
      </c>
      <c r="G18" s="296">
        <f t="shared" si="2"/>
        <v>0.17770972385187633</v>
      </c>
      <c r="H18" s="296">
        <f t="shared" si="2"/>
        <v>0</v>
      </c>
      <c r="I18" s="428">
        <f t="shared" si="2"/>
        <v>3295484.6268051304</v>
      </c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422"/>
      <c r="B19" s="297"/>
      <c r="C19" s="297"/>
      <c r="D19" s="297"/>
      <c r="E19" s="297"/>
      <c r="F19" s="297"/>
      <c r="G19" s="297"/>
      <c r="H19" s="424"/>
      <c r="I19" s="328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.75" customHeight="1">
      <c r="A20" s="419" t="s">
        <v>755</v>
      </c>
      <c r="B20" s="297"/>
      <c r="C20" s="297"/>
      <c r="D20" s="297"/>
      <c r="E20" s="297"/>
      <c r="F20" s="297"/>
      <c r="G20" s="297"/>
      <c r="H20" s="424"/>
      <c r="I20" s="328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2.75" customHeight="1">
      <c r="A21" s="422" t="s">
        <v>756</v>
      </c>
      <c r="B21" s="297">
        <f t="shared" ref="B21:H21" si="3">0.21*B8</f>
        <v>2332.0140868751996</v>
      </c>
      <c r="C21" s="297">
        <f t="shared" si="3"/>
        <v>5837756.9654878592</v>
      </c>
      <c r="D21" s="297">
        <f t="shared" si="3"/>
        <v>58517.625688481661</v>
      </c>
      <c r="E21" s="297">
        <f t="shared" si="3"/>
        <v>0</v>
      </c>
      <c r="F21" s="297">
        <f t="shared" si="3"/>
        <v>0</v>
      </c>
      <c r="G21" s="297">
        <f t="shared" si="3"/>
        <v>0</v>
      </c>
      <c r="H21" s="297">
        <f t="shared" si="3"/>
        <v>0</v>
      </c>
      <c r="I21" s="328">
        <f t="shared" ref="I21:I23" si="4">SUM(B21:H21)</f>
        <v>5898606.6052632164</v>
      </c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422" t="s">
        <v>757</v>
      </c>
      <c r="B22" s="329">
        <v>0</v>
      </c>
      <c r="C22" s="329">
        <f>'E-InvAT'!B34</f>
        <v>71607.324865604285</v>
      </c>
      <c r="D22" s="329">
        <f>'E-InvAT'!C34</f>
        <v>264554.36007429846</v>
      </c>
      <c r="E22" s="329">
        <f>'E-InvAT'!D34</f>
        <v>1319.2417647967031</v>
      </c>
      <c r="F22" s="329">
        <f>'E-InvAT'!E34</f>
        <v>0</v>
      </c>
      <c r="G22" s="329">
        <f>'E-InvAT'!F34</f>
        <v>0</v>
      </c>
      <c r="H22" s="329">
        <f>'E-InvAT'!G34</f>
        <v>0</v>
      </c>
      <c r="I22" s="429">
        <f t="shared" si="4"/>
        <v>337480.92670469946</v>
      </c>
      <c r="J22" s="156" t="s">
        <v>758</v>
      </c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419" t="s">
        <v>759</v>
      </c>
      <c r="B23" s="296">
        <f t="shared" ref="B23:H23" si="5">SUM(B21:B22)</f>
        <v>2332.0140868751996</v>
      </c>
      <c r="C23" s="296">
        <f t="shared" si="5"/>
        <v>5909364.290353464</v>
      </c>
      <c r="D23" s="296">
        <f t="shared" si="5"/>
        <v>323071.98576278012</v>
      </c>
      <c r="E23" s="296">
        <f t="shared" si="5"/>
        <v>1319.2417647967031</v>
      </c>
      <c r="F23" s="296">
        <f t="shared" si="5"/>
        <v>0</v>
      </c>
      <c r="G23" s="296">
        <f t="shared" si="5"/>
        <v>0</v>
      </c>
      <c r="H23" s="296">
        <f t="shared" si="5"/>
        <v>0</v>
      </c>
      <c r="I23" s="428">
        <f t="shared" si="4"/>
        <v>6236087.5319679165</v>
      </c>
      <c r="J23" s="160" t="s">
        <v>640</v>
      </c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419"/>
      <c r="B24" s="297"/>
      <c r="C24" s="297"/>
      <c r="D24" s="297"/>
      <c r="E24" s="297"/>
      <c r="F24" s="297"/>
      <c r="G24" s="297"/>
      <c r="H24" s="424"/>
      <c r="I24" s="328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3.5" customHeight="1">
      <c r="A25" s="430" t="s">
        <v>760</v>
      </c>
      <c r="B25" s="315">
        <f t="shared" ref="B25:I25" si="6">SUM(B8,B18,B23)</f>
        <v>13436.843071995198</v>
      </c>
      <c r="C25" s="315">
        <f t="shared" si="6"/>
        <v>34388314.244417578</v>
      </c>
      <c r="D25" s="315">
        <f t="shared" si="6"/>
        <v>2981731.3151291455</v>
      </c>
      <c r="E25" s="315">
        <f t="shared" si="6"/>
        <v>236419.05424469375</v>
      </c>
      <c r="F25" s="315">
        <f t="shared" si="6"/>
        <v>273.40640570291271</v>
      </c>
      <c r="G25" s="315">
        <f t="shared" si="6"/>
        <v>0.17770972385187633</v>
      </c>
      <c r="H25" s="315">
        <f t="shared" si="6"/>
        <v>0</v>
      </c>
      <c r="I25" s="315">
        <f t="shared" si="6"/>
        <v>37620175.040978834</v>
      </c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</sheetData>
  <pageMargins left="0.7" right="0.7" top="0.75" bottom="0.75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234"/>
  <sheetViews>
    <sheetView workbookViewId="0"/>
  </sheetViews>
  <sheetFormatPr defaultColWidth="14.44140625" defaultRowHeight="15" customHeight="1"/>
  <cols>
    <col min="1" max="1" width="28" customWidth="1"/>
    <col min="2" max="7" width="13.88671875" customWidth="1"/>
    <col min="8" max="26" width="9" customWidth="1"/>
  </cols>
  <sheetData>
    <row r="1" spans="1:26" ht="14.25" customHeight="1">
      <c r="A1" s="244" t="s">
        <v>483</v>
      </c>
      <c r="E1" s="231"/>
      <c r="F1" s="231"/>
      <c r="G1" s="431">
        <f>InfoInicial!E1</f>
        <v>10</v>
      </c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432" t="s">
        <v>761</v>
      </c>
      <c r="B2" s="408"/>
      <c r="C2" s="408"/>
      <c r="D2" s="408"/>
      <c r="E2" s="408"/>
      <c r="F2" s="408"/>
      <c r="G2" s="409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5.75" customHeight="1">
      <c r="A3" s="433"/>
      <c r="B3" s="434" t="s">
        <v>762</v>
      </c>
      <c r="C3" s="434"/>
      <c r="D3" s="434"/>
      <c r="E3" s="434"/>
      <c r="F3" s="434"/>
      <c r="G3" s="435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3.5" customHeight="1">
      <c r="A4" s="436" t="s">
        <v>586</v>
      </c>
      <c r="B4" s="417" t="s">
        <v>537</v>
      </c>
      <c r="C4" s="263" t="s">
        <v>39</v>
      </c>
      <c r="D4" s="263" t="s">
        <v>425</v>
      </c>
      <c r="E4" s="263" t="s">
        <v>426</v>
      </c>
      <c r="F4" s="263" t="s">
        <v>427</v>
      </c>
      <c r="G4" s="357" t="s">
        <v>428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3.5" customHeight="1">
      <c r="A5" s="437" t="s">
        <v>763</v>
      </c>
      <c r="B5" s="438"/>
      <c r="C5" s="327"/>
      <c r="D5" s="327"/>
      <c r="E5" s="327"/>
      <c r="F5" s="327"/>
      <c r="G5" s="359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2.75" customHeight="1">
      <c r="A6" s="439" t="s">
        <v>764</v>
      </c>
      <c r="B6" s="440"/>
      <c r="C6" s="297">
        <f>'E-Costos'!B7*InfoInicial!$B$3</f>
        <v>439571.56177554099</v>
      </c>
      <c r="D6" s="297">
        <f>'E-Costos'!C7*InfoInicial!$B$3</f>
        <v>557641.12635000004</v>
      </c>
      <c r="E6" s="297">
        <f>'E-Costos'!D7*InfoInicial!$B$3</f>
        <v>557641.12635000004</v>
      </c>
      <c r="F6" s="297">
        <f>'E-Costos'!E7*InfoInicial!$B$3</f>
        <v>557641.12635000004</v>
      </c>
      <c r="G6" s="346">
        <f>'E-Costos'!F7*InfoInicial!$B$3</f>
        <v>557641.12635000004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2.75" customHeight="1">
      <c r="A7" s="439" t="s">
        <v>621</v>
      </c>
      <c r="B7" s="440"/>
      <c r="C7" s="297">
        <f>'E-Costos'!B12*InfoInicial!$B$3</f>
        <v>74856.186790181993</v>
      </c>
      <c r="D7" s="297">
        <f>'E-Costos'!C12*InfoInicial!$B$3</f>
        <v>74856.186790181993</v>
      </c>
      <c r="E7" s="297">
        <f>'E-Costos'!D12*InfoInicial!$B$3</f>
        <v>74856.186790181993</v>
      </c>
      <c r="F7" s="297">
        <f>'E-Costos'!E12*InfoInicial!$B$3</f>
        <v>74856.186790181993</v>
      </c>
      <c r="G7" s="346">
        <f>'E-Costos'!F12*InfoInicial!$B$3</f>
        <v>74856.186790181993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2.75" customHeight="1">
      <c r="A8" s="439" t="s">
        <v>622</v>
      </c>
      <c r="B8" s="440"/>
      <c r="C8" s="297">
        <f>'E-Costos'!B13*InfoInicial!$B$3</f>
        <v>21845.322800824313</v>
      </c>
      <c r="D8" s="297">
        <f>'E-Costos'!C13*InfoInicial!$B$3</f>
        <v>27306.653501030392</v>
      </c>
      <c r="E8" s="297">
        <f>'E-Costos'!D13*InfoInicial!$B$3</f>
        <v>27306.653501030392</v>
      </c>
      <c r="F8" s="297">
        <f>'E-Costos'!E13*InfoInicial!$B$3</f>
        <v>27306.653501030392</v>
      </c>
      <c r="G8" s="346">
        <f>'E-Costos'!F13*InfoInicial!$B$3</f>
        <v>27306.653501030392</v>
      </c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2.75" customHeight="1">
      <c r="A9" s="439" t="s">
        <v>623</v>
      </c>
      <c r="B9" s="440"/>
      <c r="C9" s="297" t="s">
        <v>235</v>
      </c>
      <c r="D9" s="297" t="s">
        <v>235</v>
      </c>
      <c r="E9" s="297" t="s">
        <v>235</v>
      </c>
      <c r="F9" s="297" t="s">
        <v>235</v>
      </c>
      <c r="G9" s="346" t="s">
        <v>235</v>
      </c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2.75" customHeight="1">
      <c r="A10" s="439" t="s">
        <v>765</v>
      </c>
      <c r="B10" s="440"/>
      <c r="C10" s="297" t="s">
        <v>235</v>
      </c>
      <c r="D10" s="297" t="s">
        <v>235</v>
      </c>
      <c r="E10" s="297" t="s">
        <v>235</v>
      </c>
      <c r="F10" s="297" t="s">
        <v>235</v>
      </c>
      <c r="G10" s="346" t="s">
        <v>235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439" t="s">
        <v>652</v>
      </c>
      <c r="B11" s="440"/>
      <c r="C11" s="297" t="s">
        <v>235</v>
      </c>
      <c r="D11" s="297" t="s">
        <v>235</v>
      </c>
      <c r="E11" s="297" t="s">
        <v>235</v>
      </c>
      <c r="F11" s="297" t="s">
        <v>235</v>
      </c>
      <c r="G11" s="346" t="s">
        <v>235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2.75" customHeight="1">
      <c r="A12" s="441" t="s">
        <v>580</v>
      </c>
      <c r="B12" s="440"/>
      <c r="C12" s="297">
        <f t="shared" ref="C12:G12" si="0">SUM(C6:C11)</f>
        <v>536273.07136654726</v>
      </c>
      <c r="D12" s="297">
        <f t="shared" si="0"/>
        <v>659803.96664121246</v>
      </c>
      <c r="E12" s="297">
        <f t="shared" si="0"/>
        <v>659803.96664121246</v>
      </c>
      <c r="F12" s="297">
        <f t="shared" si="0"/>
        <v>659803.96664121246</v>
      </c>
      <c r="G12" s="346">
        <f t="shared" si="0"/>
        <v>659803.96664121246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439" t="s">
        <v>766</v>
      </c>
      <c r="B13" s="440"/>
      <c r="C13" s="297">
        <f>('E-Costos'!G35-'E-Costos'!G26)*InfoInicial!B3</f>
        <v>19810.55501074623</v>
      </c>
      <c r="D13" s="297"/>
      <c r="E13" s="297"/>
      <c r="F13" s="297"/>
      <c r="G13" s="346"/>
      <c r="H13" s="231"/>
      <c r="I13" s="231"/>
      <c r="J13" s="223">
        <f>'E-IVA '!E25</f>
        <v>0</v>
      </c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439" t="s">
        <v>767</v>
      </c>
      <c r="B14" s="440"/>
      <c r="C14" s="297"/>
      <c r="D14" s="297"/>
      <c r="E14" s="297"/>
      <c r="F14" s="297"/>
      <c r="G14" s="346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439" t="s">
        <v>768</v>
      </c>
      <c r="B15" s="440"/>
      <c r="C15" s="329">
        <v>0</v>
      </c>
      <c r="D15" s="297">
        <f>'E-InvAT'!C32</f>
        <v>8524.0247822723722</v>
      </c>
      <c r="E15" s="297">
        <f>'E-InvAT'!D32</f>
        <v>141.26250536969928</v>
      </c>
      <c r="F15" s="297">
        <f>'E-InvAT'!E32</f>
        <v>0</v>
      </c>
      <c r="G15" s="346">
        <f>'E-InvAT'!F32</f>
        <v>0</v>
      </c>
      <c r="H15" s="156" t="s">
        <v>769</v>
      </c>
      <c r="I15" s="231"/>
      <c r="J15" s="160" t="s">
        <v>640</v>
      </c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439" t="s">
        <v>770</v>
      </c>
      <c r="B16" s="440"/>
      <c r="C16" s="329">
        <v>0</v>
      </c>
      <c r="D16" s="297">
        <f>'E-InvAT'!C33</f>
        <v>6020.7315795398299</v>
      </c>
      <c r="E16" s="297">
        <f>'E-InvAT'!D33</f>
        <v>227.56887890352209</v>
      </c>
      <c r="F16" s="297">
        <f>'E-InvAT'!E33</f>
        <v>0</v>
      </c>
      <c r="G16" s="346">
        <f>'E-InvAT'!F33</f>
        <v>0</v>
      </c>
      <c r="H16" s="156" t="s">
        <v>769</v>
      </c>
      <c r="I16" s="231"/>
      <c r="J16" s="160" t="s">
        <v>640</v>
      </c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441" t="s">
        <v>771</v>
      </c>
      <c r="B17" s="440"/>
      <c r="C17" s="297">
        <f t="shared" ref="C17:G17" si="1">C12-C13-C15-C16</f>
        <v>516462.51635580102</v>
      </c>
      <c r="D17" s="297">
        <f t="shared" si="1"/>
        <v>645259.21027940023</v>
      </c>
      <c r="E17" s="297">
        <f t="shared" si="1"/>
        <v>659435.13525693922</v>
      </c>
      <c r="F17" s="297">
        <f t="shared" si="1"/>
        <v>659803.96664121246</v>
      </c>
      <c r="G17" s="346">
        <f t="shared" si="1"/>
        <v>659803.96664121246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441" t="s">
        <v>772</v>
      </c>
      <c r="B18" s="440"/>
      <c r="C18" s="297">
        <f>InfoInicial!$B$3*('E-Costos'!B54+'E-Costos'!B55+'E-Costos'!B57)</f>
        <v>19593.647513055486</v>
      </c>
      <c r="D18" s="297">
        <f>InfoInicial!$B$3*('E-Costos'!C54+'E-Costos'!C55+'E-Costos'!C57)</f>
        <v>21670.378732838286</v>
      </c>
      <c r="E18" s="297">
        <f>InfoInicial!$B$3*('E-Costos'!D54+'E-Costos'!D55+'E-Costos'!D57)</f>
        <v>21670.378732838286</v>
      </c>
      <c r="F18" s="297">
        <f>InfoInicial!$B$3*('E-Costos'!E54+'E-Costos'!E55+'E-Costos'!E57)</f>
        <v>21670.378732838286</v>
      </c>
      <c r="G18" s="346">
        <f>InfoInicial!$B$3*('E-Costos'!F54+'E-Costos'!F55+'E-Costos'!F57)</f>
        <v>21670.378732838286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441" t="s">
        <v>773</v>
      </c>
      <c r="B19" s="440"/>
      <c r="C19" s="297">
        <f>InfoInicial!$B$3*('E-Costos'!B71+'E-Costos'!B72+'E-Costos'!B74)</f>
        <v>181744.30314776115</v>
      </c>
      <c r="D19" s="297">
        <f>InfoInicial!$B$3*('E-Costos'!C71+'E-Costos'!C72+'E-Costos'!C74)</f>
        <v>222312.10980126218</v>
      </c>
      <c r="E19" s="297">
        <f>InfoInicial!$B$3*('E-Costos'!D71+'E-Costos'!D72+'E-Costos'!D74)</f>
        <v>222312.10980126218</v>
      </c>
      <c r="F19" s="297">
        <f>InfoInicial!$B$3*('E-Costos'!E71+'E-Costos'!E72+'E-Costos'!E74)</f>
        <v>222312.10980126218</v>
      </c>
      <c r="G19" s="346">
        <f>InfoInicial!$B$3*('E-Costos'!F71+'E-Costos'!F72+'E-Costos'!F74)</f>
        <v>222312.10980126218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.75" customHeight="1">
      <c r="A20" s="441"/>
      <c r="B20" s="440"/>
      <c r="C20" s="297"/>
      <c r="D20" s="297"/>
      <c r="E20" s="297"/>
      <c r="F20" s="297"/>
      <c r="G20" s="346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2.75" customHeight="1">
      <c r="A21" s="439" t="s">
        <v>774</v>
      </c>
      <c r="B21" s="440"/>
      <c r="C21" s="297">
        <f t="shared" ref="C21:G21" si="2">SUM(C17:C19)</f>
        <v>717800.46701661765</v>
      </c>
      <c r="D21" s="297">
        <f t="shared" si="2"/>
        <v>889241.6988135007</v>
      </c>
      <c r="E21" s="297">
        <f t="shared" si="2"/>
        <v>903417.62379103969</v>
      </c>
      <c r="F21" s="297">
        <f t="shared" si="2"/>
        <v>903786.45517531293</v>
      </c>
      <c r="G21" s="346">
        <f t="shared" si="2"/>
        <v>903786.45517531293</v>
      </c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439" t="s">
        <v>775</v>
      </c>
      <c r="B22" s="440"/>
      <c r="C22" s="297">
        <f>InfoInicial!$B$3*'Conformación de Datos'!C17</f>
        <v>3560760</v>
      </c>
      <c r="D22" s="297">
        <f>InfoInicial!$B$3*'Conformación de Datos'!D17</f>
        <v>4450950</v>
      </c>
      <c r="E22" s="297">
        <f>InfoInicial!$B$3*'Conformación de Datos'!E17</f>
        <v>4450950</v>
      </c>
      <c r="F22" s="297">
        <f>InfoInicial!$B$3*'Conformación de Datos'!F17</f>
        <v>4450950</v>
      </c>
      <c r="G22" s="346">
        <f>InfoInicial!$B$3*'Conformación de Datos'!G17</f>
        <v>4450950</v>
      </c>
      <c r="H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441" t="s">
        <v>776</v>
      </c>
      <c r="B23" s="440"/>
      <c r="C23" s="297">
        <f t="shared" ref="C23:G23" si="3">C22-C21</f>
        <v>2842959.5329833822</v>
      </c>
      <c r="D23" s="297">
        <f t="shared" si="3"/>
        <v>3561708.3011864992</v>
      </c>
      <c r="E23" s="297">
        <f t="shared" si="3"/>
        <v>3547532.3762089601</v>
      </c>
      <c r="F23" s="297">
        <f t="shared" si="3"/>
        <v>3547163.5448246868</v>
      </c>
      <c r="G23" s="346">
        <f t="shared" si="3"/>
        <v>3547163.5448246868</v>
      </c>
      <c r="H23" s="231"/>
      <c r="I23" s="442">
        <f>C25+C26-C23</f>
        <v>3391808.7572197374</v>
      </c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439"/>
      <c r="B24" s="440"/>
      <c r="C24" s="297"/>
      <c r="D24" s="297"/>
      <c r="E24" s="297"/>
      <c r="F24" s="297"/>
      <c r="G24" s="346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443" t="s">
        <v>777</v>
      </c>
      <c r="B25" s="440"/>
      <c r="C25" s="297">
        <f>'E-Cal Inv.'!B23+'E-Cal Inv.'!C23</f>
        <v>5911696.3044403391</v>
      </c>
      <c r="D25" s="297">
        <f t="shared" ref="D25:G25" si="4">IF(C27&lt;0,0,C27)</f>
        <v>3391808.7572197374</v>
      </c>
      <c r="E25" s="297">
        <f t="shared" si="4"/>
        <v>0</v>
      </c>
      <c r="F25" s="297">
        <f t="shared" si="4"/>
        <v>0</v>
      </c>
      <c r="G25" s="346">
        <f t="shared" si="4"/>
        <v>0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443" t="s">
        <v>778</v>
      </c>
      <c r="B26" s="297">
        <f>'E-Cal Inv.'!B23+'E-Cal Inv.'!C23</f>
        <v>5911696.3044403391</v>
      </c>
      <c r="C26" s="297">
        <f>'E-Cal Inv.'!D23</f>
        <v>323071.98576278012</v>
      </c>
      <c r="D26" s="297">
        <f>'E-Cal Inv.'!E23</f>
        <v>1319.2417647967031</v>
      </c>
      <c r="E26" s="297">
        <f>'E-Cal Inv.'!F23</f>
        <v>0</v>
      </c>
      <c r="F26" s="297">
        <f>'E-Cal Inv.'!G23</f>
        <v>0</v>
      </c>
      <c r="G26" s="346">
        <f>'E-Cal Inv.'!H23</f>
        <v>0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441" t="s">
        <v>779</v>
      </c>
      <c r="B27" s="297">
        <f>'E-Cal Inv.'!B23+'E-Cal Inv.'!C23</f>
        <v>5911696.3044403391</v>
      </c>
      <c r="C27" s="297">
        <f t="shared" ref="C27:G27" si="5">IF(C25+C26-C23&gt;0,C25+C26-C23,0)</f>
        <v>3391808.7572197374</v>
      </c>
      <c r="D27" s="297">
        <f t="shared" si="5"/>
        <v>0</v>
      </c>
      <c r="E27" s="297">
        <f t="shared" si="5"/>
        <v>0</v>
      </c>
      <c r="F27" s="297">
        <f t="shared" si="5"/>
        <v>0</v>
      </c>
      <c r="G27" s="297">
        <f t="shared" si="5"/>
        <v>0</v>
      </c>
      <c r="H27" s="156" t="s">
        <v>780</v>
      </c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441" t="s">
        <v>781</v>
      </c>
      <c r="B28" s="440"/>
      <c r="C28" s="297">
        <f t="shared" ref="C28:G28" si="6">IF(C25+C26&gt;C23,C23,IF(C23-C25-C26&gt;0,C25+C26,0))</f>
        <v>2842959.5329833822</v>
      </c>
      <c r="D28" s="297">
        <f t="shared" si="6"/>
        <v>3393127.9989845343</v>
      </c>
      <c r="E28" s="297">
        <f t="shared" si="6"/>
        <v>0</v>
      </c>
      <c r="F28" s="297">
        <f t="shared" si="6"/>
        <v>0</v>
      </c>
      <c r="G28" s="297">
        <f t="shared" si="6"/>
        <v>0</v>
      </c>
      <c r="H28" s="160" t="s">
        <v>640</v>
      </c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439"/>
      <c r="B29" s="440"/>
      <c r="C29" s="297"/>
      <c r="D29" s="297"/>
      <c r="E29" s="297"/>
      <c r="F29" s="297"/>
      <c r="G29" s="346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3.5" customHeight="1">
      <c r="A30" s="444" t="s">
        <v>782</v>
      </c>
      <c r="B30" s="445">
        <f t="shared" ref="B30:G30" si="7">IF(B23-B27-B28&gt;0,B23-B27-B28,0)</f>
        <v>0</v>
      </c>
      <c r="C30" s="445">
        <f t="shared" si="7"/>
        <v>0</v>
      </c>
      <c r="D30" s="445">
        <f t="shared" si="7"/>
        <v>168580.30220196489</v>
      </c>
      <c r="E30" s="445">
        <f t="shared" si="7"/>
        <v>3547532.3762089601</v>
      </c>
      <c r="F30" s="445">
        <f t="shared" si="7"/>
        <v>3547163.5448246868</v>
      </c>
      <c r="G30" s="445">
        <f t="shared" si="7"/>
        <v>3547163.5448246868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23">
        <f>'E-IVA '!B17</f>
        <v>0</v>
      </c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5.75" customHeight="1"/>
    <row r="232" spans="1:26" ht="15.75" customHeight="1"/>
    <row r="233" spans="1:26" ht="15.75" customHeight="1"/>
    <row r="234" spans="1:26" ht="15.75" customHeight="1"/>
  </sheetData>
  <pageMargins left="0.7" right="0.7" top="0.75" bottom="0.75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221"/>
  <sheetViews>
    <sheetView showGridLines="0" workbookViewId="0"/>
  </sheetViews>
  <sheetFormatPr defaultColWidth="14.44140625" defaultRowHeight="15" customHeight="1"/>
  <cols>
    <col min="1" max="1" width="7.88671875" customWidth="1"/>
    <col min="2" max="12" width="14.6640625" customWidth="1"/>
    <col min="13" max="13" width="16.88671875" customWidth="1"/>
    <col min="14" max="26" width="9" customWidth="1"/>
  </cols>
  <sheetData>
    <row r="1" spans="1:26" ht="14.25" customHeight="1">
      <c r="A1" s="244" t="s">
        <v>483</v>
      </c>
      <c r="E1" s="231"/>
      <c r="F1" s="231"/>
      <c r="G1" s="231">
        <f>InfoInicial!E1</f>
        <v>10</v>
      </c>
      <c r="H1" s="245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446" t="s">
        <v>783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6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39" customHeight="1">
      <c r="A3" s="447" t="s">
        <v>601</v>
      </c>
      <c r="B3" s="417" t="s">
        <v>784</v>
      </c>
      <c r="C3" s="417" t="s">
        <v>785</v>
      </c>
      <c r="D3" s="417" t="s">
        <v>786</v>
      </c>
      <c r="E3" s="417" t="s">
        <v>488</v>
      </c>
      <c r="F3" s="417" t="s">
        <v>787</v>
      </c>
      <c r="G3" s="417" t="s">
        <v>788</v>
      </c>
      <c r="H3" s="417" t="s">
        <v>789</v>
      </c>
      <c r="I3" s="417" t="s">
        <v>618</v>
      </c>
      <c r="J3" s="417" t="s">
        <v>790</v>
      </c>
      <c r="K3" s="417" t="s">
        <v>791</v>
      </c>
      <c r="L3" s="448" t="s">
        <v>792</v>
      </c>
      <c r="M3" s="449" t="s">
        <v>793</v>
      </c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4.25" customHeight="1">
      <c r="A4" s="450">
        <v>0</v>
      </c>
      <c r="B4" s="438">
        <f>'E-Cal Inv.'!B8+'E-Cal Inv.'!C8</f>
        <v>27809947.521784451</v>
      </c>
      <c r="C4" s="327">
        <f>'E-InvAT'!B25</f>
        <v>680107.2612647824</v>
      </c>
      <c r="D4" s="327">
        <f>'E-Cal Inv.'!B23+'E-Cal Inv.'!C23</f>
        <v>5911696.3044403391</v>
      </c>
      <c r="E4" s="327" t="s">
        <v>235</v>
      </c>
      <c r="F4" s="327" t="s">
        <v>235</v>
      </c>
      <c r="G4" s="327">
        <f t="shared" ref="G4:G9" si="0">SUM(B4:F4)</f>
        <v>34401751.087489575</v>
      </c>
      <c r="H4" s="327" t="s">
        <v>235</v>
      </c>
      <c r="I4" s="327" t="s">
        <v>235</v>
      </c>
      <c r="J4" s="327" t="s">
        <v>235</v>
      </c>
      <c r="K4" s="327">
        <f t="shared" ref="K4:K9" si="1">SUM(H4:J4)</f>
        <v>0</v>
      </c>
      <c r="L4" s="420">
        <f t="shared" ref="L4:L9" si="2">K4-G4</f>
        <v>-34401751.087489575</v>
      </c>
      <c r="M4" s="421">
        <f>L4</f>
        <v>-34401751.087489575</v>
      </c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451">
        <v>1</v>
      </c>
      <c r="B5" s="440">
        <f>'E-Cal Inv.'!D8</f>
        <v>278655.36042134126</v>
      </c>
      <c r="C5" s="297">
        <f>'E-InvAT'!C25</f>
        <v>2380003.9689450245</v>
      </c>
      <c r="D5" s="297">
        <f>'E-Cal Inv.'!D23</f>
        <v>323071.98576278012</v>
      </c>
      <c r="E5" s="297">
        <f>'E-Costos'!B117</f>
        <v>421870.4872950518</v>
      </c>
      <c r="F5" s="297">
        <f>'E-Costos'!B118</f>
        <v>1698028.7113625833</v>
      </c>
      <c r="G5" s="327">
        <f t="shared" si="0"/>
        <v>5101630.5137867816</v>
      </c>
      <c r="H5" s="297">
        <f>'E-Costos'!B116</f>
        <v>5273381.0911881477</v>
      </c>
      <c r="I5" s="297">
        <f>'E-Costos'!B125</f>
        <v>2006039.4838811588</v>
      </c>
      <c r="J5" s="329">
        <f>'E-IVA '!C28</f>
        <v>2842959.5329833822</v>
      </c>
      <c r="K5" s="327">
        <f t="shared" si="1"/>
        <v>10122380.10805269</v>
      </c>
      <c r="L5" s="420">
        <f t="shared" si="2"/>
        <v>5020749.594265908</v>
      </c>
      <c r="M5" s="328">
        <f t="shared" ref="M5:M9" si="3">M4+L5</f>
        <v>-29381001.493223667</v>
      </c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451">
        <v>2</v>
      </c>
      <c r="B6" s="440">
        <f>'E-Cal Inv.'!E8</f>
        <v>0</v>
      </c>
      <c r="C6" s="297">
        <f>'E-InvAT'!D25</f>
        <v>235099.81247989647</v>
      </c>
      <c r="D6" s="297">
        <f>'E-Cal Inv.'!E23</f>
        <v>1319.2417647967031</v>
      </c>
      <c r="E6" s="297">
        <f>'E-Costos'!C117</f>
        <v>608562.82200280554</v>
      </c>
      <c r="F6" s="297">
        <f>'E-Costos'!C118</f>
        <v>2449465.3585612918</v>
      </c>
      <c r="G6" s="327">
        <f t="shared" si="0"/>
        <v>3294447.2348087905</v>
      </c>
      <c r="H6" s="297">
        <f>'E-Costos'!C116</f>
        <v>7607035.2750350684</v>
      </c>
      <c r="I6" s="297">
        <f>'E-Costos'!C125</f>
        <v>2006039.4838811588</v>
      </c>
      <c r="J6" s="329">
        <f>'E-IVA '!D28</f>
        <v>3393127.9989845343</v>
      </c>
      <c r="K6" s="327">
        <f t="shared" si="1"/>
        <v>13006202.757900761</v>
      </c>
      <c r="L6" s="420">
        <f t="shared" si="2"/>
        <v>9711755.5230919719</v>
      </c>
      <c r="M6" s="328">
        <f t="shared" si="3"/>
        <v>-19669245.970131695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451">
        <v>3</v>
      </c>
      <c r="B7" s="440">
        <f>'E-Cal Inv.'!F8</f>
        <v>0</v>
      </c>
      <c r="C7" s="297">
        <f>'E-InvAT'!E25</f>
        <v>273.40640570269898</v>
      </c>
      <c r="D7" s="297">
        <f>'E-Cal Inv.'!F23</f>
        <v>0</v>
      </c>
      <c r="E7" s="297">
        <f>'E-Costos'!D117</f>
        <v>608774.1056091385</v>
      </c>
      <c r="F7" s="297">
        <f>'E-Costos'!D118</f>
        <v>2450315.7750767823</v>
      </c>
      <c r="G7" s="327">
        <f t="shared" si="0"/>
        <v>3059363.2870916235</v>
      </c>
      <c r="H7" s="297">
        <f>'E-Costos'!D116</f>
        <v>7609676.3201142307</v>
      </c>
      <c r="I7" s="297">
        <f>'E-Costos'!D125</f>
        <v>2006039.4838811588</v>
      </c>
      <c r="J7" s="329">
        <f>'E-IVA '!E28</f>
        <v>0</v>
      </c>
      <c r="K7" s="327">
        <f t="shared" si="1"/>
        <v>9615715.8039953895</v>
      </c>
      <c r="L7" s="420">
        <f t="shared" si="2"/>
        <v>6556352.5169037655</v>
      </c>
      <c r="M7" s="328">
        <f t="shared" si="3"/>
        <v>-13112893.45322793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451">
        <v>4</v>
      </c>
      <c r="B8" s="440">
        <f>'E-Cal Inv.'!G8</f>
        <v>0</v>
      </c>
      <c r="C8" s="297">
        <f>'E-InvAT'!F25</f>
        <v>0.1777097238227725</v>
      </c>
      <c r="D8" s="297">
        <f>'E-Cal Inv.'!G23</f>
        <v>0</v>
      </c>
      <c r="E8" s="297">
        <f>'E-Costos'!E117</f>
        <v>608774.1056091385</v>
      </c>
      <c r="F8" s="297">
        <f>'E-Costos'!E118</f>
        <v>2450315.7750767823</v>
      </c>
      <c r="G8" s="327">
        <f t="shared" si="0"/>
        <v>3059090.0583956446</v>
      </c>
      <c r="H8" s="297">
        <f>'E-Costos'!E116</f>
        <v>7609676.3201142307</v>
      </c>
      <c r="I8" s="297">
        <f>'E-Costos'!E125</f>
        <v>2006039.4838811588</v>
      </c>
      <c r="J8" s="329">
        <f>'E-IVA '!F28</f>
        <v>0</v>
      </c>
      <c r="K8" s="327">
        <f t="shared" si="1"/>
        <v>9615715.8039953895</v>
      </c>
      <c r="L8" s="420">
        <f t="shared" si="2"/>
        <v>6556625.7455997448</v>
      </c>
      <c r="M8" s="328">
        <f t="shared" si="3"/>
        <v>-6556267.7076281849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451">
        <v>5</v>
      </c>
      <c r="B9" s="440">
        <f>-'E-Inv AF y Am'!G57</f>
        <v>-18058405.462799996</v>
      </c>
      <c r="C9" s="329">
        <f>-'E-InvAT'!G22+'E-InvAT'!G25</f>
        <v>-3295484.6268051299</v>
      </c>
      <c r="D9" s="297">
        <f>'E-Cal Inv.'!H23</f>
        <v>0</v>
      </c>
      <c r="E9" s="297">
        <f>'E-Costos'!F117</f>
        <v>608774.1056091385</v>
      </c>
      <c r="F9" s="297">
        <f>'E-Costos'!F118</f>
        <v>2450315.7750767823</v>
      </c>
      <c r="G9" s="327">
        <f t="shared" si="0"/>
        <v>-18294800.208919205</v>
      </c>
      <c r="H9" s="297">
        <f>'E-Costos'!F116</f>
        <v>7609676.3201142307</v>
      </c>
      <c r="I9" s="297">
        <f>'E-Costos'!F125</f>
        <v>2006039.4838811588</v>
      </c>
      <c r="J9" s="329">
        <f>'E-IVA '!G2832</f>
        <v>0</v>
      </c>
      <c r="K9" s="327">
        <f t="shared" si="1"/>
        <v>9615715.8039953895</v>
      </c>
      <c r="L9" s="420">
        <f t="shared" si="2"/>
        <v>27910516.012914594</v>
      </c>
      <c r="M9" s="328">
        <f t="shared" si="3"/>
        <v>21354248.305286407</v>
      </c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451"/>
      <c r="B10" s="440"/>
      <c r="C10" s="297"/>
      <c r="D10" s="297"/>
      <c r="E10" s="297"/>
      <c r="F10" s="297"/>
      <c r="G10" s="297"/>
      <c r="H10" s="297"/>
      <c r="I10" s="297"/>
      <c r="J10" s="297"/>
      <c r="K10" s="297"/>
      <c r="L10" s="424"/>
      <c r="M10" s="328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452" t="s">
        <v>794</v>
      </c>
      <c r="B11" s="453">
        <f>ROUND(SUM(B4:B9),2)</f>
        <v>10030197.42</v>
      </c>
      <c r="C11" s="453">
        <f>SUM(C4:C9)</f>
        <v>0</v>
      </c>
      <c r="D11" s="453">
        <f>ROUND(SUM(D4:D9),1)</f>
        <v>6236087.5</v>
      </c>
      <c r="E11" s="453">
        <f t="shared" ref="E11:H11" si="4">SUM(E4:E9)</f>
        <v>2856755.6261252728</v>
      </c>
      <c r="F11" s="453">
        <f t="shared" si="4"/>
        <v>11498441.395154221</v>
      </c>
      <c r="G11" s="453">
        <f t="shared" si="4"/>
        <v>30621481.972653203</v>
      </c>
      <c r="H11" s="453">
        <f t="shared" si="4"/>
        <v>35709445.326565914</v>
      </c>
      <c r="I11" s="453">
        <f>ROUND(SUM(I4:I9),2)</f>
        <v>10030197.42</v>
      </c>
      <c r="J11" s="453">
        <f>ROUND(SUM(J4:J9),1)</f>
        <v>6236087.5</v>
      </c>
      <c r="K11" s="453">
        <f t="shared" ref="K11:L11" si="5">SUM(K4:K9)</f>
        <v>51975730.277939618</v>
      </c>
      <c r="L11" s="453">
        <f t="shared" si="5"/>
        <v>21354248.305286407</v>
      </c>
      <c r="M11" s="454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3.5" customHeight="1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231"/>
      <c r="B13" s="231"/>
      <c r="C13" s="248" t="s">
        <v>795</v>
      </c>
      <c r="D13" s="455">
        <f>H11-E11-F11</f>
        <v>21354248.305286422</v>
      </c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141"/>
      <c r="B14" s="231"/>
      <c r="C14" s="248" t="s">
        <v>796</v>
      </c>
      <c r="D14" s="456">
        <f>A8+(-M8/L9)</f>
        <v>4.2349031348827273</v>
      </c>
      <c r="E14" s="231" t="s">
        <v>797</v>
      </c>
      <c r="F14" s="231"/>
      <c r="G14" s="231"/>
      <c r="H14" s="231"/>
      <c r="I14" s="223">
        <f>D4+D5</f>
        <v>6234768.2902031196</v>
      </c>
      <c r="J14" s="223">
        <f>J5+J6</f>
        <v>6236087.5319679165</v>
      </c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231"/>
      <c r="B15" s="231"/>
      <c r="C15" s="248" t="s">
        <v>798</v>
      </c>
      <c r="D15" s="457">
        <f>IRR(L4:L9)</f>
        <v>0.14264797457557798</v>
      </c>
      <c r="E15" s="231"/>
      <c r="F15" s="231"/>
      <c r="G15" s="231"/>
      <c r="H15" s="231"/>
      <c r="I15" s="231"/>
      <c r="J15" s="223">
        <f>J11-D11</f>
        <v>0</v>
      </c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25" customHeight="1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653" t="s">
        <v>799</v>
      </c>
      <c r="M16" s="64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231"/>
      <c r="B17" s="231"/>
      <c r="C17" s="231"/>
      <c r="D17" s="231"/>
      <c r="E17" s="231"/>
      <c r="F17" s="231"/>
      <c r="G17" s="231"/>
      <c r="H17" s="231"/>
      <c r="I17" s="231"/>
      <c r="J17" s="53"/>
      <c r="K17" s="231"/>
      <c r="L17" s="653" t="s">
        <v>800</v>
      </c>
      <c r="M17" s="64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231"/>
      <c r="B18" s="231"/>
      <c r="C18" s="156" t="s">
        <v>801</v>
      </c>
      <c r="D18" s="231"/>
      <c r="E18" s="231"/>
      <c r="F18" s="231"/>
      <c r="G18" s="231"/>
      <c r="H18" s="231"/>
      <c r="I18" s="231"/>
      <c r="J18" s="156" t="s">
        <v>802</v>
      </c>
      <c r="K18" s="231"/>
      <c r="L18" s="458" t="s">
        <v>618</v>
      </c>
      <c r="M18" s="459" t="str">
        <f>IF(B11=I11,"OK","MAL")</f>
        <v>OK</v>
      </c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4.25" customHeight="1">
      <c r="A19" s="231"/>
      <c r="B19" s="231"/>
      <c r="C19" s="160" t="s">
        <v>640</v>
      </c>
      <c r="D19" s="231"/>
      <c r="E19" s="231"/>
      <c r="F19" s="231"/>
      <c r="G19" s="231"/>
      <c r="H19" s="231"/>
      <c r="I19" s="231"/>
      <c r="J19" s="160" t="s">
        <v>640</v>
      </c>
      <c r="K19" s="231"/>
      <c r="L19" s="458" t="s">
        <v>803</v>
      </c>
      <c r="M19" s="459" t="str">
        <f>IF(D11=J11,"OK","MAL")</f>
        <v>OK</v>
      </c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458" t="s">
        <v>804</v>
      </c>
      <c r="M20" s="459" t="str">
        <f>IF(C11=0,"OK","MAL")</f>
        <v>OK</v>
      </c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458" t="s">
        <v>805</v>
      </c>
      <c r="M21" s="459" t="str">
        <f>IF((H11-F11-E11)=L11,IF(L11=M9,"OK","MAL"),"MAL")</f>
        <v>OK</v>
      </c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</sheetData>
  <mergeCells count="2">
    <mergeCell ref="L16:M16"/>
    <mergeCell ref="L17:M17"/>
  </mergeCells>
  <conditionalFormatting sqref="M18">
    <cfRule type="cellIs" dxfId="41" priority="1" operator="equal">
      <formula>"OK"</formula>
    </cfRule>
  </conditionalFormatting>
  <conditionalFormatting sqref="M18">
    <cfRule type="cellIs" dxfId="40" priority="2" operator="equal">
      <formula>"MAL"</formula>
    </cfRule>
  </conditionalFormatting>
  <conditionalFormatting sqref="M19">
    <cfRule type="cellIs" dxfId="39" priority="3" operator="equal">
      <formula>"OK"</formula>
    </cfRule>
  </conditionalFormatting>
  <conditionalFormatting sqref="M19">
    <cfRule type="cellIs" dxfId="38" priority="4" operator="equal">
      <formula>"MAL"</formula>
    </cfRule>
  </conditionalFormatting>
  <conditionalFormatting sqref="M20">
    <cfRule type="cellIs" dxfId="37" priority="5" operator="equal">
      <formula>"OK"</formula>
    </cfRule>
  </conditionalFormatting>
  <conditionalFormatting sqref="M20">
    <cfRule type="cellIs" dxfId="36" priority="6" operator="equal">
      <formula>"MAL"</formula>
    </cfRule>
  </conditionalFormatting>
  <conditionalFormatting sqref="M21">
    <cfRule type="cellIs" dxfId="35" priority="7" operator="equal">
      <formula>"OK"</formula>
    </cfRule>
  </conditionalFormatting>
  <conditionalFormatting sqref="M21">
    <cfRule type="cellIs" dxfId="34" priority="8" operator="equal">
      <formula>"MAL"</formula>
    </cfRule>
  </conditionalFormatting>
  <conditionalFormatting sqref="J17">
    <cfRule type="cellIs" dxfId="33" priority="9" operator="equal">
      <formula>"OK"</formula>
    </cfRule>
  </conditionalFormatting>
  <conditionalFormatting sqref="J17">
    <cfRule type="cellIs" dxfId="32" priority="10" operator="equal">
      <formula>"MAL"</formula>
    </cfRule>
  </conditionalFormatting>
  <pageMargins left="0.7" right="0.7" top="0.75" bottom="0.75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  <pageSetUpPr fitToPage="1"/>
  </sheetPr>
  <dimension ref="A1:Z254"/>
  <sheetViews>
    <sheetView showGridLines="0" workbookViewId="0"/>
  </sheetViews>
  <sheetFormatPr defaultColWidth="14.44140625" defaultRowHeight="15" customHeight="1"/>
  <cols>
    <col min="1" max="1" width="27.109375" customWidth="1"/>
    <col min="2" max="2" width="16.44140625" customWidth="1"/>
    <col min="3" max="3" width="15" customWidth="1"/>
    <col min="4" max="7" width="15.33203125" customWidth="1"/>
    <col min="8" max="8" width="4.88671875" customWidth="1"/>
    <col min="9" max="9" width="15" customWidth="1"/>
    <col min="10" max="10" width="9" customWidth="1"/>
    <col min="11" max="11" width="16.109375" customWidth="1"/>
    <col min="12" max="12" width="9" customWidth="1"/>
    <col min="13" max="13" width="14.44140625" customWidth="1"/>
    <col min="14" max="26" width="9" customWidth="1"/>
  </cols>
  <sheetData>
    <row r="1" spans="1:26" ht="14.25" customHeight="1">
      <c r="A1" s="244" t="s">
        <v>483</v>
      </c>
      <c r="E1" s="231"/>
      <c r="F1" s="302">
        <f>InfoInicial!E1</f>
        <v>10</v>
      </c>
      <c r="G1" s="245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304" t="s">
        <v>585</v>
      </c>
      <c r="B2" s="305"/>
      <c r="C2" s="305"/>
      <c r="D2" s="305"/>
      <c r="E2" s="305"/>
      <c r="F2" s="305"/>
      <c r="G2" s="306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2.75" customHeight="1">
      <c r="A3" s="308" t="s">
        <v>586</v>
      </c>
      <c r="B3" s="650" t="s">
        <v>587</v>
      </c>
      <c r="C3" s="651"/>
      <c r="D3" s="650" t="s">
        <v>588</v>
      </c>
      <c r="E3" s="651"/>
      <c r="F3" s="650" t="s">
        <v>589</v>
      </c>
      <c r="G3" s="652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2.75" customHeight="1">
      <c r="A4" s="308" t="s">
        <v>568</v>
      </c>
      <c r="B4" s="310" t="s">
        <v>590</v>
      </c>
      <c r="C4" s="310" t="s">
        <v>591</v>
      </c>
      <c r="D4" s="310" t="s">
        <v>590</v>
      </c>
      <c r="E4" s="310" t="s">
        <v>591</v>
      </c>
      <c r="F4" s="310" t="s">
        <v>590</v>
      </c>
      <c r="G4" s="311" t="s">
        <v>591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2.75" customHeight="1">
      <c r="A5" s="272" t="s">
        <v>592</v>
      </c>
      <c r="B5" s="297">
        <f>'E-Cal Inv.'!I8</f>
        <v>28088602.882205788</v>
      </c>
      <c r="C5" s="313">
        <f t="shared" ref="C5:C7" si="0">B5/$B$8</f>
        <v>0.74663668767116276</v>
      </c>
      <c r="D5" s="297">
        <f>('E-Inv AF y Am'!B47+'E-Inv AF y Am'!B51+'E-Inv AF y Am'!B46+'E-Inv AF y Am'!B45)</f>
        <v>16825221.600000001</v>
      </c>
      <c r="E5" s="313">
        <f>D5/B8</f>
        <v>0.44723932256223303</v>
      </c>
      <c r="F5" s="297">
        <f t="shared" ref="F5:F7" si="1">B5-D5</f>
        <v>11263381.282205787</v>
      </c>
      <c r="G5" s="314">
        <f>F5/B8</f>
        <v>0.29939736510892978</v>
      </c>
      <c r="H5" s="231"/>
      <c r="I5" s="231"/>
      <c r="J5" s="231"/>
      <c r="K5" s="231"/>
      <c r="L5" s="231"/>
      <c r="M5" s="231"/>
      <c r="N5" s="231" t="s">
        <v>806</v>
      </c>
      <c r="T5" s="231"/>
      <c r="U5" s="231"/>
      <c r="V5" s="231"/>
      <c r="W5" s="231"/>
      <c r="X5" s="231"/>
      <c r="Y5" s="231"/>
      <c r="Z5" s="231"/>
    </row>
    <row r="6" spans="1:26" ht="12.75" customHeight="1">
      <c r="A6" s="269" t="s">
        <v>593</v>
      </c>
      <c r="B6" s="297">
        <f>'E-Cal Inv.'!I18</f>
        <v>3295484.6268051304</v>
      </c>
      <c r="C6" s="313">
        <f t="shared" si="0"/>
        <v>8.7598864790379927E-2</v>
      </c>
      <c r="D6" s="297">
        <f>'E-Cal Inv.'!I14</f>
        <v>1327712.5890350069</v>
      </c>
      <c r="E6" s="313">
        <f>D6/B8</f>
        <v>3.5292568085841136E-2</v>
      </c>
      <c r="F6" s="297">
        <f t="shared" si="1"/>
        <v>1967772.0377701235</v>
      </c>
      <c r="G6" s="314">
        <f>F6/B8</f>
        <v>5.2306296704538784E-2</v>
      </c>
      <c r="H6" s="231"/>
      <c r="I6" s="231"/>
      <c r="J6" s="231"/>
      <c r="K6" s="231"/>
      <c r="L6" s="231"/>
      <c r="M6" s="231"/>
      <c r="N6" s="231" t="s">
        <v>807</v>
      </c>
      <c r="T6" s="231"/>
      <c r="U6" s="231"/>
      <c r="V6" s="231"/>
      <c r="W6" s="231"/>
      <c r="X6" s="231"/>
      <c r="Y6" s="231"/>
      <c r="Z6" s="231"/>
    </row>
    <row r="7" spans="1:26" ht="12.75" customHeight="1">
      <c r="A7" s="269" t="s">
        <v>594</v>
      </c>
      <c r="B7" s="297">
        <f>'E-Cal Inv.'!I23</f>
        <v>6236087.5319679165</v>
      </c>
      <c r="C7" s="313">
        <f t="shared" si="0"/>
        <v>0.16576444753845729</v>
      </c>
      <c r="D7" s="297">
        <v>0</v>
      </c>
      <c r="E7" s="313">
        <f>D7/B8</f>
        <v>0</v>
      </c>
      <c r="F7" s="297">
        <f t="shared" si="1"/>
        <v>6236087.5319679165</v>
      </c>
      <c r="G7" s="314">
        <f>F7/B8</f>
        <v>0.16576444753845729</v>
      </c>
      <c r="H7" s="231"/>
      <c r="I7" s="231"/>
      <c r="J7" s="231"/>
      <c r="K7" s="231"/>
      <c r="L7" s="231"/>
      <c r="M7" s="231" t="s">
        <v>595</v>
      </c>
      <c r="N7" t="s">
        <v>808</v>
      </c>
      <c r="O7">
        <v>0.22</v>
      </c>
      <c r="P7" t="s">
        <v>809</v>
      </c>
      <c r="T7" s="231"/>
      <c r="U7" s="231"/>
      <c r="V7" s="231"/>
      <c r="W7" s="231"/>
      <c r="X7" s="231"/>
      <c r="Y7" s="231"/>
      <c r="Z7" s="231"/>
    </row>
    <row r="8" spans="1:26" ht="13.5" customHeight="1">
      <c r="A8" s="279" t="s">
        <v>277</v>
      </c>
      <c r="B8" s="315">
        <f t="shared" ref="B8:D8" si="2">SUM(B5:B7)</f>
        <v>37620175.040978834</v>
      </c>
      <c r="C8" s="316">
        <f t="shared" si="2"/>
        <v>1</v>
      </c>
      <c r="D8" s="315">
        <f t="shared" si="2"/>
        <v>18152934.18903501</v>
      </c>
      <c r="E8" s="316">
        <f>D8/B8</f>
        <v>0.48253189064807422</v>
      </c>
      <c r="F8" s="315">
        <f t="shared" ref="F8:G8" si="3">SUM(F5:F7)</f>
        <v>19467240.851943828</v>
      </c>
      <c r="G8" s="317">
        <f t="shared" si="3"/>
        <v>0.51746810935192589</v>
      </c>
      <c r="H8" s="231"/>
      <c r="I8" s="231"/>
      <c r="J8" s="231"/>
      <c r="K8" s="231"/>
      <c r="L8" s="231"/>
      <c r="M8" s="231" t="s">
        <v>810</v>
      </c>
      <c r="N8" s="235">
        <v>0.04</v>
      </c>
      <c r="O8">
        <v>0.04</v>
      </c>
      <c r="T8" s="231"/>
      <c r="U8" s="231"/>
      <c r="V8" s="231"/>
      <c r="W8" s="231"/>
      <c r="X8" s="231"/>
      <c r="Y8" s="231"/>
      <c r="Z8" s="231"/>
    </row>
    <row r="9" spans="1:26" ht="14.25" customHeight="1">
      <c r="A9" s="141"/>
      <c r="B9" s="301"/>
      <c r="C9" s="318"/>
      <c r="D9" s="301"/>
      <c r="E9" s="301"/>
      <c r="F9" s="301"/>
      <c r="G9" s="30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6.5" customHeight="1">
      <c r="A10" s="460" t="s">
        <v>811</v>
      </c>
      <c r="B10" s="461"/>
      <c r="C10" s="461"/>
      <c r="D10" s="461"/>
      <c r="E10" s="461"/>
      <c r="F10" s="461"/>
      <c r="G10" s="461"/>
      <c r="H10" s="461"/>
      <c r="I10" s="462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463" t="s">
        <v>812</v>
      </c>
      <c r="B11" s="464" t="s">
        <v>813</v>
      </c>
      <c r="C11" s="464" t="s">
        <v>814</v>
      </c>
      <c r="D11" s="464" t="s">
        <v>815</v>
      </c>
      <c r="E11" s="464" t="s">
        <v>814</v>
      </c>
      <c r="F11" s="464" t="s">
        <v>816</v>
      </c>
      <c r="G11" s="464" t="s">
        <v>815</v>
      </c>
      <c r="H11" s="464"/>
      <c r="I11" s="465" t="s">
        <v>817</v>
      </c>
      <c r="J11" s="231"/>
      <c r="K11" s="231"/>
      <c r="L11" s="231"/>
      <c r="M11" s="231" t="s">
        <v>595</v>
      </c>
      <c r="N11" t="s">
        <v>596</v>
      </c>
      <c r="O11">
        <v>0.15</v>
      </c>
      <c r="P11" t="s">
        <v>597</v>
      </c>
      <c r="T11" s="231"/>
      <c r="U11" s="231"/>
      <c r="V11" s="231"/>
      <c r="W11" s="231"/>
      <c r="X11" s="231"/>
      <c r="Y11" s="231"/>
      <c r="Z11" s="231"/>
    </row>
    <row r="12" spans="1:26" ht="13.5" customHeight="1">
      <c r="A12" s="466"/>
      <c r="B12" s="467"/>
      <c r="C12" s="467" t="s">
        <v>818</v>
      </c>
      <c r="D12" s="467" t="s">
        <v>818</v>
      </c>
      <c r="E12" s="467" t="s">
        <v>525</v>
      </c>
      <c r="F12" s="467" t="s">
        <v>819</v>
      </c>
      <c r="G12" s="467" t="s">
        <v>525</v>
      </c>
      <c r="H12" s="467" t="s">
        <v>820</v>
      </c>
      <c r="I12" s="468" t="s">
        <v>821</v>
      </c>
      <c r="J12" s="231"/>
      <c r="K12" s="231"/>
      <c r="L12" s="231"/>
      <c r="M12" s="231"/>
      <c r="N12" s="235"/>
      <c r="P12" t="s">
        <v>598</v>
      </c>
      <c r="T12" s="231"/>
      <c r="U12" s="231"/>
      <c r="V12" s="231"/>
      <c r="W12" s="231"/>
      <c r="X12" s="231"/>
      <c r="Y12" s="231"/>
      <c r="Z12" s="231"/>
    </row>
    <row r="13" spans="1:26" ht="13.5" customHeight="1">
      <c r="A13" s="469" t="str">
        <f>'Marcha Credito Act. Fijo NO REN'!B13</f>
        <v>1/4/-1</v>
      </c>
      <c r="B13" s="373">
        <f>'Marcha Credito Act. Fijo NO REN'!C13</f>
        <v>8412610.8000000007</v>
      </c>
      <c r="C13" s="373"/>
      <c r="D13" s="373"/>
      <c r="E13" s="373"/>
      <c r="F13" s="282"/>
      <c r="G13" s="373"/>
      <c r="H13" s="470"/>
      <c r="I13" s="471">
        <f>'Marcha Credito Act. Fijo NO REN'!J13</f>
        <v>336504.43200000003</v>
      </c>
      <c r="J13" s="231"/>
      <c r="K13" s="231"/>
      <c r="L13" s="231"/>
      <c r="M13" s="231" t="s">
        <v>822</v>
      </c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472" t="str">
        <f>'Marcha Credito Act. Fijo NO REN'!B14</f>
        <v>1/8/-1</v>
      </c>
      <c r="B14" s="297">
        <f>'Marcha Credito Act. Fijo NO REN'!C14</f>
        <v>16825221.600000001</v>
      </c>
      <c r="C14" s="297"/>
      <c r="D14" s="297">
        <f>'Marcha Credito Act. Fijo NO REN'!E14</f>
        <v>616924.79200000002</v>
      </c>
      <c r="E14" s="297"/>
      <c r="F14" s="271"/>
      <c r="G14" s="297"/>
      <c r="H14" s="394"/>
      <c r="I14" s="328">
        <f>'Marcha Credito Act. Fijo NO REN'!J14</f>
        <v>336504.43200000003</v>
      </c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472" t="str">
        <f>'Marcha Credito Act. Fijo NO REN'!B15</f>
        <v>1/12/-1</v>
      </c>
      <c r="B15" s="297">
        <f>'Marcha Credito Act. Fijo NO REN'!C15</f>
        <v>16825221.600000001</v>
      </c>
      <c r="C15" s="297"/>
      <c r="D15" s="297">
        <f>'Marcha Credito Act. Fijo NO REN'!E15</f>
        <v>1233849.584</v>
      </c>
      <c r="E15" s="297"/>
      <c r="F15" s="271"/>
      <c r="G15" s="297"/>
      <c r="H15" s="394"/>
      <c r="I15" s="328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472"/>
      <c r="B16" s="297"/>
      <c r="C16" s="297"/>
      <c r="D16" s="297"/>
      <c r="E16" s="297"/>
      <c r="F16" s="271"/>
      <c r="G16" s="297"/>
      <c r="H16" s="394"/>
      <c r="I16" s="328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472"/>
      <c r="B17" s="297"/>
      <c r="C17" s="297"/>
      <c r="D17" s="297"/>
      <c r="E17" s="297"/>
      <c r="F17" s="271"/>
      <c r="G17" s="297"/>
      <c r="H17" s="394"/>
      <c r="I17" s="328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472"/>
      <c r="B18" s="297"/>
      <c r="C18" s="297"/>
      <c r="D18" s="297"/>
      <c r="E18" s="297"/>
      <c r="F18" s="271"/>
      <c r="G18" s="297"/>
      <c r="H18" s="394"/>
      <c r="I18" s="328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472"/>
      <c r="B19" s="297"/>
      <c r="C19" s="297"/>
      <c r="D19" s="297"/>
      <c r="E19" s="297"/>
      <c r="F19" s="271"/>
      <c r="G19" s="297"/>
      <c r="H19" s="394"/>
      <c r="I19" s="328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3.5" customHeight="1">
      <c r="A20" s="473"/>
      <c r="B20" s="474"/>
      <c r="C20" s="474"/>
      <c r="D20" s="363"/>
      <c r="E20" s="474"/>
      <c r="F20" s="275"/>
      <c r="G20" s="363"/>
      <c r="H20" s="475"/>
      <c r="I20" s="476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246" t="s">
        <v>823</v>
      </c>
      <c r="B21" s="477"/>
      <c r="C21" s="477"/>
      <c r="D21" s="478">
        <f>SUM(D13:D20)</f>
        <v>1850774.3760000002</v>
      </c>
      <c r="E21" s="477"/>
      <c r="F21" s="479"/>
      <c r="G21" s="478">
        <f>D21</f>
        <v>1850774.3760000002</v>
      </c>
      <c r="H21" s="235"/>
      <c r="I21" s="478">
        <f>SUM(I13:I20)</f>
        <v>673008.86400000006</v>
      </c>
      <c r="J21" s="231"/>
      <c r="K21" s="480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3.5" customHeight="1">
      <c r="A22" s="481" t="s">
        <v>824</v>
      </c>
      <c r="B22" s="373">
        <f>'Marcha Credito Act. Fijo NO REN'!C22</f>
        <v>16825221.600000001</v>
      </c>
      <c r="C22" s="373"/>
      <c r="D22" s="327"/>
      <c r="E22" s="373"/>
      <c r="F22" s="282"/>
      <c r="G22" s="327"/>
      <c r="H22" s="470"/>
      <c r="I22" s="421"/>
      <c r="J22" s="231"/>
      <c r="K22" s="231"/>
      <c r="L22" s="231" t="s">
        <v>825</v>
      </c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482" t="s">
        <v>826</v>
      </c>
      <c r="B23" s="297">
        <f>B22+$D$6-C23</f>
        <v>16470412.029035009</v>
      </c>
      <c r="C23" s="297">
        <f>'Marcha Credito Act. Fijo NO REN'!D23</f>
        <v>1682522.1600000001</v>
      </c>
      <c r="D23" s="329">
        <f>(B22*O7/2)+(D6*O11/2)</f>
        <v>1950352.8201776256</v>
      </c>
      <c r="E23" s="297"/>
      <c r="F23" s="271"/>
      <c r="G23" s="297"/>
      <c r="H23" s="394"/>
      <c r="I23" s="328"/>
      <c r="J23" s="156" t="s">
        <v>827</v>
      </c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482" t="s">
        <v>828</v>
      </c>
      <c r="B24" s="297">
        <f t="shared" ref="B24:B32" si="4">B23-C24</f>
        <v>14787889.869035009</v>
      </c>
      <c r="C24" s="297">
        <f>'Marcha Credito Act. Fijo NO REN'!D24</f>
        <v>1682522.1600000001</v>
      </c>
      <c r="D24" s="297">
        <f t="shared" ref="D24:D32" si="5">((B23-$D$6)*$O$7/2)+($D$6*$O$11/2)</f>
        <v>1765275.3825776258</v>
      </c>
      <c r="E24" s="297">
        <f>C23+C24</f>
        <v>3365044.3200000003</v>
      </c>
      <c r="F24" s="297">
        <f>(B24+B22)/2</f>
        <v>15806555.734517505</v>
      </c>
      <c r="G24" s="297">
        <f>D23+D24</f>
        <v>3715628.2027552514</v>
      </c>
      <c r="H24" s="313">
        <f>G24/F24</f>
        <v>0.23506880721909976</v>
      </c>
      <c r="I24" s="328"/>
      <c r="J24" s="160" t="s">
        <v>552</v>
      </c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482" t="s">
        <v>829</v>
      </c>
      <c r="B25" s="297">
        <f t="shared" si="4"/>
        <v>13105367.709035009</v>
      </c>
      <c r="C25" s="297">
        <f>'Marcha Credito Act. Fijo NO REN'!D25</f>
        <v>1682522.1600000001</v>
      </c>
      <c r="D25" s="297">
        <f t="shared" si="5"/>
        <v>1580197.9449776257</v>
      </c>
      <c r="E25" s="297"/>
      <c r="F25" s="297"/>
      <c r="G25" s="297"/>
      <c r="H25" s="313"/>
      <c r="I25" s="328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482" t="s">
        <v>830</v>
      </c>
      <c r="B26" s="297">
        <f t="shared" si="4"/>
        <v>11422845.549035009</v>
      </c>
      <c r="C26" s="297">
        <f>'Marcha Credito Act. Fijo NO REN'!D26</f>
        <v>1682522.1600000001</v>
      </c>
      <c r="D26" s="297">
        <f t="shared" si="5"/>
        <v>1395120.5073776259</v>
      </c>
      <c r="E26" s="297">
        <f>C25+C26</f>
        <v>3365044.3200000003</v>
      </c>
      <c r="F26" s="297">
        <f>(B26+B24)/2</f>
        <v>13105367.709035009</v>
      </c>
      <c r="G26" s="297">
        <f>D25+D26</f>
        <v>2975318.4523552516</v>
      </c>
      <c r="H26" s="313">
        <f>G26/F26</f>
        <v>0.22703052050222358</v>
      </c>
      <c r="I26" s="328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482" t="s">
        <v>831</v>
      </c>
      <c r="B27" s="297">
        <f t="shared" si="4"/>
        <v>9740323.3890350088</v>
      </c>
      <c r="C27" s="297">
        <f>'Marcha Credito Act. Fijo NO REN'!D27</f>
        <v>1682522.1600000001</v>
      </c>
      <c r="D27" s="297">
        <f t="shared" si="5"/>
        <v>1210043.0697776258</v>
      </c>
      <c r="E27" s="297"/>
      <c r="F27" s="297"/>
      <c r="G27" s="297"/>
      <c r="H27" s="313"/>
      <c r="I27" s="328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482" t="s">
        <v>832</v>
      </c>
      <c r="B28" s="297">
        <f t="shared" si="4"/>
        <v>8057801.2290350087</v>
      </c>
      <c r="C28" s="297">
        <f>'Marcha Credito Act. Fijo NO REN'!D28</f>
        <v>1682522.1600000001</v>
      </c>
      <c r="D28" s="297">
        <f t="shared" si="5"/>
        <v>1024965.6321776258</v>
      </c>
      <c r="E28" s="297">
        <f>C27+C28</f>
        <v>3365044.3200000003</v>
      </c>
      <c r="F28" s="297">
        <f>(B28+B26)/2</f>
        <v>9740323.3890350088</v>
      </c>
      <c r="G28" s="297">
        <f>D27+D28</f>
        <v>2235008.7019552514</v>
      </c>
      <c r="H28" s="313">
        <f>G28/F28</f>
        <v>0.22945939397364071</v>
      </c>
      <c r="I28" s="328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482" t="s">
        <v>833</v>
      </c>
      <c r="B29" s="297">
        <f t="shared" si="4"/>
        <v>6375279.0690350085</v>
      </c>
      <c r="C29" s="297">
        <f>'Marcha Credito Act. Fijo NO REN'!D29</f>
        <v>1682522.1600000001</v>
      </c>
      <c r="D29" s="297">
        <f t="shared" si="5"/>
        <v>839888.1945776256</v>
      </c>
      <c r="E29" s="297"/>
      <c r="F29" s="297"/>
      <c r="G29" s="297"/>
      <c r="H29" s="313"/>
      <c r="I29" s="328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482" t="s">
        <v>834</v>
      </c>
      <c r="B30" s="297">
        <f t="shared" si="4"/>
        <v>4692756.9090350084</v>
      </c>
      <c r="C30" s="297">
        <f>'Marcha Credito Act. Fijo NO REN'!D30</f>
        <v>1682522.1600000001</v>
      </c>
      <c r="D30" s="297">
        <f t="shared" si="5"/>
        <v>654810.75697762566</v>
      </c>
      <c r="E30" s="297">
        <f>C29+C30</f>
        <v>3365044.3200000003</v>
      </c>
      <c r="F30" s="297">
        <f>(B30+B28)/2</f>
        <v>6375279.0690350085</v>
      </c>
      <c r="G30" s="297">
        <f>D29+D30</f>
        <v>1494698.9515552511</v>
      </c>
      <c r="H30" s="313">
        <f>G30/F30</f>
        <v>0.23445231736051605</v>
      </c>
      <c r="I30" s="328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482" t="s">
        <v>835</v>
      </c>
      <c r="B31" s="297">
        <f t="shared" si="4"/>
        <v>3010234.7490350083</v>
      </c>
      <c r="C31" s="297">
        <f>'Marcha Credito Act. Fijo NO REN'!D31</f>
        <v>1682522.1600000001</v>
      </c>
      <c r="D31" s="297">
        <f t="shared" si="5"/>
        <v>469733.31937762565</v>
      </c>
      <c r="E31" s="297"/>
      <c r="F31" s="297"/>
      <c r="G31" s="297"/>
      <c r="H31" s="313"/>
      <c r="I31" s="328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482" t="s">
        <v>836</v>
      </c>
      <c r="B32" s="297">
        <f t="shared" si="4"/>
        <v>1327712.5890350081</v>
      </c>
      <c r="C32" s="297">
        <f>'Marcha Credito Act. Fijo NO REN'!D32</f>
        <v>1682522.1600000001</v>
      </c>
      <c r="D32" s="297">
        <f t="shared" si="5"/>
        <v>284655.88177762565</v>
      </c>
      <c r="E32" s="297">
        <f>C31+C32</f>
        <v>3365044.3200000003</v>
      </c>
      <c r="F32" s="297">
        <f>(B32+B30)/2</f>
        <v>3010234.7490350083</v>
      </c>
      <c r="G32" s="297">
        <f>D31+D32</f>
        <v>754389.20115525136</v>
      </c>
      <c r="H32" s="313">
        <f>G32/F32</f>
        <v>0.25060809672637196</v>
      </c>
      <c r="I32" s="328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483"/>
      <c r="B33" s="297"/>
      <c r="C33" s="297"/>
      <c r="D33" s="297"/>
      <c r="E33" s="297"/>
      <c r="F33" s="297"/>
      <c r="G33" s="297"/>
      <c r="H33" s="313"/>
      <c r="I33" s="328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483"/>
      <c r="B34" s="297"/>
      <c r="C34" s="297"/>
      <c r="D34" s="297"/>
      <c r="E34" s="297"/>
      <c r="F34" s="297"/>
      <c r="G34" s="297"/>
      <c r="H34" s="313"/>
      <c r="I34" s="328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483"/>
      <c r="B35" s="297"/>
      <c r="C35" s="297"/>
      <c r="D35" s="297"/>
      <c r="E35" s="297"/>
      <c r="F35" s="271"/>
      <c r="G35" s="297"/>
      <c r="H35" s="394"/>
      <c r="I35" s="328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483"/>
      <c r="B36" s="297"/>
      <c r="C36" s="297"/>
      <c r="D36" s="297"/>
      <c r="E36" s="297"/>
      <c r="F36" s="297"/>
      <c r="G36" s="297"/>
      <c r="H36" s="313"/>
      <c r="I36" s="328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483"/>
      <c r="B37" s="297"/>
      <c r="C37" s="297"/>
      <c r="D37" s="297"/>
      <c r="E37" s="297"/>
      <c r="F37" s="271"/>
      <c r="G37" s="297"/>
      <c r="H37" s="394"/>
      <c r="I37" s="328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483"/>
      <c r="B38" s="297"/>
      <c r="C38" s="297"/>
      <c r="D38" s="297"/>
      <c r="E38" s="297"/>
      <c r="F38" s="297"/>
      <c r="G38" s="297"/>
      <c r="H38" s="313"/>
      <c r="I38" s="328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483"/>
      <c r="B39" s="297"/>
      <c r="C39" s="297"/>
      <c r="D39" s="297"/>
      <c r="E39" s="297"/>
      <c r="F39" s="271"/>
      <c r="G39" s="297"/>
      <c r="H39" s="394"/>
      <c r="I39" s="328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483"/>
      <c r="B40" s="297"/>
      <c r="C40" s="297"/>
      <c r="D40" s="297"/>
      <c r="E40" s="297"/>
      <c r="F40" s="297"/>
      <c r="G40" s="297"/>
      <c r="H40" s="313"/>
      <c r="I40" s="328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483"/>
      <c r="B41" s="297"/>
      <c r="C41" s="297"/>
      <c r="D41" s="297"/>
      <c r="E41" s="297"/>
      <c r="F41" s="271"/>
      <c r="G41" s="297"/>
      <c r="H41" s="394"/>
      <c r="I41" s="328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483"/>
      <c r="B42" s="297"/>
      <c r="C42" s="297"/>
      <c r="D42" s="297"/>
      <c r="E42" s="297"/>
      <c r="F42" s="297"/>
      <c r="G42" s="297"/>
      <c r="H42" s="313"/>
      <c r="I42" s="328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483"/>
      <c r="B43" s="297"/>
      <c r="C43" s="297"/>
      <c r="D43" s="297"/>
      <c r="E43" s="297"/>
      <c r="F43" s="271"/>
      <c r="G43" s="297"/>
      <c r="H43" s="394"/>
      <c r="I43" s="328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483"/>
      <c r="B44" s="297"/>
      <c r="C44" s="297"/>
      <c r="D44" s="297"/>
      <c r="E44" s="297"/>
      <c r="F44" s="297"/>
      <c r="G44" s="297"/>
      <c r="H44" s="313"/>
      <c r="I44" s="328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483"/>
      <c r="B45" s="297"/>
      <c r="C45" s="297"/>
      <c r="D45" s="297"/>
      <c r="E45" s="297"/>
      <c r="F45" s="271"/>
      <c r="G45" s="297"/>
      <c r="H45" s="394"/>
      <c r="I45" s="328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483"/>
      <c r="B46" s="297"/>
      <c r="C46" s="297"/>
      <c r="D46" s="297"/>
      <c r="E46" s="297"/>
      <c r="F46" s="297"/>
      <c r="G46" s="297"/>
      <c r="H46" s="313"/>
      <c r="I46" s="328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483"/>
      <c r="B47" s="297"/>
      <c r="C47" s="297"/>
      <c r="D47" s="297"/>
      <c r="E47" s="297"/>
      <c r="F47" s="271"/>
      <c r="G47" s="297"/>
      <c r="H47" s="394"/>
      <c r="I47" s="328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483"/>
      <c r="B48" s="297"/>
      <c r="C48" s="297"/>
      <c r="D48" s="297"/>
      <c r="E48" s="297"/>
      <c r="F48" s="297"/>
      <c r="G48" s="297"/>
      <c r="H48" s="313"/>
      <c r="I48" s="328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483"/>
      <c r="B49" s="297"/>
      <c r="C49" s="297"/>
      <c r="D49" s="297"/>
      <c r="E49" s="297"/>
      <c r="F49" s="271"/>
      <c r="G49" s="297"/>
      <c r="H49" s="394"/>
      <c r="I49" s="328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483"/>
      <c r="B50" s="297"/>
      <c r="C50" s="297"/>
      <c r="D50" s="297"/>
      <c r="E50" s="297"/>
      <c r="F50" s="297"/>
      <c r="G50" s="297"/>
      <c r="H50" s="313"/>
      <c r="I50" s="328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483"/>
      <c r="B51" s="297"/>
      <c r="C51" s="297"/>
      <c r="D51" s="297"/>
      <c r="E51" s="297"/>
      <c r="F51" s="271"/>
      <c r="G51" s="297"/>
      <c r="H51" s="394"/>
      <c r="I51" s="328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483"/>
      <c r="B52" s="297"/>
      <c r="C52" s="297"/>
      <c r="D52" s="297"/>
      <c r="E52" s="297"/>
      <c r="F52" s="297"/>
      <c r="G52" s="297"/>
      <c r="H52" s="313"/>
      <c r="I52" s="328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472"/>
      <c r="B53" s="297"/>
      <c r="C53" s="297"/>
      <c r="D53" s="297"/>
      <c r="E53" s="297"/>
      <c r="F53" s="271"/>
      <c r="G53" s="297"/>
      <c r="H53" s="394"/>
      <c r="I53" s="328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3.5" customHeight="1">
      <c r="A54" s="484" t="s">
        <v>837</v>
      </c>
      <c r="B54" s="315">
        <f t="shared" ref="B54:E54" si="6">SUM(B22:B32)</f>
        <v>105815844.69035009</v>
      </c>
      <c r="C54" s="315">
        <f t="shared" si="6"/>
        <v>16825221.600000001</v>
      </c>
      <c r="D54" s="315">
        <f t="shared" si="6"/>
        <v>11175043.509776255</v>
      </c>
      <c r="E54" s="315">
        <f t="shared" si="6"/>
        <v>16825221.600000001</v>
      </c>
      <c r="F54" s="315"/>
      <c r="G54" s="315">
        <f>SUM(G22:G32)</f>
        <v>11175043.509776255</v>
      </c>
      <c r="H54" s="315"/>
      <c r="I54" s="315">
        <f>I21</f>
        <v>673008.86400000006</v>
      </c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2.7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2.7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2.7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2.7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2.7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2.7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2.7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2.7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  <row r="239" spans="1:26" ht="12.75" customHeight="1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</row>
    <row r="240" spans="1:26" ht="12.75" customHeight="1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</row>
    <row r="241" spans="1:26" ht="12.75" customHeight="1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</row>
    <row r="242" spans="1:26" ht="12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</row>
    <row r="243" spans="1:26" ht="12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</row>
    <row r="244" spans="1:26" ht="12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</row>
    <row r="245" spans="1:26" ht="12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</row>
    <row r="246" spans="1:26" ht="12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  <c r="Z246" s="231"/>
    </row>
    <row r="247" spans="1:26" ht="12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  <c r="Z247" s="231"/>
    </row>
    <row r="248" spans="1:26" ht="12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  <c r="Z248" s="231"/>
    </row>
    <row r="249" spans="1:26" ht="12.75" customHeight="1">
      <c r="A249" s="231"/>
      <c r="B249" s="231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  <c r="X249" s="231"/>
      <c r="Y249" s="231"/>
      <c r="Z249" s="231"/>
    </row>
    <row r="250" spans="1:26" ht="12.75" customHeight="1">
      <c r="A250" s="231"/>
      <c r="B250" s="231"/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1"/>
      <c r="Z250" s="231"/>
    </row>
    <row r="251" spans="1:26" ht="12.75" customHeight="1">
      <c r="A251" s="231"/>
      <c r="B251" s="231"/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1"/>
      <c r="Z251" s="231"/>
    </row>
    <row r="252" spans="1:26" ht="12.75" customHeight="1">
      <c r="A252" s="231"/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1"/>
      <c r="Y252" s="231"/>
      <c r="Z252" s="231"/>
    </row>
    <row r="253" spans="1:26" ht="12.75" customHeight="1">
      <c r="A253" s="231"/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1"/>
      <c r="Y253" s="231"/>
      <c r="Z253" s="231"/>
    </row>
    <row r="254" spans="1:26" ht="12.75" customHeight="1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1"/>
      <c r="Y254" s="231"/>
      <c r="Z254" s="231"/>
    </row>
  </sheetData>
  <mergeCells count="3">
    <mergeCell ref="B3:C3"/>
    <mergeCell ref="D3:E3"/>
    <mergeCell ref="F3:G3"/>
  </mergeCells>
  <pageMargins left="0.7" right="0.7" top="0.75" bottom="0.75" header="0" footer="0"/>
  <pageSetup paperSize="9"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2CC"/>
    <outlinePr summaryBelow="0" summaryRight="0"/>
    <pageSetUpPr fitToPage="1"/>
  </sheetPr>
  <dimension ref="A1:M250"/>
  <sheetViews>
    <sheetView workbookViewId="0"/>
  </sheetViews>
  <sheetFormatPr defaultColWidth="14.44140625" defaultRowHeight="15" customHeight="1"/>
  <cols>
    <col min="1" max="1" width="9.88671875" customWidth="1"/>
    <col min="2" max="2" width="19.6640625" customWidth="1"/>
    <col min="3" max="6" width="14.44140625" customWidth="1"/>
  </cols>
  <sheetData>
    <row r="1" spans="1:13" ht="13.2">
      <c r="A1" s="244"/>
      <c r="B1" s="244" t="s">
        <v>483</v>
      </c>
      <c r="F1" s="231"/>
      <c r="G1" s="302">
        <f>InfoInicial!E1</f>
        <v>10</v>
      </c>
      <c r="H1" s="245"/>
      <c r="I1" s="231"/>
      <c r="J1" s="231"/>
    </row>
    <row r="2" spans="1:13" ht="15.6">
      <c r="A2" s="303"/>
      <c r="B2" s="304" t="s">
        <v>585</v>
      </c>
      <c r="C2" s="305"/>
      <c r="D2" s="305"/>
      <c r="E2" s="305"/>
      <c r="F2" s="305"/>
      <c r="G2" s="305"/>
      <c r="H2" s="306"/>
      <c r="I2" s="231"/>
      <c r="J2" s="231"/>
    </row>
    <row r="3" spans="1:13" ht="13.2">
      <c r="A3" s="307"/>
      <c r="B3" s="308" t="s">
        <v>586</v>
      </c>
      <c r="C3" s="650" t="s">
        <v>587</v>
      </c>
      <c r="D3" s="651"/>
      <c r="E3" s="650" t="s">
        <v>588</v>
      </c>
      <c r="F3" s="651"/>
      <c r="G3" s="650" t="s">
        <v>589</v>
      </c>
      <c r="H3" s="652"/>
      <c r="I3" s="231"/>
      <c r="J3" s="231"/>
    </row>
    <row r="4" spans="1:13" ht="13.2">
      <c r="A4" s="307"/>
      <c r="B4" s="308" t="s">
        <v>568</v>
      </c>
      <c r="C4" s="310" t="s">
        <v>590</v>
      </c>
      <c r="D4" s="310" t="s">
        <v>591</v>
      </c>
      <c r="E4" s="310" t="s">
        <v>590</v>
      </c>
      <c r="F4" s="310" t="s">
        <v>591</v>
      </c>
      <c r="G4" s="310" t="s">
        <v>590</v>
      </c>
      <c r="H4" s="311" t="s">
        <v>591</v>
      </c>
      <c r="I4" s="231"/>
      <c r="J4" s="231"/>
    </row>
    <row r="5" spans="1:13" ht="13.2">
      <c r="A5" s="312"/>
      <c r="B5" s="272" t="s">
        <v>592</v>
      </c>
      <c r="C5" s="297">
        <f>'E-Cal Inv.'!I8</f>
        <v>28088602.882205788</v>
      </c>
      <c r="D5" s="313">
        <f t="shared" ref="D5:D7" si="0">C5/$C$8</f>
        <v>0.74663668767116276</v>
      </c>
      <c r="E5" s="297">
        <f>('E-Inv AF y Am'!B47+'E-Inv AF y Am'!B51+'E-Inv AF y Am'!B46+'E-Inv AF y Am'!B45)</f>
        <v>16825221.600000001</v>
      </c>
      <c r="F5" s="313">
        <f>E5/C8</f>
        <v>0.44723932256223303</v>
      </c>
      <c r="G5" s="297">
        <f t="shared" ref="G5:G7" si="1">C5-E5</f>
        <v>11263381.282205787</v>
      </c>
      <c r="H5" s="314">
        <f>G5/C8</f>
        <v>0.29939736510892978</v>
      </c>
      <c r="I5" s="231"/>
      <c r="J5" s="231"/>
      <c r="K5" s="231" t="s">
        <v>806</v>
      </c>
    </row>
    <row r="6" spans="1:13" ht="13.2">
      <c r="A6" s="231"/>
      <c r="B6" s="269" t="s">
        <v>593</v>
      </c>
      <c r="C6" s="297">
        <f>'E-Cal Inv.'!I18</f>
        <v>3295484.6268051304</v>
      </c>
      <c r="D6" s="313">
        <f t="shared" si="0"/>
        <v>8.7598864790379927E-2</v>
      </c>
      <c r="E6" s="297">
        <f>'E-Cal Inv.'!I14+'E-Cal Inv.'!I15</f>
        <v>1536034.9474219717</v>
      </c>
      <c r="F6" s="313">
        <f>E6/C8</f>
        <v>4.0830085074000919E-2</v>
      </c>
      <c r="G6" s="297">
        <f t="shared" si="1"/>
        <v>1759449.6793831587</v>
      </c>
      <c r="H6" s="314">
        <f>G6/C8</f>
        <v>4.6768779716379008E-2</v>
      </c>
      <c r="I6" s="231"/>
      <c r="J6" s="231"/>
      <c r="K6" s="231" t="s">
        <v>807</v>
      </c>
    </row>
    <row r="7" spans="1:13" ht="13.2">
      <c r="A7" s="231"/>
      <c r="B7" s="269" t="s">
        <v>594</v>
      </c>
      <c r="C7" s="297">
        <f>'E-Cal Inv.'!I23</f>
        <v>6236087.5319679165</v>
      </c>
      <c r="D7" s="313">
        <f t="shared" si="0"/>
        <v>0.16576444753845729</v>
      </c>
      <c r="E7" s="297">
        <v>0</v>
      </c>
      <c r="F7" s="313">
        <f>E7/C8</f>
        <v>0</v>
      </c>
      <c r="G7" s="297">
        <f t="shared" si="1"/>
        <v>6236087.5319679165</v>
      </c>
      <c r="H7" s="314">
        <f>G7/C8</f>
        <v>0.16576444753845729</v>
      </c>
      <c r="I7" s="231"/>
      <c r="J7" s="231" t="s">
        <v>595</v>
      </c>
      <c r="K7" t="s">
        <v>808</v>
      </c>
      <c r="L7">
        <v>0.22</v>
      </c>
      <c r="M7" t="s">
        <v>809</v>
      </c>
    </row>
    <row r="8" spans="1:13" ht="13.2">
      <c r="A8" s="141"/>
      <c r="B8" s="279" t="s">
        <v>277</v>
      </c>
      <c r="C8" s="315">
        <f t="shared" ref="C8:E8" si="2">SUM(C5:C7)</f>
        <v>37620175.040978834</v>
      </c>
      <c r="D8" s="316">
        <f t="shared" si="2"/>
        <v>1</v>
      </c>
      <c r="E8" s="315">
        <f t="shared" si="2"/>
        <v>18361256.547421973</v>
      </c>
      <c r="F8" s="316">
        <f>E8/C8</f>
        <v>0.48806940763623397</v>
      </c>
      <c r="G8" s="315">
        <f t="shared" ref="G8:H8" si="3">SUM(G5:G7)</f>
        <v>19258918.493556861</v>
      </c>
      <c r="H8" s="317">
        <f t="shared" si="3"/>
        <v>0.51193059236376603</v>
      </c>
      <c r="I8" s="231"/>
      <c r="J8" s="231" t="s">
        <v>810</v>
      </c>
      <c r="K8" s="235">
        <v>0.04</v>
      </c>
      <c r="L8">
        <v>0.04</v>
      </c>
    </row>
    <row r="9" spans="1:13" ht="13.2">
      <c r="A9" s="141"/>
      <c r="B9" s="141"/>
      <c r="C9" s="301"/>
      <c r="D9" s="318"/>
      <c r="E9" s="301"/>
      <c r="F9" s="301"/>
      <c r="G9" s="301"/>
      <c r="H9" s="301"/>
      <c r="I9" s="231"/>
      <c r="J9" s="231"/>
    </row>
    <row r="10" spans="1:13" ht="15.6">
      <c r="A10" s="303"/>
      <c r="B10" s="460" t="s">
        <v>811</v>
      </c>
      <c r="C10" s="461"/>
      <c r="D10" s="461"/>
      <c r="E10" s="461"/>
      <c r="F10" s="461"/>
      <c r="G10" s="461"/>
      <c r="H10" s="461"/>
      <c r="I10" s="461"/>
      <c r="J10" s="462"/>
    </row>
    <row r="11" spans="1:13" ht="13.2">
      <c r="A11" s="307"/>
      <c r="B11" s="463" t="s">
        <v>812</v>
      </c>
      <c r="C11" s="464" t="s">
        <v>813</v>
      </c>
      <c r="D11" s="464" t="s">
        <v>814</v>
      </c>
      <c r="E11" s="464" t="s">
        <v>815</v>
      </c>
      <c r="F11" s="464" t="s">
        <v>814</v>
      </c>
      <c r="G11" s="464" t="s">
        <v>816</v>
      </c>
      <c r="H11" s="464" t="s">
        <v>815</v>
      </c>
      <c r="I11" s="464"/>
      <c r="J11" s="465" t="s">
        <v>817</v>
      </c>
    </row>
    <row r="12" spans="1:13" ht="13.2">
      <c r="A12" s="307"/>
      <c r="B12" s="466"/>
      <c r="C12" s="467"/>
      <c r="D12" s="467" t="s">
        <v>818</v>
      </c>
      <c r="E12" s="467" t="s">
        <v>818</v>
      </c>
      <c r="F12" s="467" t="s">
        <v>525</v>
      </c>
      <c r="G12" s="467" t="s">
        <v>819</v>
      </c>
      <c r="H12" s="467" t="s">
        <v>525</v>
      </c>
      <c r="I12" s="467" t="s">
        <v>820</v>
      </c>
      <c r="J12" s="468" t="s">
        <v>821</v>
      </c>
    </row>
    <row r="13" spans="1:13" ht="13.2">
      <c r="A13" s="231"/>
      <c r="B13" s="485" t="s">
        <v>838</v>
      </c>
      <c r="C13" s="373">
        <f>E5/2</f>
        <v>8412610.8000000007</v>
      </c>
      <c r="D13" s="373"/>
      <c r="E13" s="373"/>
      <c r="F13" s="373"/>
      <c r="G13" s="282"/>
      <c r="H13" s="373"/>
      <c r="I13" s="470"/>
      <c r="J13" s="471">
        <f>(L8*E5)/2</f>
        <v>336504.43200000003</v>
      </c>
    </row>
    <row r="14" spans="1:13" ht="13.2">
      <c r="A14" s="231"/>
      <c r="B14" s="269" t="s">
        <v>839</v>
      </c>
      <c r="C14" s="297">
        <f>E5</f>
        <v>16825221.600000001</v>
      </c>
      <c r="D14" s="297"/>
      <c r="E14" s="297">
        <f>(L7/12*4)*C13</f>
        <v>616924.79200000002</v>
      </c>
      <c r="F14" s="297"/>
      <c r="G14" s="271"/>
      <c r="H14" s="297"/>
      <c r="I14" s="394"/>
      <c r="J14" s="328">
        <f>(L8*E5)/2</f>
        <v>336504.43200000003</v>
      </c>
    </row>
    <row r="15" spans="1:13" ht="13.2">
      <c r="A15" s="231"/>
      <c r="B15" s="269" t="s">
        <v>840</v>
      </c>
      <c r="C15" s="297">
        <f>E5</f>
        <v>16825221.600000001</v>
      </c>
      <c r="D15" s="297"/>
      <c r="E15" s="297">
        <f>C14*(L7/12*4)</f>
        <v>1233849.584</v>
      </c>
      <c r="F15" s="297"/>
      <c r="G15" s="271"/>
      <c r="H15" s="297"/>
      <c r="I15" s="394"/>
      <c r="J15" s="328"/>
    </row>
    <row r="16" spans="1:13" ht="13.2">
      <c r="A16" s="486"/>
      <c r="B16" s="472"/>
      <c r="C16" s="297"/>
      <c r="D16" s="297"/>
      <c r="E16" s="297"/>
      <c r="F16" s="297"/>
      <c r="G16" s="271"/>
      <c r="H16" s="297"/>
      <c r="I16" s="394"/>
      <c r="J16" s="328"/>
    </row>
    <row r="17" spans="1:10" ht="13.2">
      <c r="A17" s="486"/>
      <c r="B17" s="472"/>
      <c r="C17" s="297"/>
      <c r="D17" s="297"/>
      <c r="E17" s="297"/>
      <c r="F17" s="297"/>
      <c r="G17" s="271"/>
      <c r="H17" s="297"/>
      <c r="I17" s="394"/>
      <c r="J17" s="328"/>
    </row>
    <row r="18" spans="1:10" ht="13.2">
      <c r="A18" s="486"/>
      <c r="B18" s="472"/>
      <c r="C18" s="297"/>
      <c r="D18" s="297"/>
      <c r="E18" s="297"/>
      <c r="F18" s="297"/>
      <c r="G18" s="271"/>
      <c r="H18" s="297"/>
      <c r="I18" s="394"/>
      <c r="J18" s="328"/>
    </row>
    <row r="19" spans="1:10" ht="13.2">
      <c r="A19" s="486"/>
      <c r="B19" s="472"/>
      <c r="C19" s="297"/>
      <c r="D19" s="297"/>
      <c r="E19" s="297"/>
      <c r="F19" s="297"/>
      <c r="G19" s="271"/>
      <c r="H19" s="297"/>
      <c r="I19" s="394"/>
      <c r="J19" s="328"/>
    </row>
    <row r="20" spans="1:10" ht="13.2">
      <c r="A20" s="486"/>
      <c r="B20" s="473"/>
      <c r="C20" s="474"/>
      <c r="D20" s="474"/>
      <c r="E20" s="363"/>
      <c r="F20" s="474"/>
      <c r="G20" s="275"/>
      <c r="H20" s="363"/>
      <c r="I20" s="475"/>
      <c r="J20" s="476"/>
    </row>
    <row r="21" spans="1:10" ht="15.75" customHeight="1">
      <c r="A21" s="246"/>
      <c r="B21" s="246" t="s">
        <v>823</v>
      </c>
      <c r="C21" s="477"/>
      <c r="D21" s="477"/>
      <c r="E21" s="478">
        <f>SUM(E13:E18)</f>
        <v>1850774.3760000002</v>
      </c>
      <c r="F21" s="477"/>
      <c r="G21" s="479"/>
      <c r="H21" s="478">
        <f>E21</f>
        <v>1850774.3760000002</v>
      </c>
      <c r="I21" s="235"/>
      <c r="J21" s="478">
        <f>SUM(J13:J18)</f>
        <v>673008.86400000006</v>
      </c>
    </row>
    <row r="22" spans="1:10" ht="15.75" customHeight="1">
      <c r="A22" s="486"/>
      <c r="B22" s="481" t="s">
        <v>824</v>
      </c>
      <c r="C22" s="373">
        <f>C15</f>
        <v>16825221.600000001</v>
      </c>
      <c r="D22" s="373"/>
      <c r="E22" s="327"/>
      <c r="F22" s="373"/>
      <c r="G22" s="282"/>
      <c r="H22" s="327"/>
      <c r="I22" s="470"/>
      <c r="J22" s="421"/>
    </row>
    <row r="23" spans="1:10" ht="15.75" customHeight="1">
      <c r="A23" s="486"/>
      <c r="B23" s="482" t="s">
        <v>841</v>
      </c>
      <c r="C23" s="297">
        <f>C15-D23</f>
        <v>15142699.440000001</v>
      </c>
      <c r="D23" s="297">
        <f t="shared" ref="D23:D32" si="4">$C$15/10</f>
        <v>1682522.1600000001</v>
      </c>
      <c r="E23" s="297">
        <f t="shared" ref="E23:E32" si="5">C22*($L$7/2)</f>
        <v>1850774.3760000002</v>
      </c>
      <c r="F23" s="297"/>
      <c r="G23" s="271"/>
      <c r="H23" s="297"/>
      <c r="I23" s="394"/>
      <c r="J23" s="328"/>
    </row>
    <row r="24" spans="1:10" ht="15.75" customHeight="1">
      <c r="A24" s="487"/>
      <c r="B24" s="482" t="s">
        <v>842</v>
      </c>
      <c r="C24" s="297">
        <f t="shared" ref="C24:C32" si="6">C23-D24</f>
        <v>13460177.280000001</v>
      </c>
      <c r="D24" s="297">
        <f t="shared" si="4"/>
        <v>1682522.1600000001</v>
      </c>
      <c r="E24" s="297">
        <f t="shared" si="5"/>
        <v>1665696.9384000001</v>
      </c>
      <c r="F24" s="297">
        <f>D24+D23</f>
        <v>3365044.3200000003</v>
      </c>
      <c r="G24" s="297"/>
      <c r="H24" s="297">
        <f>E24+E23</f>
        <v>3516471.3144000005</v>
      </c>
      <c r="I24" s="313"/>
      <c r="J24" s="328"/>
    </row>
    <row r="25" spans="1:10" ht="15.75" customHeight="1">
      <c r="A25" s="487"/>
      <c r="B25" s="482" t="s">
        <v>843</v>
      </c>
      <c r="C25" s="297">
        <f t="shared" si="6"/>
        <v>11777655.120000001</v>
      </c>
      <c r="D25" s="297">
        <f t="shared" si="4"/>
        <v>1682522.1600000001</v>
      </c>
      <c r="E25" s="297">
        <f t="shared" si="5"/>
        <v>1480619.5008</v>
      </c>
      <c r="F25" s="297"/>
      <c r="G25" s="297"/>
      <c r="H25" s="297"/>
      <c r="I25" s="313"/>
      <c r="J25" s="328"/>
    </row>
    <row r="26" spans="1:10" ht="15.75" customHeight="1">
      <c r="A26" s="487"/>
      <c r="B26" s="482" t="s">
        <v>844</v>
      </c>
      <c r="C26" s="297">
        <f t="shared" si="6"/>
        <v>10095132.960000001</v>
      </c>
      <c r="D26" s="297">
        <f t="shared" si="4"/>
        <v>1682522.1600000001</v>
      </c>
      <c r="E26" s="297">
        <f t="shared" si="5"/>
        <v>1295542.0632000002</v>
      </c>
      <c r="F26" s="297">
        <f>D26+D25</f>
        <v>3365044.3200000003</v>
      </c>
      <c r="G26" s="297"/>
      <c r="H26" s="297">
        <f>E26+E25</f>
        <v>2776161.5640000002</v>
      </c>
      <c r="I26" s="313"/>
      <c r="J26" s="328"/>
    </row>
    <row r="27" spans="1:10" ht="15.75" customHeight="1">
      <c r="A27" s="487"/>
      <c r="B27" s="482" t="s">
        <v>845</v>
      </c>
      <c r="C27" s="297">
        <f t="shared" si="6"/>
        <v>8412610.8000000007</v>
      </c>
      <c r="D27" s="297">
        <f t="shared" si="4"/>
        <v>1682522.1600000001</v>
      </c>
      <c r="E27" s="297">
        <f t="shared" si="5"/>
        <v>1110464.6256000001</v>
      </c>
      <c r="F27" s="297"/>
      <c r="G27" s="297"/>
      <c r="H27" s="297"/>
      <c r="I27" s="313"/>
      <c r="J27" s="328"/>
    </row>
    <row r="28" spans="1:10" ht="15.75" customHeight="1">
      <c r="A28" s="487"/>
      <c r="B28" s="482" t="s">
        <v>846</v>
      </c>
      <c r="C28" s="297">
        <f t="shared" si="6"/>
        <v>6730088.6400000006</v>
      </c>
      <c r="D28" s="297">
        <f t="shared" si="4"/>
        <v>1682522.1600000001</v>
      </c>
      <c r="E28" s="297">
        <f t="shared" si="5"/>
        <v>925387.18800000008</v>
      </c>
      <c r="F28" s="297">
        <f>D28+D27</f>
        <v>3365044.3200000003</v>
      </c>
      <c r="G28" s="297"/>
      <c r="H28" s="297">
        <f>E28+E27</f>
        <v>2035851.8136000002</v>
      </c>
      <c r="I28" s="313"/>
      <c r="J28" s="328"/>
    </row>
    <row r="29" spans="1:10" ht="15.75" customHeight="1">
      <c r="A29" s="487"/>
      <c r="B29" s="482" t="s">
        <v>847</v>
      </c>
      <c r="C29" s="297">
        <f t="shared" si="6"/>
        <v>5047566.4800000004</v>
      </c>
      <c r="D29" s="297">
        <f t="shared" si="4"/>
        <v>1682522.1600000001</v>
      </c>
      <c r="E29" s="297">
        <f t="shared" si="5"/>
        <v>740309.75040000002</v>
      </c>
      <c r="F29" s="297"/>
      <c r="G29" s="297"/>
      <c r="H29" s="297"/>
      <c r="I29" s="313"/>
      <c r="J29" s="328"/>
    </row>
    <row r="30" spans="1:10" ht="15.75" customHeight="1">
      <c r="A30" s="487"/>
      <c r="B30" s="482" t="s">
        <v>848</v>
      </c>
      <c r="C30" s="297">
        <f t="shared" si="6"/>
        <v>3365044.3200000003</v>
      </c>
      <c r="D30" s="297">
        <f t="shared" si="4"/>
        <v>1682522.1600000001</v>
      </c>
      <c r="E30" s="297">
        <f t="shared" si="5"/>
        <v>555232.31280000007</v>
      </c>
      <c r="F30" s="297">
        <f>D30+D29</f>
        <v>3365044.3200000003</v>
      </c>
      <c r="G30" s="297"/>
      <c r="H30" s="297">
        <f>E30+E29</f>
        <v>1295542.0632000002</v>
      </c>
      <c r="I30" s="313"/>
      <c r="J30" s="328"/>
    </row>
    <row r="31" spans="1:10" ht="15.75" customHeight="1">
      <c r="A31" s="487"/>
      <c r="B31" s="482" t="s">
        <v>849</v>
      </c>
      <c r="C31" s="297">
        <f t="shared" si="6"/>
        <v>1682522.1600000001</v>
      </c>
      <c r="D31" s="297">
        <f t="shared" si="4"/>
        <v>1682522.1600000001</v>
      </c>
      <c r="E31" s="297">
        <f t="shared" si="5"/>
        <v>370154.87520000001</v>
      </c>
      <c r="F31" s="297"/>
      <c r="G31" s="271"/>
      <c r="H31" s="297"/>
      <c r="I31" s="394"/>
      <c r="J31" s="328"/>
    </row>
    <row r="32" spans="1:10" ht="15.75" customHeight="1">
      <c r="A32" s="487"/>
      <c r="B32" s="482" t="s">
        <v>850</v>
      </c>
      <c r="C32" s="297">
        <f t="shared" si="6"/>
        <v>0</v>
      </c>
      <c r="D32" s="297">
        <f t="shared" si="4"/>
        <v>1682522.1600000001</v>
      </c>
      <c r="E32" s="297">
        <f t="shared" si="5"/>
        <v>185077.4376</v>
      </c>
      <c r="F32" s="297">
        <f>D32+D31</f>
        <v>3365044.3200000003</v>
      </c>
      <c r="G32" s="297"/>
      <c r="H32" s="297">
        <f>E32+E31</f>
        <v>555232.31279999996</v>
      </c>
      <c r="I32" s="313"/>
      <c r="J32" s="328"/>
    </row>
    <row r="33" spans="1:10" ht="15.75" customHeight="1">
      <c r="A33" s="487"/>
      <c r="B33" s="482"/>
      <c r="C33" s="297"/>
      <c r="D33" s="297"/>
      <c r="E33" s="297"/>
      <c r="F33" s="297"/>
      <c r="G33" s="271"/>
      <c r="H33" s="297"/>
      <c r="I33" s="394"/>
      <c r="J33" s="328"/>
    </row>
    <row r="34" spans="1:10" ht="15.75" customHeight="1">
      <c r="A34" s="487"/>
      <c r="B34" s="482"/>
      <c r="C34" s="297"/>
      <c r="D34" s="297"/>
      <c r="E34" s="297"/>
      <c r="F34" s="297"/>
      <c r="G34" s="297"/>
      <c r="H34" s="297"/>
      <c r="I34" s="313"/>
      <c r="J34" s="328"/>
    </row>
    <row r="35" spans="1:10" ht="15.75" customHeight="1">
      <c r="A35" s="487"/>
      <c r="B35" s="482"/>
      <c r="C35" s="297"/>
      <c r="D35" s="297"/>
      <c r="E35" s="297"/>
      <c r="F35" s="297"/>
      <c r="G35" s="271"/>
      <c r="H35" s="297"/>
      <c r="I35" s="394"/>
      <c r="J35" s="328"/>
    </row>
    <row r="36" spans="1:10" ht="15.75" customHeight="1">
      <c r="A36" s="487"/>
      <c r="B36" s="482"/>
      <c r="C36" s="297"/>
      <c r="D36" s="297"/>
      <c r="E36" s="297"/>
      <c r="F36" s="297"/>
      <c r="G36" s="297"/>
      <c r="H36" s="297"/>
      <c r="I36" s="313"/>
      <c r="J36" s="328"/>
    </row>
    <row r="37" spans="1:10" ht="15.75" customHeight="1">
      <c r="A37" s="487"/>
      <c r="B37" s="483"/>
      <c r="C37" s="297"/>
      <c r="D37" s="297"/>
      <c r="E37" s="297"/>
      <c r="F37" s="297"/>
      <c r="G37" s="271"/>
      <c r="H37" s="297"/>
      <c r="I37" s="394"/>
      <c r="J37" s="328"/>
    </row>
    <row r="38" spans="1:10" ht="15.75" customHeight="1">
      <c r="A38" s="487"/>
      <c r="B38" s="483"/>
      <c r="C38" s="297"/>
      <c r="D38" s="297"/>
      <c r="E38" s="297"/>
      <c r="F38" s="297"/>
      <c r="G38" s="297"/>
      <c r="H38" s="297"/>
      <c r="I38" s="313"/>
      <c r="J38" s="328"/>
    </row>
    <row r="39" spans="1:10" ht="15.75" customHeight="1">
      <c r="A39" s="487"/>
      <c r="B39" s="483"/>
      <c r="C39" s="297"/>
      <c r="D39" s="297"/>
      <c r="E39" s="297"/>
      <c r="F39" s="297"/>
      <c r="G39" s="271"/>
      <c r="H39" s="297"/>
      <c r="I39" s="394"/>
      <c r="J39" s="328"/>
    </row>
    <row r="40" spans="1:10" ht="15.75" customHeight="1">
      <c r="A40" s="487"/>
      <c r="B40" s="483"/>
      <c r="C40" s="297"/>
      <c r="D40" s="297"/>
      <c r="E40" s="297"/>
      <c r="F40" s="297"/>
      <c r="G40" s="297"/>
      <c r="H40" s="297"/>
      <c r="I40" s="313"/>
      <c r="J40" s="328"/>
    </row>
    <row r="41" spans="1:10" ht="15.75" customHeight="1">
      <c r="A41" s="487"/>
      <c r="B41" s="483"/>
      <c r="C41" s="297"/>
      <c r="D41" s="297"/>
      <c r="E41" s="297"/>
      <c r="F41" s="297"/>
      <c r="G41" s="271"/>
      <c r="H41" s="297"/>
      <c r="I41" s="394"/>
      <c r="J41" s="328"/>
    </row>
    <row r="42" spans="1:10" ht="15.75" customHeight="1">
      <c r="A42" s="487"/>
      <c r="B42" s="483"/>
      <c r="C42" s="297"/>
      <c r="D42" s="297"/>
      <c r="E42" s="297"/>
      <c r="F42" s="297"/>
      <c r="G42" s="297"/>
      <c r="H42" s="297"/>
      <c r="I42" s="313"/>
      <c r="J42" s="328"/>
    </row>
    <row r="43" spans="1:10" ht="15.75" customHeight="1">
      <c r="A43" s="487"/>
      <c r="B43" s="483"/>
      <c r="C43" s="297"/>
      <c r="D43" s="297"/>
      <c r="E43" s="297"/>
      <c r="F43" s="297"/>
      <c r="G43" s="271"/>
      <c r="H43" s="297"/>
      <c r="I43" s="394"/>
      <c r="J43" s="328"/>
    </row>
    <row r="44" spans="1:10" ht="15.75" customHeight="1">
      <c r="A44" s="487"/>
      <c r="B44" s="483"/>
      <c r="C44" s="297"/>
      <c r="D44" s="297"/>
      <c r="E44" s="297"/>
      <c r="F44" s="297"/>
      <c r="G44" s="297"/>
      <c r="H44" s="297"/>
      <c r="I44" s="313"/>
      <c r="J44" s="328"/>
    </row>
    <row r="45" spans="1:10" ht="15.75" customHeight="1">
      <c r="A45" s="487"/>
      <c r="B45" s="483"/>
      <c r="C45" s="297"/>
      <c r="D45" s="297"/>
      <c r="E45" s="297"/>
      <c r="F45" s="297"/>
      <c r="G45" s="271"/>
      <c r="H45" s="297"/>
      <c r="I45" s="394"/>
      <c r="J45" s="328"/>
    </row>
    <row r="46" spans="1:10" ht="15.75" customHeight="1">
      <c r="A46" s="487"/>
      <c r="B46" s="483"/>
      <c r="C46" s="297"/>
      <c r="D46" s="297"/>
      <c r="E46" s="297"/>
      <c r="F46" s="297"/>
      <c r="G46" s="297"/>
      <c r="H46" s="297"/>
      <c r="I46" s="313"/>
      <c r="J46" s="328"/>
    </row>
    <row r="47" spans="1:10" ht="15.75" customHeight="1">
      <c r="A47" s="487"/>
      <c r="B47" s="483"/>
      <c r="C47" s="297"/>
      <c r="D47" s="297"/>
      <c r="E47" s="297"/>
      <c r="F47" s="297"/>
      <c r="G47" s="271"/>
      <c r="H47" s="297"/>
      <c r="I47" s="394"/>
      <c r="J47" s="328"/>
    </row>
    <row r="48" spans="1:10" ht="15.75" customHeight="1">
      <c r="A48" s="487"/>
      <c r="B48" s="483"/>
      <c r="C48" s="297"/>
      <c r="D48" s="297"/>
      <c r="E48" s="297"/>
      <c r="F48" s="297"/>
      <c r="G48" s="297"/>
      <c r="H48" s="297"/>
      <c r="I48" s="313"/>
      <c r="J48" s="328"/>
    </row>
    <row r="49" spans="1:10" ht="15.75" customHeight="1">
      <c r="A49" s="486"/>
      <c r="B49" s="472"/>
      <c r="C49" s="297"/>
      <c r="D49" s="297"/>
      <c r="E49" s="297"/>
      <c r="F49" s="297"/>
      <c r="G49" s="271"/>
      <c r="H49" s="297"/>
      <c r="I49" s="394"/>
      <c r="J49" s="328"/>
    </row>
    <row r="50" spans="1:10" ht="15.75" customHeight="1">
      <c r="A50" s="307"/>
      <c r="B50" s="484" t="s">
        <v>837</v>
      </c>
      <c r="C50" s="315"/>
      <c r="D50" s="315">
        <f t="shared" ref="D50:I50" si="7">SUM(D22:D49)</f>
        <v>16825221.600000001</v>
      </c>
      <c r="E50" s="315">
        <f t="shared" si="7"/>
        <v>10179259.068</v>
      </c>
      <c r="F50" s="315">
        <f t="shared" si="7"/>
        <v>16825221.600000001</v>
      </c>
      <c r="G50" s="315">
        <f t="shared" si="7"/>
        <v>0</v>
      </c>
      <c r="H50" s="315">
        <f t="shared" si="7"/>
        <v>10179259.068</v>
      </c>
      <c r="I50" s="315">
        <f t="shared" si="7"/>
        <v>0</v>
      </c>
      <c r="J50" s="315">
        <f>J13+J14</f>
        <v>673008.86400000006</v>
      </c>
    </row>
    <row r="51" spans="1:10" ht="15.75" customHeight="1"/>
    <row r="52" spans="1:10" ht="15.75" customHeight="1"/>
    <row r="53" spans="1:10" ht="15.75" customHeight="1"/>
    <row r="54" spans="1:10" ht="15.75" customHeight="1"/>
    <row r="55" spans="1:10" ht="15.75" customHeight="1"/>
    <row r="56" spans="1:10" ht="15.75" customHeight="1"/>
    <row r="57" spans="1:10" ht="15.75" customHeight="1"/>
    <row r="58" spans="1:10" ht="15.75" customHeight="1"/>
    <row r="59" spans="1:10" ht="15.75" customHeight="1"/>
    <row r="60" spans="1:10" ht="15.75" customHeight="1"/>
    <row r="61" spans="1:10" ht="15.75" customHeight="1"/>
    <row r="62" spans="1:10" ht="15.75" customHeight="1"/>
    <row r="63" spans="1:10" ht="15.75" customHeight="1"/>
    <row r="64" spans="1:1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</sheetData>
  <mergeCells count="3">
    <mergeCell ref="C3:D3"/>
    <mergeCell ref="E3:F3"/>
    <mergeCell ref="G3:H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FF00"/>
    <pageSetUpPr fitToPage="1"/>
  </sheetPr>
  <dimension ref="A1:Z220"/>
  <sheetViews>
    <sheetView workbookViewId="0"/>
  </sheetViews>
  <sheetFormatPr defaultColWidth="14.44140625" defaultRowHeight="15" customHeight="1"/>
  <cols>
    <col min="1" max="1" width="32" customWidth="1"/>
    <col min="2" max="7" width="13.88671875" customWidth="1"/>
    <col min="8" max="26" width="9" customWidth="1"/>
  </cols>
  <sheetData>
    <row r="1" spans="1:26" ht="14.25" customHeight="1">
      <c r="A1" s="244" t="s">
        <v>483</v>
      </c>
      <c r="E1" s="302"/>
      <c r="F1" s="245">
        <f>InfoInicial!E1</f>
        <v>10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446" t="s">
        <v>851</v>
      </c>
      <c r="B2" s="325"/>
      <c r="C2" s="325"/>
      <c r="D2" s="325"/>
      <c r="E2" s="325"/>
      <c r="F2" s="325"/>
      <c r="G2" s="326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3.5" customHeight="1">
      <c r="A3" s="308" t="s">
        <v>586</v>
      </c>
      <c r="B3" s="263" t="s">
        <v>39</v>
      </c>
      <c r="C3" s="263" t="s">
        <v>425</v>
      </c>
      <c r="D3" s="263" t="s">
        <v>426</v>
      </c>
      <c r="E3" s="263" t="s">
        <v>427</v>
      </c>
      <c r="F3" s="418" t="s">
        <v>428</v>
      </c>
      <c r="G3" s="264" t="s">
        <v>277</v>
      </c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4.25" customHeight="1">
      <c r="A4" s="231" t="s">
        <v>852</v>
      </c>
      <c r="B4" s="297">
        <f>'E-Costos'!B88</f>
        <v>16956000</v>
      </c>
      <c r="C4" s="297">
        <f>'E-Costos'!C88</f>
        <v>21195000</v>
      </c>
      <c r="D4" s="297">
        <f>'E-Costos'!D88</f>
        <v>21195000</v>
      </c>
      <c r="E4" s="297">
        <f>'E-Costos'!E88</f>
        <v>21195000</v>
      </c>
      <c r="F4" s="297">
        <f>'E-Costos'!F88</f>
        <v>21195000</v>
      </c>
      <c r="G4" s="328">
        <f t="shared" ref="G4:G6" si="0">SUM(B4:F4)</f>
        <v>101736000</v>
      </c>
      <c r="H4" s="488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231" t="s">
        <v>853</v>
      </c>
      <c r="B5" s="297">
        <f>'E-Costos'!B107</f>
        <v>6639856.7906414717</v>
      </c>
      <c r="C5" s="297">
        <f>'E-Costos'!C107</f>
        <v>7902404.6070269486</v>
      </c>
      <c r="D5" s="297">
        <f>'E-Costos'!D107</f>
        <v>7899763.5619477872</v>
      </c>
      <c r="E5" s="297">
        <f>'E-Costos'!E107</f>
        <v>7899763.5619477872</v>
      </c>
      <c r="F5" s="297">
        <f>'E-Costos'!F107</f>
        <v>7899763.5619477872</v>
      </c>
      <c r="G5" s="328">
        <f t="shared" si="0"/>
        <v>38241552.083511777</v>
      </c>
      <c r="H5" s="488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231" t="s">
        <v>854</v>
      </c>
      <c r="B6" s="297">
        <f t="shared" ref="B6:F6" si="1">B4-B5</f>
        <v>10316143.209358528</v>
      </c>
      <c r="C6" s="297">
        <f t="shared" si="1"/>
        <v>13292595.39297305</v>
      </c>
      <c r="D6" s="297">
        <f t="shared" si="1"/>
        <v>13295236.438052213</v>
      </c>
      <c r="E6" s="297">
        <f t="shared" si="1"/>
        <v>13295236.438052213</v>
      </c>
      <c r="F6" s="297">
        <f t="shared" si="1"/>
        <v>13295236.438052213</v>
      </c>
      <c r="G6" s="328">
        <f t="shared" si="0"/>
        <v>63494447.916488223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231" t="s">
        <v>642</v>
      </c>
      <c r="B7" s="297"/>
      <c r="C7" s="297"/>
      <c r="D7" s="297"/>
      <c r="E7" s="297"/>
      <c r="F7" s="424"/>
      <c r="G7" s="328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231" t="s">
        <v>855</v>
      </c>
      <c r="B8" s="297">
        <f>'E-Costos'!B109</f>
        <v>2592804.7620238513</v>
      </c>
      <c r="C8" s="297">
        <f>'E-Costos'!C109</f>
        <v>2839387.4666695846</v>
      </c>
      <c r="D8" s="297">
        <f>'E-Costos'!D109</f>
        <v>2839387.4666695846</v>
      </c>
      <c r="E8" s="297">
        <f>'E-Costos'!E109</f>
        <v>2839387.4666695846</v>
      </c>
      <c r="F8" s="297">
        <f>'E-Costos'!F109</f>
        <v>2839387.4666695846</v>
      </c>
      <c r="G8" s="328">
        <f t="shared" ref="G8:G14" si="2">SUM(B8:F8)</f>
        <v>13950354.62870219</v>
      </c>
      <c r="H8" s="488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231" t="s">
        <v>856</v>
      </c>
      <c r="B9" s="297">
        <f>'E-Costos'!B110</f>
        <v>2449957.3561465293</v>
      </c>
      <c r="C9" s="297">
        <f>'E-Costos'!C110</f>
        <v>2846172.6512683984</v>
      </c>
      <c r="D9" s="297">
        <f>'E-Costos'!D110</f>
        <v>2846172.6512683984</v>
      </c>
      <c r="E9" s="297">
        <f>'E-Costos'!E110</f>
        <v>2846172.6512683984</v>
      </c>
      <c r="F9" s="297">
        <f>'E-Costos'!F110</f>
        <v>2846172.6512683984</v>
      </c>
      <c r="G9" s="328">
        <f t="shared" si="2"/>
        <v>13834647.961220123</v>
      </c>
      <c r="H9" s="488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231" t="s">
        <v>857</v>
      </c>
      <c r="B10" s="489">
        <f>'F-Cred'!E24+'F-Cred'!G24</f>
        <v>7080672.5227552522</v>
      </c>
      <c r="C10" s="489">
        <f>'F-Cred'!E26+'F-Cred'!G26</f>
        <v>6340362.7723552519</v>
      </c>
      <c r="D10" s="489">
        <f>'F-Cred'!E28+'F-Cred'!G28</f>
        <v>5600053.0219552517</v>
      </c>
      <c r="E10" s="329">
        <f>'F-Cred'!E30+'F-Cred'!G30</f>
        <v>4859743.2715552514</v>
      </c>
      <c r="F10" s="490">
        <f>'F-Cred'!E32+'F-Cred'!G32</f>
        <v>4119433.5211552517</v>
      </c>
      <c r="G10" s="491">
        <f t="shared" si="2"/>
        <v>28000265.109776262</v>
      </c>
      <c r="H10" s="488"/>
      <c r="I10" s="156" t="s">
        <v>858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141" t="s">
        <v>859</v>
      </c>
      <c r="B11" s="297">
        <f t="shared" ref="B11:F11" si="3">B6-B8-B9-B10</f>
        <v>-1807291.4315671045</v>
      </c>
      <c r="C11" s="297">
        <f t="shared" si="3"/>
        <v>1266672.5026798146</v>
      </c>
      <c r="D11" s="297">
        <f t="shared" si="3"/>
        <v>2009623.298158979</v>
      </c>
      <c r="E11" s="297">
        <f t="shared" si="3"/>
        <v>2749933.0485589793</v>
      </c>
      <c r="F11" s="297">
        <f t="shared" si="3"/>
        <v>3490242.7989589791</v>
      </c>
      <c r="G11" s="328">
        <f t="shared" si="2"/>
        <v>7709180.2167896479</v>
      </c>
      <c r="H11" s="488"/>
      <c r="I11" s="160" t="s">
        <v>552</v>
      </c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4.25" customHeight="1">
      <c r="A12" s="231" t="s">
        <v>860</v>
      </c>
      <c r="B12" s="297">
        <v>0</v>
      </c>
      <c r="C12" s="297">
        <f>C11*InfoInicial!$B$5</f>
        <v>101333.80021438516</v>
      </c>
      <c r="D12" s="297">
        <f>D11*InfoInicial!$B$5</f>
        <v>160769.86385271832</v>
      </c>
      <c r="E12" s="297">
        <f>E11*InfoInicial!$B$5</f>
        <v>219994.64388471836</v>
      </c>
      <c r="F12" s="297">
        <f>F11*InfoInicial!$B$5</f>
        <v>279219.42391671834</v>
      </c>
      <c r="G12" s="328">
        <f t="shared" si="2"/>
        <v>761317.73186854017</v>
      </c>
      <c r="H12" s="488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4.25" customHeight="1">
      <c r="A13" s="312" t="s">
        <v>861</v>
      </c>
      <c r="B13" s="297">
        <f t="shared" ref="B13:F13" si="4">IF(B11&gt;0,(B11-B12)*0.35,0)</f>
        <v>0</v>
      </c>
      <c r="C13" s="297">
        <f t="shared" si="4"/>
        <v>407868.54586290027</v>
      </c>
      <c r="D13" s="297">
        <f t="shared" si="4"/>
        <v>647098.70200719114</v>
      </c>
      <c r="E13" s="297">
        <f t="shared" si="4"/>
        <v>885478.44163599121</v>
      </c>
      <c r="F13" s="297">
        <f t="shared" si="4"/>
        <v>1123858.1812647912</v>
      </c>
      <c r="G13" s="328">
        <f t="shared" si="2"/>
        <v>3064303.8707708735</v>
      </c>
      <c r="H13" s="488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25" customHeight="1">
      <c r="A14" s="430" t="s">
        <v>862</v>
      </c>
      <c r="B14" s="474">
        <f t="shared" ref="B14:F14" si="5">B11-B12-B13</f>
        <v>-1807291.4315671045</v>
      </c>
      <c r="C14" s="474">
        <f t="shared" si="5"/>
        <v>757470.15660252911</v>
      </c>
      <c r="D14" s="474">
        <f t="shared" si="5"/>
        <v>1201754.7322990694</v>
      </c>
      <c r="E14" s="474">
        <f t="shared" si="5"/>
        <v>1644459.9630382697</v>
      </c>
      <c r="F14" s="474">
        <f t="shared" si="5"/>
        <v>2087165.1937774695</v>
      </c>
      <c r="G14" s="454">
        <f t="shared" si="2"/>
        <v>3883558.6141502331</v>
      </c>
      <c r="H14" s="488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231"/>
      <c r="B17" s="223">
        <f t="shared" ref="B17:G17" si="6">B5+B8+B9+B10</f>
        <v>18763291.431567103</v>
      </c>
      <c r="C17" s="223">
        <f t="shared" si="6"/>
        <v>19928327.497320183</v>
      </c>
      <c r="D17" s="223">
        <f t="shared" si="6"/>
        <v>19185376.701841019</v>
      </c>
      <c r="E17" s="223">
        <f t="shared" si="6"/>
        <v>18445066.95144102</v>
      </c>
      <c r="F17" s="223">
        <f t="shared" si="6"/>
        <v>17704757.20104102</v>
      </c>
      <c r="G17" s="223">
        <f t="shared" si="6"/>
        <v>94026819.783210352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231"/>
      <c r="B18" s="223">
        <f>B17-'F- CFyU'!C16</f>
        <v>0</v>
      </c>
      <c r="C18" s="223">
        <f>C17-'F- CFyU'!D16</f>
        <v>0</v>
      </c>
      <c r="D18" s="223">
        <f>D17-'F- CFyU'!E16</f>
        <v>0</v>
      </c>
      <c r="E18" s="223">
        <f>E17-'F- CFyU'!F16</f>
        <v>0</v>
      </c>
      <c r="F18" s="223">
        <f>F17-'F- CFyU'!G16</f>
        <v>0</v>
      </c>
      <c r="G18" s="492">
        <f>G17-'F- CFyU'!H16</f>
        <v>0</v>
      </c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.75" customHeight="1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2.7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</sheetData>
  <pageMargins left="0.7" right="0.7" top="0.75" bottom="0.75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FF00"/>
    <pageSetUpPr fitToPage="1"/>
  </sheetPr>
  <dimension ref="A1:Z315"/>
  <sheetViews>
    <sheetView workbookViewId="0"/>
  </sheetViews>
  <sheetFormatPr defaultColWidth="14.44140625" defaultRowHeight="15" customHeight="1"/>
  <cols>
    <col min="1" max="1" width="54.33203125" customWidth="1"/>
    <col min="2" max="4" width="15.33203125" customWidth="1"/>
    <col min="5" max="5" width="15.88671875" customWidth="1"/>
    <col min="6" max="6" width="15.33203125" customWidth="1"/>
    <col min="7" max="26" width="9" customWidth="1"/>
  </cols>
  <sheetData>
    <row r="1" spans="1:26" ht="14.25" customHeight="1">
      <c r="A1" s="244" t="s">
        <v>483</v>
      </c>
      <c r="D1">
        <f>InfoInicial!E1</f>
        <v>10</v>
      </c>
      <c r="E1" s="245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446" t="s">
        <v>863</v>
      </c>
      <c r="B2" s="325"/>
      <c r="C2" s="325"/>
      <c r="D2" s="326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4.25" customHeight="1">
      <c r="A3" s="308" t="s">
        <v>586</v>
      </c>
      <c r="B3" s="307" t="s">
        <v>537</v>
      </c>
      <c r="C3" s="307" t="s">
        <v>39</v>
      </c>
      <c r="D3" s="264" t="s">
        <v>277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4.25" customHeight="1">
      <c r="A4" s="141" t="s">
        <v>864</v>
      </c>
      <c r="B4" s="297"/>
      <c r="C4" s="297"/>
      <c r="D4" s="328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231"/>
      <c r="B5" s="297"/>
      <c r="C5" s="297"/>
      <c r="D5" s="328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231" t="s">
        <v>865</v>
      </c>
      <c r="B6" s="297">
        <f>+'E-Cal Inv.'!B6+'E-Cal Inv.'!C6</f>
        <v>27762072.462799996</v>
      </c>
      <c r="C6" s="297">
        <f>'E-Cal Inv.'!D6</f>
        <v>0</v>
      </c>
      <c r="D6" s="328">
        <f t="shared" ref="D6:D10" si="0">B6+C6</f>
        <v>27762072.462799996</v>
      </c>
      <c r="E6" s="488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231" t="s">
        <v>866</v>
      </c>
      <c r="B7" s="489">
        <f>'E-Cal Inv.'!B7+'E-Cal Inv.'!C7+'F-Cred'!G21+'F-Cred'!I21</f>
        <v>2571658.2989844522</v>
      </c>
      <c r="C7" s="297">
        <f>'E-Cal Inv.'!D7</f>
        <v>278655.36042134126</v>
      </c>
      <c r="D7" s="328">
        <f t="shared" si="0"/>
        <v>2850313.6594057935</v>
      </c>
      <c r="E7" s="488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141" t="s">
        <v>867</v>
      </c>
      <c r="B8" s="297">
        <f>B6+B7</f>
        <v>30333730.761784449</v>
      </c>
      <c r="C8" s="297">
        <f>C7+C6</f>
        <v>278655.36042134126</v>
      </c>
      <c r="D8" s="328">
        <f t="shared" si="0"/>
        <v>30612386.12220579</v>
      </c>
      <c r="E8" s="488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312" t="s">
        <v>868</v>
      </c>
      <c r="B9" s="297">
        <f>'E-Cal Inv.'!B21+'E-Cal Inv.'!C21+('F-Cred'!G21+'F-Cred'!I21)*InfoInicial!B3</f>
        <v>6370083.4599747341</v>
      </c>
      <c r="C9" s="297">
        <f>'E-Cal Inv.'!D21</f>
        <v>58517.625688481661</v>
      </c>
      <c r="D9" s="328">
        <f t="shared" si="0"/>
        <v>6428601.0856632162</v>
      </c>
      <c r="E9" s="488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141" t="s">
        <v>869</v>
      </c>
      <c r="B10" s="297">
        <f t="shared" ref="B10:C10" si="1">B8+B9</f>
        <v>36703814.221759185</v>
      </c>
      <c r="C10" s="297">
        <f t="shared" si="1"/>
        <v>337172.98610982293</v>
      </c>
      <c r="D10" s="328">
        <f t="shared" si="0"/>
        <v>37040987.207869008</v>
      </c>
      <c r="E10" s="488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141" t="s">
        <v>870</v>
      </c>
      <c r="B11" s="297"/>
      <c r="C11" s="297"/>
      <c r="D11" s="328"/>
      <c r="E11" s="488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4.25" customHeight="1">
      <c r="A12" s="312" t="s">
        <v>871</v>
      </c>
      <c r="B12" s="329">
        <f>'E-InvAT'!B6</f>
        <v>339120</v>
      </c>
      <c r="C12" s="329">
        <f>D12-B12</f>
        <v>84780</v>
      </c>
      <c r="D12" s="328">
        <f>'E-InvAT'!C6</f>
        <v>423900</v>
      </c>
      <c r="E12" s="97"/>
      <c r="F12" s="493" t="s">
        <v>640</v>
      </c>
      <c r="G12" s="156" t="s">
        <v>872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4.25" customHeight="1">
      <c r="A13" s="231" t="s">
        <v>873</v>
      </c>
      <c r="B13" s="297">
        <f>'E-InvAT'!B7</f>
        <v>0</v>
      </c>
      <c r="C13" s="297">
        <f>'E-InvAT'!C7</f>
        <v>1393643.8356164384</v>
      </c>
      <c r="D13" s="328">
        <f>B13+C13</f>
        <v>1393643.8356164384</v>
      </c>
      <c r="E13" s="97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25" customHeight="1">
      <c r="A14" s="231" t="s">
        <v>874</v>
      </c>
      <c r="B14" s="329">
        <f>'E-InvAT'!B9</f>
        <v>340987.26126478234</v>
      </c>
      <c r="C14" s="329">
        <f>D14-B14</f>
        <v>1349721.3230837137</v>
      </c>
      <c r="D14" s="328">
        <f>'E-InvAT'!C9</f>
        <v>1690708.584348496</v>
      </c>
      <c r="E14" s="97"/>
      <c r="F14" s="231"/>
      <c r="G14" s="156" t="s">
        <v>875</v>
      </c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4.25" customHeight="1">
      <c r="A15" s="141" t="s">
        <v>876</v>
      </c>
      <c r="B15" s="297">
        <f t="shared" ref="B15:C15" si="2">B12+B13+B14</f>
        <v>680107.2612647824</v>
      </c>
      <c r="C15" s="297">
        <f t="shared" si="2"/>
        <v>2828145.1587001523</v>
      </c>
      <c r="D15" s="328">
        <f>B15+C15</f>
        <v>3508252.4199649347</v>
      </c>
      <c r="E15" s="97"/>
      <c r="F15" s="97"/>
      <c r="G15" s="493" t="s">
        <v>640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25" customHeight="1">
      <c r="A16" s="231" t="s">
        <v>642</v>
      </c>
      <c r="B16" s="297"/>
      <c r="C16" s="297"/>
      <c r="D16" s="328"/>
      <c r="E16" s="488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231" t="s">
        <v>877</v>
      </c>
      <c r="B17" s="489">
        <v>0</v>
      </c>
      <c r="C17" s="489">
        <f>'E-InvAT'!C17+'E-InvAT'!C18</f>
        <v>26226.546173944807</v>
      </c>
      <c r="D17" s="491">
        <f t="shared" ref="D17:D23" si="3">B17+C17</f>
        <v>26226.546173944807</v>
      </c>
      <c r="E17" s="488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231" t="s">
        <v>878</v>
      </c>
      <c r="B18" s="297"/>
      <c r="C18" s="297">
        <f>('E-Inv AF y Am'!D57-'E-InvAT'!C18-'E-InvAT'!C17+('F-Cred'!G21+'F-Cred'!I21)/3)/365*30</f>
        <v>231869.09734579839</v>
      </c>
      <c r="D18" s="328">
        <f t="shared" si="3"/>
        <v>231869.09734579839</v>
      </c>
      <c r="E18" s="488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4.25" customHeight="1">
      <c r="A19" s="231" t="s">
        <v>879</v>
      </c>
      <c r="B19" s="489">
        <v>0</v>
      </c>
      <c r="C19" s="329">
        <f>('F-CRes'!B14/'F-CRes'!B4)*C13</f>
        <v>-148544.50122469352</v>
      </c>
      <c r="D19" s="491">
        <f t="shared" si="3"/>
        <v>-148544.50122469352</v>
      </c>
      <c r="E19" s="488"/>
      <c r="F19" s="156" t="s">
        <v>880</v>
      </c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141" t="s">
        <v>881</v>
      </c>
      <c r="B20" s="297">
        <f t="shared" ref="B20:C20" si="4">B15-SUM(B17:B19)</f>
        <v>680107.2612647824</v>
      </c>
      <c r="C20" s="297">
        <f t="shared" si="4"/>
        <v>2718594.0164051028</v>
      </c>
      <c r="D20" s="491">
        <f t="shared" si="3"/>
        <v>3398701.2776698852</v>
      </c>
      <c r="E20" s="488"/>
      <c r="F20" s="494" t="s">
        <v>882</v>
      </c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231" t="s">
        <v>803</v>
      </c>
      <c r="B21" s="297">
        <f>'E-InvAT'!B34</f>
        <v>71607.324865604285</v>
      </c>
      <c r="C21" s="297">
        <f>'E-InvAT'!C34</f>
        <v>264554.36007429846</v>
      </c>
      <c r="D21" s="491">
        <f t="shared" si="3"/>
        <v>336161.68493990274</v>
      </c>
      <c r="E21" s="488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4.25" customHeight="1">
      <c r="A22" s="141" t="s">
        <v>883</v>
      </c>
      <c r="B22" s="297">
        <f t="shared" ref="B22:C22" si="5">B15+B21</f>
        <v>751714.58613038668</v>
      </c>
      <c r="C22" s="297">
        <f t="shared" si="5"/>
        <v>3092699.5187744508</v>
      </c>
      <c r="D22" s="491">
        <f t="shared" si="3"/>
        <v>3844414.1049048374</v>
      </c>
      <c r="E22" s="488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4.25" customHeight="1">
      <c r="A23" s="141" t="s">
        <v>884</v>
      </c>
      <c r="B23" s="297">
        <f t="shared" ref="B23:C23" si="6">B20+B21</f>
        <v>751714.58613038668</v>
      </c>
      <c r="C23" s="297">
        <f t="shared" si="6"/>
        <v>2983148.3764794013</v>
      </c>
      <c r="D23" s="491">
        <f t="shared" si="3"/>
        <v>3734862.9626097879</v>
      </c>
      <c r="E23" s="488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4.25" customHeight="1">
      <c r="A24" s="141" t="s">
        <v>885</v>
      </c>
      <c r="B24" s="297"/>
      <c r="C24" s="297"/>
      <c r="D24" s="328"/>
      <c r="E24" s="488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4.25" customHeight="1">
      <c r="A25" s="231" t="s">
        <v>886</v>
      </c>
      <c r="B25" s="297">
        <f t="shared" ref="B25:C25" si="7">B10</f>
        <v>36703814.221759185</v>
      </c>
      <c r="C25" s="297">
        <f t="shared" si="7"/>
        <v>337172.98610982293</v>
      </c>
      <c r="D25" s="491">
        <f>B25+C25</f>
        <v>37040987.207869008</v>
      </c>
      <c r="E25" s="488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4.25" customHeight="1">
      <c r="A26" s="231" t="s">
        <v>887</v>
      </c>
      <c r="B26" s="297">
        <f t="shared" ref="B26:D26" si="8">B23</f>
        <v>751714.58613038668</v>
      </c>
      <c r="C26" s="297">
        <f t="shared" si="8"/>
        <v>2983148.3764794013</v>
      </c>
      <c r="D26" s="297">
        <f t="shared" si="8"/>
        <v>3734862.9626097879</v>
      </c>
      <c r="E26" s="488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4.25" customHeight="1">
      <c r="A27" s="141" t="s">
        <v>888</v>
      </c>
      <c r="B27" s="297">
        <f t="shared" ref="B27:D27" si="9">B25+B26</f>
        <v>37455528.807889573</v>
      </c>
      <c r="C27" s="297">
        <f t="shared" si="9"/>
        <v>3320321.3625892242</v>
      </c>
      <c r="D27" s="297">
        <f t="shared" si="9"/>
        <v>40775850.170478798</v>
      </c>
      <c r="E27" s="495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4.25" customHeight="1">
      <c r="A28" s="141" t="s">
        <v>889</v>
      </c>
      <c r="B28" s="489"/>
      <c r="C28" s="489"/>
      <c r="D28" s="496"/>
      <c r="E28" s="497" t="s">
        <v>890</v>
      </c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4.25" customHeight="1">
      <c r="A29" s="141" t="s">
        <v>891</v>
      </c>
      <c r="B29" s="489">
        <v>0</v>
      </c>
      <c r="C29" s="489">
        <f>'F-Cred'!D6</f>
        <v>1327712.5890350069</v>
      </c>
      <c r="D29" s="496">
        <f t="shared" ref="D29:D32" si="10">B29+C29</f>
        <v>1327712.5890350069</v>
      </c>
      <c r="E29" s="314">
        <f t="shared" ref="E29:E32" si="11">D29/$D$32</f>
        <v>3.2561248471436023E-2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4.25" customHeight="1">
      <c r="A30" s="141" t="s">
        <v>892</v>
      </c>
      <c r="B30" s="489">
        <f>'F-Cred'!D5</f>
        <v>16825221.600000001</v>
      </c>
      <c r="C30" s="489">
        <v>0</v>
      </c>
      <c r="D30" s="496">
        <f t="shared" si="10"/>
        <v>16825221.600000001</v>
      </c>
      <c r="E30" s="314">
        <f t="shared" si="11"/>
        <v>0.41262711947527336</v>
      </c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4.25" customHeight="1">
      <c r="A31" s="141" t="s">
        <v>893</v>
      </c>
      <c r="B31" s="489">
        <f>B27-B30</f>
        <v>20630307.207889572</v>
      </c>
      <c r="C31" s="329">
        <f>C27-C30-C29</f>
        <v>1992608.7735542173</v>
      </c>
      <c r="D31" s="496">
        <f t="shared" si="10"/>
        <v>22622915.981443789</v>
      </c>
      <c r="E31" s="314">
        <f t="shared" si="11"/>
        <v>0.55481163205329054</v>
      </c>
      <c r="F31" s="156" t="s">
        <v>894</v>
      </c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4.25" customHeight="1">
      <c r="A32" s="430" t="s">
        <v>277</v>
      </c>
      <c r="B32" s="474">
        <f t="shared" ref="B32:C32" si="12">B29+B30+B31</f>
        <v>37455528.807889573</v>
      </c>
      <c r="C32" s="474">
        <f t="shared" si="12"/>
        <v>3320321.3625892242</v>
      </c>
      <c r="D32" s="474">
        <f t="shared" si="10"/>
        <v>40775850.170478798</v>
      </c>
      <c r="E32" s="314">
        <f t="shared" si="11"/>
        <v>1</v>
      </c>
      <c r="F32" s="493" t="s">
        <v>640</v>
      </c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4.2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6.5" customHeight="1">
      <c r="A34" s="446" t="s">
        <v>895</v>
      </c>
      <c r="B34" s="325"/>
      <c r="C34" s="325"/>
      <c r="D34" s="325"/>
      <c r="E34" s="325"/>
      <c r="F34" s="325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4.25" customHeight="1">
      <c r="A35" s="308" t="s">
        <v>586</v>
      </c>
      <c r="B35" s="263" t="s">
        <v>39</v>
      </c>
      <c r="C35" s="263" t="s">
        <v>425</v>
      </c>
      <c r="D35" s="263" t="s">
        <v>426</v>
      </c>
      <c r="E35" s="263" t="s">
        <v>427</v>
      </c>
      <c r="F35" s="263" t="s">
        <v>428</v>
      </c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4.25" customHeight="1">
      <c r="A36" s="267" t="s">
        <v>683</v>
      </c>
      <c r="B36" s="271">
        <f>'E-Costos'!B129</f>
        <v>4590872.8025832539</v>
      </c>
      <c r="C36" s="271">
        <f>'E-Costos'!C129</f>
        <v>5405469.77329644</v>
      </c>
      <c r="D36" s="271">
        <f>'E-Costos'!D129</f>
        <v>5405469.77329644</v>
      </c>
      <c r="E36" s="271">
        <f>'E-Costos'!E129</f>
        <v>5405469.77329644</v>
      </c>
      <c r="F36" s="271">
        <f>'E-Costos'!F129</f>
        <v>5405469.77329644</v>
      </c>
      <c r="G36" s="488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4.25" customHeight="1">
      <c r="A37" s="292" t="s">
        <v>682</v>
      </c>
      <c r="B37" s="271">
        <f>'E-Costos'!B128</f>
        <v>2486838.7491228618</v>
      </c>
      <c r="C37" s="271">
        <f>'E-Costos'!C128</f>
        <v>2570834.0781347766</v>
      </c>
      <c r="D37" s="271">
        <f>'E-Costos'!D128</f>
        <v>2570834.0781347766</v>
      </c>
      <c r="E37" s="271">
        <f>'E-Costos'!E128</f>
        <v>2570834.0781347766</v>
      </c>
      <c r="F37" s="271">
        <f>'E-Costos'!F128</f>
        <v>2570834.0781347766</v>
      </c>
      <c r="G37" s="488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4.25" customHeight="1">
      <c r="A38" s="267" t="s">
        <v>685</v>
      </c>
      <c r="B38" s="271">
        <f>'E-Costos'!B131</f>
        <v>53309.911042717802</v>
      </c>
      <c r="C38" s="271">
        <f>'E-Costos'!C131</f>
        <v>58274.897719109911</v>
      </c>
      <c r="D38" s="271">
        <f>'E-Costos'!D131</f>
        <v>58274.897719109911</v>
      </c>
      <c r="E38" s="271">
        <f>'E-Costos'!E131</f>
        <v>58274.897719109911</v>
      </c>
      <c r="F38" s="271">
        <f>'E-Costos'!F131</f>
        <v>58274.897719109911</v>
      </c>
      <c r="G38" s="488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4.25" customHeight="1">
      <c r="A39" s="292" t="s">
        <v>684</v>
      </c>
      <c r="B39" s="271">
        <f>'E-Costos'!B130</f>
        <v>2539494.8509811335</v>
      </c>
      <c r="C39" s="271">
        <f>'E-Costos'!C130</f>
        <v>2781112.5689504747</v>
      </c>
      <c r="D39" s="271">
        <f>'E-Costos'!D130</f>
        <v>2781112.5689504747</v>
      </c>
      <c r="E39" s="271">
        <f>'E-Costos'!E130</f>
        <v>2781112.5689504747</v>
      </c>
      <c r="F39" s="271">
        <f>'E-Costos'!F130</f>
        <v>2781112.5689504747</v>
      </c>
      <c r="G39" s="488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4.25" customHeight="1">
      <c r="A40" s="267" t="s">
        <v>687</v>
      </c>
      <c r="B40" s="271">
        <f>'E-Costos'!B133</f>
        <v>793185.95570976939</v>
      </c>
      <c r="C40" s="271">
        <f>'E-Costos'!C133</f>
        <v>949584.91474843852</v>
      </c>
      <c r="D40" s="271">
        <f>'E-Costos'!D133</f>
        <v>949584.91474843852</v>
      </c>
      <c r="E40" s="271">
        <f>'E-Costos'!E133</f>
        <v>949584.91474843852</v>
      </c>
      <c r="F40" s="271">
        <f>'E-Costos'!F133</f>
        <v>949584.91474843852</v>
      </c>
      <c r="G40" s="488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4.25" customHeight="1">
      <c r="A41" s="292" t="s">
        <v>686</v>
      </c>
      <c r="B41" s="271">
        <f>'E-Costos'!B132</f>
        <v>1656771.4004367599</v>
      </c>
      <c r="C41" s="271">
        <f>'E-Costos'!C132</f>
        <v>1896587.73651996</v>
      </c>
      <c r="D41" s="271">
        <f>'E-Costos'!D132</f>
        <v>1896587.73651996</v>
      </c>
      <c r="E41" s="271">
        <f>'E-Costos'!E132</f>
        <v>1896587.73651996</v>
      </c>
      <c r="F41" s="271">
        <f>'E-Costos'!F132</f>
        <v>1896587.73651996</v>
      </c>
      <c r="G41" s="488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4.25" customHeight="1">
      <c r="A42" s="292" t="s">
        <v>896</v>
      </c>
      <c r="B42" s="271">
        <f>'F-CRes'!B10</f>
        <v>7080672.5227552522</v>
      </c>
      <c r="C42" s="271">
        <f>'F-CRes'!C10</f>
        <v>6340362.7723552519</v>
      </c>
      <c r="D42" s="271">
        <f>'F-CRes'!D10</f>
        <v>5600053.0219552517</v>
      </c>
      <c r="E42" s="271">
        <f>'F-CRes'!E10</f>
        <v>4859743.2715552514</v>
      </c>
      <c r="F42" s="271">
        <f>'F-CRes'!F10</f>
        <v>4119433.5211552517</v>
      </c>
      <c r="G42" s="488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4.25" customHeight="1">
      <c r="A43" s="267" t="s">
        <v>688</v>
      </c>
      <c r="B43" s="271">
        <f>'E-Costos'!B134</f>
        <v>11518631.330664258</v>
      </c>
      <c r="C43" s="271">
        <f>'E-Costos'!C134</f>
        <v>14781670.414236013</v>
      </c>
      <c r="D43" s="271">
        <f>'E-Costos'!D134</f>
        <v>14781670.414236013</v>
      </c>
      <c r="E43" s="271">
        <f>'E-Costos'!E134</f>
        <v>14781670.414236013</v>
      </c>
      <c r="F43" s="271">
        <f>'E-Costos'!F134</f>
        <v>14781670.414236013</v>
      </c>
      <c r="G43" s="488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4.25" customHeight="1">
      <c r="A44" s="279" t="s">
        <v>689</v>
      </c>
      <c r="B44" s="498">
        <f t="shared" ref="B44:F44" si="13">(B37+B39+B41+B42)/B43</f>
        <v>1.1949143199552577</v>
      </c>
      <c r="C44" s="498">
        <f t="shared" si="13"/>
        <v>0.91930727550745506</v>
      </c>
      <c r="D44" s="498">
        <f t="shared" si="13"/>
        <v>0.86922431941021872</v>
      </c>
      <c r="E44" s="498">
        <f t="shared" si="13"/>
        <v>0.81914136331298226</v>
      </c>
      <c r="F44" s="498">
        <f t="shared" si="13"/>
        <v>0.76905840721574592</v>
      </c>
      <c r="G44" s="488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6.5" customHeight="1">
      <c r="A45" s="499" t="s">
        <v>897</v>
      </c>
      <c r="B45" s="427"/>
      <c r="C45" s="427"/>
      <c r="D45" s="427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4.2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4.2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4.2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4.2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4.2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4.2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4.2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4.2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4.25" customHeight="1">
      <c r="A54" s="231"/>
      <c r="B54" s="401" t="s">
        <v>691</v>
      </c>
      <c r="C54" s="401"/>
      <c r="D54" s="401"/>
      <c r="E54" s="401"/>
      <c r="F54" s="40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4.25" customHeight="1">
      <c r="A55" s="231"/>
      <c r="B55" s="401" t="s">
        <v>692</v>
      </c>
      <c r="C55" s="401" t="s">
        <v>693</v>
      </c>
      <c r="D55" s="401" t="s">
        <v>694</v>
      </c>
      <c r="E55" s="401" t="s">
        <v>695</v>
      </c>
      <c r="F55" s="401" t="s">
        <v>696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4.25" customHeight="1">
      <c r="A56" s="231"/>
      <c r="B56" s="402">
        <v>0</v>
      </c>
      <c r="C56" s="403">
        <v>0</v>
      </c>
      <c r="D56" s="403">
        <v>0</v>
      </c>
      <c r="E56" s="404">
        <f t="shared" ref="E56:E80" si="14">$B$37+$B$39+$B$41+$B$42</f>
        <v>13763777.523296006</v>
      </c>
      <c r="F56" s="403">
        <f t="shared" ref="F56:F80" si="15">D56+E56</f>
        <v>13763777.523296006</v>
      </c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4.25" customHeight="1">
      <c r="A57" s="231"/>
      <c r="B57" s="405">
        <v>500</v>
      </c>
      <c r="C57" s="403">
        <v>713636.36363636365</v>
      </c>
      <c r="D57" s="403">
        <v>273464.45977976418</v>
      </c>
      <c r="E57" s="404">
        <f t="shared" si="14"/>
        <v>13763777.523296006</v>
      </c>
      <c r="F57" s="403">
        <f t="shared" si="15"/>
        <v>14037241.98307577</v>
      </c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4.25" customHeight="1">
      <c r="A58" s="231"/>
      <c r="B58" s="405">
        <v>1000</v>
      </c>
      <c r="C58" s="403">
        <v>1427272.7272727273</v>
      </c>
      <c r="D58" s="403">
        <v>546928.91955952835</v>
      </c>
      <c r="E58" s="404">
        <f t="shared" si="14"/>
        <v>13763777.523296006</v>
      </c>
      <c r="F58" s="403">
        <f t="shared" si="15"/>
        <v>14310706.442855535</v>
      </c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4.25" customHeight="1">
      <c r="A59" s="231"/>
      <c r="B59" s="405">
        <v>1500</v>
      </c>
      <c r="C59" s="403">
        <v>2140909.0909090908</v>
      </c>
      <c r="D59" s="403">
        <v>820393.37933929253</v>
      </c>
      <c r="E59" s="404">
        <f t="shared" si="14"/>
        <v>13763777.523296006</v>
      </c>
      <c r="F59" s="403">
        <f t="shared" si="15"/>
        <v>14584170.902635299</v>
      </c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4.25" customHeight="1">
      <c r="A60" s="231"/>
      <c r="B60" s="405">
        <v>2000</v>
      </c>
      <c r="C60" s="403">
        <v>2854545.4545454546</v>
      </c>
      <c r="D60" s="403">
        <v>1093857.8391190567</v>
      </c>
      <c r="E60" s="404">
        <f t="shared" si="14"/>
        <v>13763777.523296006</v>
      </c>
      <c r="F60" s="403">
        <f t="shared" si="15"/>
        <v>14857635.362415062</v>
      </c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4.25" customHeight="1">
      <c r="A61" s="231"/>
      <c r="B61" s="405">
        <v>2500</v>
      </c>
      <c r="C61" s="403">
        <v>3568181.8181818184</v>
      </c>
      <c r="D61" s="403">
        <v>1367322.298898821</v>
      </c>
      <c r="E61" s="404">
        <f t="shared" si="14"/>
        <v>13763777.523296006</v>
      </c>
      <c r="F61" s="403">
        <f t="shared" si="15"/>
        <v>15131099.822194828</v>
      </c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4.25" customHeight="1">
      <c r="A62" s="231"/>
      <c r="B62" s="405">
        <v>3000</v>
      </c>
      <c r="C62" s="403">
        <v>4281818.1818181816</v>
      </c>
      <c r="D62" s="403">
        <v>1640786.7586785851</v>
      </c>
      <c r="E62" s="404">
        <f t="shared" si="14"/>
        <v>13763777.523296006</v>
      </c>
      <c r="F62" s="403">
        <f t="shared" si="15"/>
        <v>15404564.281974591</v>
      </c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4.25" customHeight="1">
      <c r="A63" s="231"/>
      <c r="B63" s="402">
        <v>3500</v>
      </c>
      <c r="C63" s="403">
        <v>4995454.5454545449</v>
      </c>
      <c r="D63" s="403">
        <v>1914251.2184583494</v>
      </c>
      <c r="E63" s="404">
        <f t="shared" si="14"/>
        <v>13763777.523296006</v>
      </c>
      <c r="F63" s="403">
        <f t="shared" si="15"/>
        <v>15678028.741754355</v>
      </c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4.25" customHeight="1">
      <c r="A64" s="231"/>
      <c r="B64" s="402">
        <v>4000</v>
      </c>
      <c r="C64" s="403">
        <v>5709090.9090909092</v>
      </c>
      <c r="D64" s="403">
        <v>2187715.6782381134</v>
      </c>
      <c r="E64" s="404">
        <f t="shared" si="14"/>
        <v>13763777.523296006</v>
      </c>
      <c r="F64" s="403">
        <f t="shared" si="15"/>
        <v>15951493.201534119</v>
      </c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4.25" customHeight="1">
      <c r="A65" s="231"/>
      <c r="B65" s="402">
        <v>4500</v>
      </c>
      <c r="C65" s="403">
        <v>6422727.2727272725</v>
      </c>
      <c r="D65" s="403">
        <v>2461180.1380178775</v>
      </c>
      <c r="E65" s="404">
        <f t="shared" si="14"/>
        <v>13763777.523296006</v>
      </c>
      <c r="F65" s="403">
        <f t="shared" si="15"/>
        <v>16224957.661313884</v>
      </c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4.25" customHeight="1">
      <c r="A66" s="231"/>
      <c r="B66" s="402">
        <v>5000</v>
      </c>
      <c r="C66" s="403">
        <v>7136363.6363636367</v>
      </c>
      <c r="D66" s="403">
        <v>2734644.597797642</v>
      </c>
      <c r="E66" s="404">
        <f t="shared" si="14"/>
        <v>13763777.523296006</v>
      </c>
      <c r="F66" s="403">
        <f t="shared" si="15"/>
        <v>16498422.121093648</v>
      </c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4.25" customHeight="1">
      <c r="A67" s="231"/>
      <c r="B67" s="402">
        <v>5500</v>
      </c>
      <c r="C67" s="403">
        <v>7850000</v>
      </c>
      <c r="D67" s="403">
        <v>3008109.0575774061</v>
      </c>
      <c r="E67" s="404">
        <f t="shared" si="14"/>
        <v>13763777.523296006</v>
      </c>
      <c r="F67" s="403">
        <f t="shared" si="15"/>
        <v>16771886.580873411</v>
      </c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4.25" customHeight="1">
      <c r="A68" s="231"/>
      <c r="B68" s="402">
        <v>6000</v>
      </c>
      <c r="C68" s="403">
        <v>8563636.3636363633</v>
      </c>
      <c r="D68" s="403">
        <v>3281573.5173571701</v>
      </c>
      <c r="E68" s="404">
        <f t="shared" si="14"/>
        <v>13763777.523296006</v>
      </c>
      <c r="F68" s="403">
        <f t="shared" si="15"/>
        <v>17045351.040653177</v>
      </c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4.25" customHeight="1">
      <c r="A69" s="231"/>
      <c r="B69" s="402">
        <v>6500</v>
      </c>
      <c r="C69" s="403">
        <v>9277272.7272727266</v>
      </c>
      <c r="D69" s="403">
        <v>3555037.9771369342</v>
      </c>
      <c r="E69" s="404">
        <f t="shared" si="14"/>
        <v>13763777.523296006</v>
      </c>
      <c r="F69" s="403">
        <f t="shared" si="15"/>
        <v>17318815.500432938</v>
      </c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4.25" customHeight="1">
      <c r="A70" s="231"/>
      <c r="B70" s="402">
        <v>7000</v>
      </c>
      <c r="C70" s="403">
        <v>9990909.0909090899</v>
      </c>
      <c r="D70" s="403">
        <v>3828502.4369166987</v>
      </c>
      <c r="E70" s="404">
        <f t="shared" si="14"/>
        <v>13763777.523296006</v>
      </c>
      <c r="F70" s="403">
        <f t="shared" si="15"/>
        <v>17592279.960212704</v>
      </c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4.25" customHeight="1">
      <c r="A71" s="231"/>
      <c r="B71" s="402">
        <v>7500</v>
      </c>
      <c r="C71" s="403">
        <v>10704545.454545455</v>
      </c>
      <c r="D71" s="403">
        <v>4101966.8966964628</v>
      </c>
      <c r="E71" s="404">
        <f t="shared" si="14"/>
        <v>13763777.523296006</v>
      </c>
      <c r="F71" s="403">
        <f t="shared" si="15"/>
        <v>17865744.419992469</v>
      </c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4.25" customHeight="1">
      <c r="A72" s="231"/>
      <c r="B72" s="402">
        <v>8000</v>
      </c>
      <c r="C72" s="403">
        <v>11418181.818181818</v>
      </c>
      <c r="D72" s="403">
        <v>4375431.3564762268</v>
      </c>
      <c r="E72" s="404">
        <f t="shared" si="14"/>
        <v>13763777.523296006</v>
      </c>
      <c r="F72" s="403">
        <f t="shared" si="15"/>
        <v>18139208.879772231</v>
      </c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4.25" customHeight="1">
      <c r="A73" s="231"/>
      <c r="B73" s="402">
        <v>8500</v>
      </c>
      <c r="C73" s="403">
        <v>12131818.181818182</v>
      </c>
      <c r="D73" s="403">
        <v>4648895.8162559913</v>
      </c>
      <c r="E73" s="404">
        <f t="shared" si="14"/>
        <v>13763777.523296006</v>
      </c>
      <c r="F73" s="403">
        <f t="shared" si="15"/>
        <v>18412673.339551996</v>
      </c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4.25" customHeight="1">
      <c r="A74" s="231"/>
      <c r="B74" s="402">
        <v>9000</v>
      </c>
      <c r="C74" s="403">
        <v>12845454.545454545</v>
      </c>
      <c r="D74" s="403">
        <v>4922360.2760357549</v>
      </c>
      <c r="E74" s="404">
        <f t="shared" si="14"/>
        <v>13763777.523296006</v>
      </c>
      <c r="F74" s="403">
        <f t="shared" si="15"/>
        <v>18686137.799331762</v>
      </c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4.25" customHeight="1">
      <c r="A75" s="231"/>
      <c r="B75" s="402">
        <v>9500</v>
      </c>
      <c r="C75" s="403">
        <v>13559090.909090908</v>
      </c>
      <c r="D75" s="403">
        <v>5195824.7358155195</v>
      </c>
      <c r="E75" s="404">
        <f t="shared" si="14"/>
        <v>13763777.523296006</v>
      </c>
      <c r="F75" s="403">
        <f t="shared" si="15"/>
        <v>18959602.259111524</v>
      </c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4.25" customHeight="1">
      <c r="A76" s="231"/>
      <c r="B76" s="402">
        <v>10000</v>
      </c>
      <c r="C76" s="403">
        <v>14272727.272727273</v>
      </c>
      <c r="D76" s="403">
        <v>5469289.195595284</v>
      </c>
      <c r="E76" s="404">
        <f t="shared" si="14"/>
        <v>13763777.523296006</v>
      </c>
      <c r="F76" s="403">
        <f t="shared" si="15"/>
        <v>19233066.718891289</v>
      </c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4.25" customHeight="1">
      <c r="A77" s="231"/>
      <c r="B77" s="402">
        <v>10500</v>
      </c>
      <c r="C77" s="403">
        <v>14986363.636363637</v>
      </c>
      <c r="D77" s="403">
        <v>5742753.6553750476</v>
      </c>
      <c r="E77" s="404">
        <f t="shared" si="14"/>
        <v>13763777.523296006</v>
      </c>
      <c r="F77" s="403">
        <f t="shared" si="15"/>
        <v>19506531.178671055</v>
      </c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4.25" customHeight="1">
      <c r="A78" s="231"/>
      <c r="B78" s="402">
        <v>11000</v>
      </c>
      <c r="C78" s="403">
        <v>15700000</v>
      </c>
      <c r="D78" s="403">
        <v>6016218.1151548121</v>
      </c>
      <c r="E78" s="404">
        <f t="shared" si="14"/>
        <v>13763777.523296006</v>
      </c>
      <c r="F78" s="403">
        <f t="shared" si="15"/>
        <v>19779995.638450816</v>
      </c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4.25" customHeight="1">
      <c r="A79" s="231"/>
      <c r="B79" s="402">
        <v>11500</v>
      </c>
      <c r="C79" s="403">
        <v>16413636.363636363</v>
      </c>
      <c r="D79" s="403">
        <v>6289682.5749345766</v>
      </c>
      <c r="E79" s="404">
        <f t="shared" si="14"/>
        <v>13763777.523296006</v>
      </c>
      <c r="F79" s="403">
        <f t="shared" si="15"/>
        <v>20053460.098230582</v>
      </c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4.25" customHeight="1">
      <c r="A80" s="231"/>
      <c r="B80" s="500">
        <v>11880</v>
      </c>
      <c r="C80" s="403">
        <v>16956000</v>
      </c>
      <c r="D80" s="403">
        <v>6497515.5643671975</v>
      </c>
      <c r="E80" s="404">
        <f t="shared" si="14"/>
        <v>13763777.523296006</v>
      </c>
      <c r="F80" s="403">
        <f t="shared" si="15"/>
        <v>20261293.087663203</v>
      </c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4.2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4.2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4.25" customHeight="1">
      <c r="A83" s="231"/>
      <c r="B83" s="401" t="s">
        <v>698</v>
      </c>
      <c r="C83" s="401"/>
      <c r="D83" s="401"/>
      <c r="E83" s="401"/>
      <c r="F83" s="40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4.25" customHeight="1">
      <c r="A84" s="231"/>
      <c r="B84" s="401" t="s">
        <v>692</v>
      </c>
      <c r="C84" s="401" t="s">
        <v>693</v>
      </c>
      <c r="D84" s="401" t="s">
        <v>694</v>
      </c>
      <c r="E84" s="401" t="s">
        <v>695</v>
      </c>
      <c r="F84" s="401" t="s">
        <v>696</v>
      </c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4.25" customHeight="1">
      <c r="A85" s="231"/>
      <c r="B85" s="402">
        <v>0</v>
      </c>
      <c r="C85" s="403">
        <v>0</v>
      </c>
      <c r="D85" s="403">
        <v>0</v>
      </c>
      <c r="E85" s="404">
        <f t="shared" ref="E85:E115" si="16">$F$37+$F$39+$F$41+$F$42</f>
        <v>11367967.904760463</v>
      </c>
      <c r="F85" s="403">
        <f t="shared" ref="F85:F115" si="17">D85+E85</f>
        <v>11367967.904760463</v>
      </c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4.25" customHeight="1">
      <c r="A86" s="231"/>
      <c r="B86" s="405">
        <v>500</v>
      </c>
      <c r="C86" s="403">
        <v>713636.36363636365</v>
      </c>
      <c r="D86" s="403">
        <v>263664.42604284768</v>
      </c>
      <c r="E86" s="404">
        <f t="shared" si="16"/>
        <v>11367967.904760463</v>
      </c>
      <c r="F86" s="403">
        <f t="shared" si="17"/>
        <v>11631632.33080331</v>
      </c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4.25" customHeight="1">
      <c r="A87" s="231"/>
      <c r="B87" s="405">
        <v>1000</v>
      </c>
      <c r="C87" s="403">
        <v>1427272.7272727273</v>
      </c>
      <c r="D87" s="403">
        <v>527328.85208569537</v>
      </c>
      <c r="E87" s="404">
        <f t="shared" si="16"/>
        <v>11367967.904760463</v>
      </c>
      <c r="F87" s="403">
        <f t="shared" si="17"/>
        <v>11895296.756846158</v>
      </c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4.25" customHeight="1">
      <c r="A88" s="231"/>
      <c r="B88" s="405">
        <v>1500</v>
      </c>
      <c r="C88" s="403">
        <v>2140909.0909090908</v>
      </c>
      <c r="D88" s="403">
        <v>790993.27812854317</v>
      </c>
      <c r="E88" s="404">
        <f t="shared" si="16"/>
        <v>11367967.904760463</v>
      </c>
      <c r="F88" s="403">
        <f t="shared" si="17"/>
        <v>12158961.182889007</v>
      </c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4.25" customHeight="1">
      <c r="A89" s="231"/>
      <c r="B89" s="405">
        <v>2000</v>
      </c>
      <c r="C89" s="403">
        <v>2854545.4545454546</v>
      </c>
      <c r="D89" s="403">
        <v>1054657.7041713907</v>
      </c>
      <c r="E89" s="404">
        <f t="shared" si="16"/>
        <v>11367967.904760463</v>
      </c>
      <c r="F89" s="403">
        <f t="shared" si="17"/>
        <v>12422625.608931854</v>
      </c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4.25" customHeight="1">
      <c r="A90" s="231"/>
      <c r="B90" s="405">
        <v>2500</v>
      </c>
      <c r="C90" s="403">
        <v>3568181.8181818184</v>
      </c>
      <c r="D90" s="403">
        <v>1318322.1302142385</v>
      </c>
      <c r="E90" s="404">
        <f t="shared" si="16"/>
        <v>11367967.904760463</v>
      </c>
      <c r="F90" s="403">
        <f t="shared" si="17"/>
        <v>12686290.034974702</v>
      </c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4.25" customHeight="1">
      <c r="A91" s="231"/>
      <c r="B91" s="405">
        <v>3000</v>
      </c>
      <c r="C91" s="403">
        <v>4281818.1818181816</v>
      </c>
      <c r="D91" s="403">
        <v>1581986.5562570863</v>
      </c>
      <c r="E91" s="404">
        <f t="shared" si="16"/>
        <v>11367967.904760463</v>
      </c>
      <c r="F91" s="403">
        <f t="shared" si="17"/>
        <v>12949954.461017549</v>
      </c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4.25" customHeight="1">
      <c r="A92" s="231"/>
      <c r="B92" s="405">
        <v>3500</v>
      </c>
      <c r="C92" s="403">
        <v>4995454.5454545449</v>
      </c>
      <c r="D92" s="403">
        <v>1845650.9822999339</v>
      </c>
      <c r="E92" s="404">
        <f t="shared" si="16"/>
        <v>11367967.904760463</v>
      </c>
      <c r="F92" s="403">
        <f t="shared" si="17"/>
        <v>13213618.887060396</v>
      </c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4.25" customHeight="1">
      <c r="A93" s="231"/>
      <c r="B93" s="405">
        <v>4000</v>
      </c>
      <c r="C93" s="403">
        <v>5709090.9090909092</v>
      </c>
      <c r="D93" s="403">
        <v>2109315.4083427815</v>
      </c>
      <c r="E93" s="404">
        <f t="shared" si="16"/>
        <v>11367967.904760463</v>
      </c>
      <c r="F93" s="403">
        <f t="shared" si="17"/>
        <v>13477283.313103244</v>
      </c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4.25" customHeight="1">
      <c r="A94" s="231"/>
      <c r="B94" s="405">
        <v>4500</v>
      </c>
      <c r="C94" s="403">
        <v>6422727.2727272725</v>
      </c>
      <c r="D94" s="403">
        <v>2372979.8343856293</v>
      </c>
      <c r="E94" s="404">
        <f t="shared" si="16"/>
        <v>11367967.904760463</v>
      </c>
      <c r="F94" s="403">
        <f t="shared" si="17"/>
        <v>13740947.739146093</v>
      </c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4.25" customHeight="1">
      <c r="A95" s="231"/>
      <c r="B95" s="402">
        <v>5000</v>
      </c>
      <c r="C95" s="403">
        <v>7136363.6363636367</v>
      </c>
      <c r="D95" s="403">
        <v>2636644.2604284771</v>
      </c>
      <c r="E95" s="404">
        <f t="shared" si="16"/>
        <v>11367967.904760463</v>
      </c>
      <c r="F95" s="403">
        <f t="shared" si="17"/>
        <v>14004612.16518894</v>
      </c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4.25" customHeight="1">
      <c r="A96" s="231"/>
      <c r="B96" s="405">
        <v>5500</v>
      </c>
      <c r="C96" s="403">
        <v>7850000</v>
      </c>
      <c r="D96" s="403">
        <v>2900308.6864713249</v>
      </c>
      <c r="E96" s="404">
        <f t="shared" si="16"/>
        <v>11367967.904760463</v>
      </c>
      <c r="F96" s="403">
        <f t="shared" si="17"/>
        <v>14268276.591231788</v>
      </c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4.25" customHeight="1">
      <c r="A97" s="231"/>
      <c r="B97" s="402">
        <v>6000</v>
      </c>
      <c r="C97" s="403">
        <v>8563636.3636363633</v>
      </c>
      <c r="D97" s="403">
        <v>3163973.1125141727</v>
      </c>
      <c r="E97" s="404">
        <f t="shared" si="16"/>
        <v>11367967.904760463</v>
      </c>
      <c r="F97" s="403">
        <f t="shared" si="17"/>
        <v>14531941.017274637</v>
      </c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4.25" customHeight="1">
      <c r="A98" s="231"/>
      <c r="B98" s="405">
        <v>6500</v>
      </c>
      <c r="C98" s="403">
        <v>9277272.7272727266</v>
      </c>
      <c r="D98" s="403">
        <v>3427637.53855702</v>
      </c>
      <c r="E98" s="404">
        <f t="shared" si="16"/>
        <v>11367967.904760463</v>
      </c>
      <c r="F98" s="403">
        <f t="shared" si="17"/>
        <v>14795605.443317484</v>
      </c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4.25" customHeight="1">
      <c r="A99" s="231"/>
      <c r="B99" s="402">
        <v>7000</v>
      </c>
      <c r="C99" s="403">
        <v>9990909.0909090899</v>
      </c>
      <c r="D99" s="403">
        <v>3691301.9645998678</v>
      </c>
      <c r="E99" s="404">
        <f t="shared" si="16"/>
        <v>11367967.904760463</v>
      </c>
      <c r="F99" s="403">
        <f t="shared" si="17"/>
        <v>15059269.869360331</v>
      </c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4.25" customHeight="1">
      <c r="A100" s="231"/>
      <c r="B100" s="405">
        <v>7500</v>
      </c>
      <c r="C100" s="403">
        <v>10704545.454545455</v>
      </c>
      <c r="D100" s="403">
        <v>3954966.3906427156</v>
      </c>
      <c r="E100" s="404">
        <f t="shared" si="16"/>
        <v>11367967.904760463</v>
      </c>
      <c r="F100" s="403">
        <f t="shared" si="17"/>
        <v>15322934.295403179</v>
      </c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4.25" customHeight="1">
      <c r="A101" s="231"/>
      <c r="B101" s="402">
        <v>8000</v>
      </c>
      <c r="C101" s="403">
        <v>11418181.818181818</v>
      </c>
      <c r="D101" s="403">
        <v>4218630.816685563</v>
      </c>
      <c r="E101" s="404">
        <f t="shared" si="16"/>
        <v>11367967.904760463</v>
      </c>
      <c r="F101" s="403">
        <f t="shared" si="17"/>
        <v>15586598.721446026</v>
      </c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4.25" customHeight="1">
      <c r="A102" s="231"/>
      <c r="B102" s="405">
        <v>8500</v>
      </c>
      <c r="C102" s="403">
        <v>12131818.181818182</v>
      </c>
      <c r="D102" s="403">
        <v>4482295.2427284112</v>
      </c>
      <c r="E102" s="404">
        <f t="shared" si="16"/>
        <v>11367967.904760463</v>
      </c>
      <c r="F102" s="403">
        <f t="shared" si="17"/>
        <v>15850263.147488873</v>
      </c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4.25" customHeight="1">
      <c r="A103" s="231"/>
      <c r="B103" s="402">
        <v>9000</v>
      </c>
      <c r="C103" s="403">
        <v>12845454.545454545</v>
      </c>
      <c r="D103" s="403">
        <v>4745959.6687712586</v>
      </c>
      <c r="E103" s="404">
        <f t="shared" si="16"/>
        <v>11367967.904760463</v>
      </c>
      <c r="F103" s="403">
        <f t="shared" si="17"/>
        <v>16113927.573531721</v>
      </c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4.25" customHeight="1">
      <c r="A104" s="231"/>
      <c r="B104" s="405">
        <v>9500</v>
      </c>
      <c r="C104" s="403">
        <v>13559090.909090908</v>
      </c>
      <c r="D104" s="403">
        <v>5009624.0948141068</v>
      </c>
      <c r="E104" s="404">
        <f t="shared" si="16"/>
        <v>11367967.904760463</v>
      </c>
      <c r="F104" s="403">
        <f t="shared" si="17"/>
        <v>16377591.99957457</v>
      </c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4.25" customHeight="1">
      <c r="A105" s="231"/>
      <c r="B105" s="402">
        <v>10000</v>
      </c>
      <c r="C105" s="403">
        <v>14272727.272727273</v>
      </c>
      <c r="D105" s="403">
        <v>5273288.5208569542</v>
      </c>
      <c r="E105" s="404">
        <f t="shared" si="16"/>
        <v>11367967.904760463</v>
      </c>
      <c r="F105" s="403">
        <f t="shared" si="17"/>
        <v>16641256.425617417</v>
      </c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4.25" customHeight="1">
      <c r="A106" s="231"/>
      <c r="B106" s="405">
        <v>10500</v>
      </c>
      <c r="C106" s="403">
        <v>14986363.636363637</v>
      </c>
      <c r="D106" s="403">
        <v>5536952.9468998015</v>
      </c>
      <c r="E106" s="404">
        <f t="shared" si="16"/>
        <v>11367967.904760463</v>
      </c>
      <c r="F106" s="403">
        <f t="shared" si="17"/>
        <v>16904920.851660267</v>
      </c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4.25" customHeight="1">
      <c r="A107" s="231"/>
      <c r="B107" s="402">
        <v>11000</v>
      </c>
      <c r="C107" s="403">
        <v>15700000</v>
      </c>
      <c r="D107" s="403">
        <v>5800617.3729426498</v>
      </c>
      <c r="E107" s="404">
        <f t="shared" si="16"/>
        <v>11367967.904760463</v>
      </c>
      <c r="F107" s="403">
        <f t="shared" si="17"/>
        <v>17168585.277703114</v>
      </c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4.25" customHeight="1">
      <c r="A108" s="231"/>
      <c r="B108" s="405">
        <v>11500</v>
      </c>
      <c r="C108" s="403">
        <v>16413636.363636363</v>
      </c>
      <c r="D108" s="403">
        <v>6064281.7989854971</v>
      </c>
      <c r="E108" s="404">
        <f t="shared" si="16"/>
        <v>11367967.904760463</v>
      </c>
      <c r="F108" s="403">
        <f t="shared" si="17"/>
        <v>17432249.703745961</v>
      </c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4.25" customHeight="1">
      <c r="A109" s="231"/>
      <c r="B109" s="402">
        <v>12000</v>
      </c>
      <c r="C109" s="403">
        <v>17127272.727272727</v>
      </c>
      <c r="D109" s="403">
        <v>6327946.2250283454</v>
      </c>
      <c r="E109" s="404">
        <f t="shared" si="16"/>
        <v>11367967.904760463</v>
      </c>
      <c r="F109" s="403">
        <f t="shared" si="17"/>
        <v>17695914.129788809</v>
      </c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4.25" customHeight="1">
      <c r="A110" s="231"/>
      <c r="B110" s="405">
        <v>12500</v>
      </c>
      <c r="C110" s="403">
        <v>17840909.09090909</v>
      </c>
      <c r="D110" s="403">
        <v>6591610.6510711927</v>
      </c>
      <c r="E110" s="404">
        <f t="shared" si="16"/>
        <v>11367967.904760463</v>
      </c>
      <c r="F110" s="403">
        <f t="shared" si="17"/>
        <v>17959578.555831656</v>
      </c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4.25" customHeight="1">
      <c r="A111" s="231"/>
      <c r="B111" s="402">
        <v>13000</v>
      </c>
      <c r="C111" s="403">
        <v>18554545.454545453</v>
      </c>
      <c r="D111" s="403">
        <v>6855275.07711404</v>
      </c>
      <c r="E111" s="404">
        <f t="shared" si="16"/>
        <v>11367967.904760463</v>
      </c>
      <c r="F111" s="403">
        <f t="shared" si="17"/>
        <v>18223242.981874503</v>
      </c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4.25" customHeight="1">
      <c r="A112" s="231"/>
      <c r="B112" s="405">
        <v>13500</v>
      </c>
      <c r="C112" s="403">
        <v>19268181.818181816</v>
      </c>
      <c r="D112" s="403">
        <v>7118939.5031568883</v>
      </c>
      <c r="E112" s="404">
        <f t="shared" si="16"/>
        <v>11367967.904760463</v>
      </c>
      <c r="F112" s="403">
        <f t="shared" si="17"/>
        <v>18486907.407917351</v>
      </c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4.25" customHeight="1">
      <c r="A113" s="231"/>
      <c r="B113" s="402">
        <v>14000</v>
      </c>
      <c r="C113" s="403">
        <v>19981818.18181818</v>
      </c>
      <c r="D113" s="403">
        <v>7382603.9291997356</v>
      </c>
      <c r="E113" s="404">
        <f t="shared" si="16"/>
        <v>11367967.904760463</v>
      </c>
      <c r="F113" s="403">
        <f t="shared" si="17"/>
        <v>18750571.833960198</v>
      </c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4.25" customHeight="1">
      <c r="A114" s="231"/>
      <c r="B114" s="405">
        <v>14500</v>
      </c>
      <c r="C114" s="403">
        <v>20695454.545454547</v>
      </c>
      <c r="D114" s="403">
        <v>7646268.3552425839</v>
      </c>
      <c r="E114" s="404">
        <f t="shared" si="16"/>
        <v>11367967.904760463</v>
      </c>
      <c r="F114" s="403">
        <f t="shared" si="17"/>
        <v>19014236.260003045</v>
      </c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4.25" customHeight="1">
      <c r="A115" s="231"/>
      <c r="B115" s="402">
        <v>14850</v>
      </c>
      <c r="C115" s="403">
        <v>21195000</v>
      </c>
      <c r="D115" s="403">
        <v>7830833.453472577</v>
      </c>
      <c r="E115" s="404">
        <f t="shared" si="16"/>
        <v>11367967.904760463</v>
      </c>
      <c r="F115" s="403">
        <f t="shared" si="17"/>
        <v>19198801.358233042</v>
      </c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4.2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4.2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4.2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4.2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4.2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4.2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4.2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4.2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4.2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4.2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4.2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4.2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4.2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4.2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4.2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4.2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4.2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4.2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4.2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4.2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4.2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4.2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4.2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4.2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4.2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4.2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4.2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4.2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4.2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4.2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4.2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4.2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4.2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4.2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4.2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4.2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4.2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4.2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4.2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4.2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4.2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4.2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4.2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4.2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4.2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4.2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4.2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4.2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4.2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4.2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4.2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4.2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4.2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4.2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4.2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4.2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4.2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4.2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4.2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4.2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4.2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4.2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4.2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4.2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4.2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4.2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4.2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4.2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4.2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4.2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4.2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4.2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4.2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4.2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4.2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4.2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4.2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4.2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4.2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4.2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4.2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4.2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4.2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4.2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4.2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4.2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4.2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4.2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4.2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4.2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4.2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4.2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4.2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4.2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4.2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4.2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4.2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4.2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4.2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4.2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4.2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4.2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4.2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4.2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4.2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4.2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4.2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4.2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4.2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4.2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4.2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4.2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4.2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4.2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4.2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4.2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4.2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4.2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4.2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4.2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4.2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4.2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4.2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  <row r="239" spans="1:26" ht="14.25" customHeight="1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</row>
    <row r="240" spans="1:26" ht="14.25" customHeight="1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</row>
    <row r="241" spans="1:26" ht="14.25" customHeight="1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</row>
    <row r="242" spans="1:26" ht="14.2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</row>
    <row r="243" spans="1:26" ht="14.2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</row>
    <row r="244" spans="1:26" ht="14.2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</row>
    <row r="245" spans="1:26" ht="14.2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</sheetData>
  <pageMargins left="0.7" right="0.7" top="0.75" bottom="0.75" header="0" footer="0"/>
  <pageSetup paperSize="9"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FF00"/>
    <pageSetUpPr fitToPage="1"/>
  </sheetPr>
  <dimension ref="A1:Z221"/>
  <sheetViews>
    <sheetView workbookViewId="0"/>
  </sheetViews>
  <sheetFormatPr defaultColWidth="14.44140625" defaultRowHeight="15" customHeight="1"/>
  <cols>
    <col min="1" max="1" width="42.88671875" customWidth="1"/>
    <col min="2" max="2" width="13.88671875" customWidth="1"/>
    <col min="3" max="7" width="15" customWidth="1"/>
    <col min="8" max="26" width="9" customWidth="1"/>
  </cols>
  <sheetData>
    <row r="1" spans="1:26" ht="14.25" customHeight="1">
      <c r="A1" s="244" t="s">
        <v>483</v>
      </c>
      <c r="E1" s="245">
        <f>InfoInicial!E1</f>
        <v>10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6.5" customHeight="1">
      <c r="A2" s="446" t="s">
        <v>761</v>
      </c>
      <c r="B2" s="325"/>
      <c r="C2" s="325"/>
      <c r="D2" s="325"/>
      <c r="E2" s="325"/>
      <c r="F2" s="325"/>
      <c r="G2" s="326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5.75" customHeight="1">
      <c r="A3" s="501"/>
      <c r="B3" s="434" t="s">
        <v>762</v>
      </c>
      <c r="C3" s="434"/>
      <c r="D3" s="434"/>
      <c r="E3" s="434"/>
      <c r="F3" s="434"/>
      <c r="G3" s="502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3.5" customHeight="1">
      <c r="A4" s="447" t="s">
        <v>586</v>
      </c>
      <c r="B4" s="417" t="s">
        <v>537</v>
      </c>
      <c r="C4" s="263" t="s">
        <v>39</v>
      </c>
      <c r="D4" s="263" t="s">
        <v>425</v>
      </c>
      <c r="E4" s="263" t="s">
        <v>426</v>
      </c>
      <c r="F4" s="263" t="s">
        <v>427</v>
      </c>
      <c r="G4" s="264" t="s">
        <v>428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3.5" customHeight="1">
      <c r="A5" s="503" t="s">
        <v>898</v>
      </c>
      <c r="B5" s="438"/>
      <c r="C5" s="327"/>
      <c r="D5" s="327"/>
      <c r="E5" s="327"/>
      <c r="F5" s="327"/>
      <c r="G5" s="421"/>
      <c r="H5" s="488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2.75" customHeight="1">
      <c r="A6" s="504" t="s">
        <v>899</v>
      </c>
      <c r="B6" s="440">
        <f>'E-IVA '!B17</f>
        <v>0</v>
      </c>
      <c r="C6" s="440">
        <f>'E-IVA '!C17</f>
        <v>516462.51635580102</v>
      </c>
      <c r="D6" s="440">
        <f>'E-IVA '!D17</f>
        <v>645259.21027940023</v>
      </c>
      <c r="E6" s="440">
        <f>'E-IVA '!E17</f>
        <v>659435.13525693922</v>
      </c>
      <c r="F6" s="440">
        <f>'E-IVA '!F17</f>
        <v>659803.96664121246</v>
      </c>
      <c r="G6" s="440">
        <f>'E-IVA '!G17</f>
        <v>659803.96664121246</v>
      </c>
      <c r="H6" s="488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2.75" customHeight="1">
      <c r="A7" s="504" t="s">
        <v>900</v>
      </c>
      <c r="B7" s="297">
        <f>'E-IVA '!B18</f>
        <v>0</v>
      </c>
      <c r="C7" s="297">
        <f>'E-IVA '!C18</f>
        <v>19593.647513055486</v>
      </c>
      <c r="D7" s="297">
        <f>'E-IVA '!D18</f>
        <v>21670.378732838286</v>
      </c>
      <c r="E7" s="297">
        <f>'E-IVA '!E18</f>
        <v>21670.378732838286</v>
      </c>
      <c r="F7" s="297">
        <f>'E-IVA '!F18</f>
        <v>21670.378732838286</v>
      </c>
      <c r="G7" s="297">
        <f>'E-IVA '!G18</f>
        <v>21670.378732838286</v>
      </c>
      <c r="H7" s="488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2.75" customHeight="1">
      <c r="A8" s="505" t="s">
        <v>901</v>
      </c>
      <c r="B8" s="297">
        <f>'E-IVA '!B19</f>
        <v>0</v>
      </c>
      <c r="C8" s="297">
        <f>'E-IVA '!C19</f>
        <v>181744.30314776115</v>
      </c>
      <c r="D8" s="297">
        <f>'E-IVA '!D19</f>
        <v>222312.10980126218</v>
      </c>
      <c r="E8" s="297">
        <f>'E-IVA '!E19</f>
        <v>222312.10980126218</v>
      </c>
      <c r="F8" s="297">
        <f>'E-IVA '!F19</f>
        <v>222312.10980126218</v>
      </c>
      <c r="G8" s="297">
        <f>'E-IVA '!G19</f>
        <v>222312.10980126218</v>
      </c>
      <c r="H8" s="488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2.75" customHeight="1">
      <c r="A9" s="505" t="s">
        <v>902</v>
      </c>
      <c r="B9" s="440"/>
      <c r="C9" s="489">
        <f>'F-CRes'!B10*InfoInicial!$B$3</f>
        <v>1486941.229778603</v>
      </c>
      <c r="D9" s="489">
        <f>'F-CRes'!C10*InfoInicial!$B$3</f>
        <v>1331476.1821946029</v>
      </c>
      <c r="E9" s="489">
        <f>'F-CRes'!D10*InfoInicial!$B$3</f>
        <v>1176011.1346106029</v>
      </c>
      <c r="F9" s="489">
        <f>'F-CRes'!E10*InfoInicial!$B$3</f>
        <v>1020546.0870266028</v>
      </c>
      <c r="G9" s="489">
        <f>'F-CRes'!F10*InfoInicial!$B$3</f>
        <v>865081.03944260278</v>
      </c>
      <c r="H9" s="488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2.75" customHeight="1">
      <c r="A10" s="506" t="s">
        <v>903</v>
      </c>
      <c r="B10" s="440"/>
      <c r="C10" s="297">
        <f t="shared" ref="C10:G10" si="0">C9+C8+C7+C6</f>
        <v>2204741.6967952205</v>
      </c>
      <c r="D10" s="297">
        <f t="shared" si="0"/>
        <v>2220717.8810081035</v>
      </c>
      <c r="E10" s="297">
        <f t="shared" si="0"/>
        <v>2079428.7584016426</v>
      </c>
      <c r="F10" s="297">
        <f t="shared" si="0"/>
        <v>1924332.5422019158</v>
      </c>
      <c r="G10" s="297">
        <f t="shared" si="0"/>
        <v>1768867.4946179157</v>
      </c>
      <c r="H10" s="488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506"/>
      <c r="B11" s="440"/>
      <c r="C11" s="297"/>
      <c r="D11" s="297"/>
      <c r="E11" s="297"/>
      <c r="F11" s="297"/>
      <c r="G11" s="328"/>
      <c r="H11" s="488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2.75" customHeight="1">
      <c r="A12" s="504" t="s">
        <v>774</v>
      </c>
      <c r="B12" s="507">
        <f t="shared" ref="B12:G12" si="1">B10</f>
        <v>0</v>
      </c>
      <c r="C12" s="507">
        <f t="shared" si="1"/>
        <v>2204741.6967952205</v>
      </c>
      <c r="D12" s="507">
        <f t="shared" si="1"/>
        <v>2220717.8810081035</v>
      </c>
      <c r="E12" s="507">
        <f t="shared" si="1"/>
        <v>2079428.7584016426</v>
      </c>
      <c r="F12" s="507">
        <f t="shared" si="1"/>
        <v>1924332.5422019158</v>
      </c>
      <c r="G12" s="507">
        <f t="shared" si="1"/>
        <v>1768867.4946179157</v>
      </c>
      <c r="H12" s="488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504" t="s">
        <v>775</v>
      </c>
      <c r="B13" s="507"/>
      <c r="C13" s="297">
        <f>'E-IVA '!C22</f>
        <v>3560760</v>
      </c>
      <c r="D13" s="297">
        <f>'E-IVA '!D22</f>
        <v>4450950</v>
      </c>
      <c r="E13" s="297">
        <f>'E-IVA '!E22</f>
        <v>4450950</v>
      </c>
      <c r="F13" s="297">
        <f>'E-IVA '!F22</f>
        <v>4450950</v>
      </c>
      <c r="G13" s="297">
        <f>'E-IVA '!G22</f>
        <v>4450950</v>
      </c>
      <c r="H13" s="488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506" t="s">
        <v>904</v>
      </c>
      <c r="B14" s="507">
        <v>0</v>
      </c>
      <c r="C14" s="297">
        <f t="shared" ref="C14:G14" si="2">C13-C12</f>
        <v>1356018.3032047795</v>
      </c>
      <c r="D14" s="297">
        <f t="shared" si="2"/>
        <v>2230232.1189918965</v>
      </c>
      <c r="E14" s="297">
        <f t="shared" si="2"/>
        <v>2371521.2415983574</v>
      </c>
      <c r="F14" s="297">
        <f t="shared" si="2"/>
        <v>2526617.4577980842</v>
      </c>
      <c r="G14" s="297">
        <f t="shared" si="2"/>
        <v>2682082.5053820843</v>
      </c>
      <c r="H14" s="488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504"/>
      <c r="B15" s="440"/>
      <c r="C15" s="297"/>
      <c r="D15" s="297"/>
      <c r="E15" s="297"/>
      <c r="F15" s="297"/>
      <c r="G15" s="328"/>
      <c r="H15" s="488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508" t="s">
        <v>905</v>
      </c>
      <c r="B16" s="440"/>
      <c r="C16" s="297">
        <f>'F-2 Estructura'!B9+'F-2 Estructura'!B21</f>
        <v>6441690.7848403379</v>
      </c>
      <c r="D16" s="297">
        <f t="shared" ref="D16:G16" si="3">IF(C18&lt;0,0,C18)</f>
        <v>5408744.467398339</v>
      </c>
      <c r="E16" s="297">
        <f t="shared" si="3"/>
        <v>3179831.5901712393</v>
      </c>
      <c r="F16" s="297">
        <f t="shared" si="3"/>
        <v>808310.34857288189</v>
      </c>
      <c r="G16" s="297">
        <f t="shared" si="3"/>
        <v>0</v>
      </c>
      <c r="H16" s="488"/>
      <c r="I16" s="654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508" t="s">
        <v>906</v>
      </c>
      <c r="B17" s="509"/>
      <c r="C17" s="489">
        <f>'F-2 Estructura'!C9+'F-2 Estructura'!C21</f>
        <v>323071.98576278012</v>
      </c>
      <c r="D17" s="489">
        <f>'E-Cal Inv.'!E23</f>
        <v>1319.2417647967031</v>
      </c>
      <c r="E17" s="489">
        <f>'E-Cal Inv.'!F23</f>
        <v>0</v>
      </c>
      <c r="F17" s="489">
        <f>'E-Cal Inv.'!G23</f>
        <v>0</v>
      </c>
      <c r="G17" s="491">
        <f>'E-Cal Inv.'!H23</f>
        <v>0</v>
      </c>
      <c r="H17" s="488"/>
      <c r="I17" s="569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506" t="s">
        <v>907</v>
      </c>
      <c r="B18" s="509"/>
      <c r="C18" s="297">
        <f t="shared" ref="C18:G18" si="4">IF(C17+C16-C14&lt;0,0,C17+C16-C14)</f>
        <v>5408744.467398339</v>
      </c>
      <c r="D18" s="297">
        <f t="shared" si="4"/>
        <v>3179831.5901712393</v>
      </c>
      <c r="E18" s="297">
        <f t="shared" si="4"/>
        <v>808310.34857288189</v>
      </c>
      <c r="F18" s="297">
        <f t="shared" si="4"/>
        <v>0</v>
      </c>
      <c r="G18" s="297">
        <f t="shared" si="4"/>
        <v>0</v>
      </c>
      <c r="H18" s="488"/>
      <c r="I18" s="569"/>
      <c r="J18" s="156" t="s">
        <v>908</v>
      </c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506" t="s">
        <v>909</v>
      </c>
      <c r="B19" s="507"/>
      <c r="C19" s="297">
        <f t="shared" ref="C19:G19" si="5">IF(C18&gt;0,C14,C16+C17)</f>
        <v>1356018.3032047795</v>
      </c>
      <c r="D19" s="297">
        <f t="shared" si="5"/>
        <v>2230232.1189918965</v>
      </c>
      <c r="E19" s="297">
        <f t="shared" si="5"/>
        <v>2371521.2415983574</v>
      </c>
      <c r="F19" s="297">
        <f t="shared" si="5"/>
        <v>808310.34857288189</v>
      </c>
      <c r="G19" s="297">
        <f t="shared" si="5"/>
        <v>0</v>
      </c>
      <c r="H19" s="488"/>
      <c r="I19" s="569"/>
      <c r="J19" s="493" t="s">
        <v>640</v>
      </c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.75" customHeight="1">
      <c r="A20" s="504"/>
      <c r="B20" s="440"/>
      <c r="C20" s="297"/>
      <c r="E20" s="297"/>
      <c r="F20" s="297"/>
      <c r="G20" s="328"/>
      <c r="H20" s="488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3.5" customHeight="1">
      <c r="A21" s="510" t="s">
        <v>782</v>
      </c>
      <c r="B21" s="453">
        <f>B14-B19</f>
        <v>0</v>
      </c>
      <c r="C21" s="445">
        <f t="shared" ref="C21:G21" si="6">IF(C18&gt;0,0,-C18)</f>
        <v>0</v>
      </c>
      <c r="D21" s="445">
        <f t="shared" si="6"/>
        <v>0</v>
      </c>
      <c r="E21" s="445">
        <f t="shared" si="6"/>
        <v>0</v>
      </c>
      <c r="F21" s="445">
        <f t="shared" si="6"/>
        <v>0</v>
      </c>
      <c r="G21" s="445">
        <f t="shared" si="6"/>
        <v>0</v>
      </c>
      <c r="H21" s="488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231"/>
      <c r="B22" s="231"/>
      <c r="C22" s="231"/>
      <c r="D22" s="231"/>
      <c r="E22" s="231"/>
      <c r="F22" s="231"/>
      <c r="G22" s="231"/>
      <c r="H22" s="488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</sheetData>
  <mergeCells count="1">
    <mergeCell ref="I16:I19"/>
  </mergeCells>
  <pageMargins left="0.7" right="0.7" top="0.75" bottom="0.75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FF00"/>
    <pageSetUpPr fitToPage="1"/>
  </sheetPr>
  <dimension ref="A1:Z238"/>
  <sheetViews>
    <sheetView workbookViewId="0"/>
  </sheetViews>
  <sheetFormatPr defaultColWidth="14.44140625" defaultRowHeight="15" customHeight="1"/>
  <cols>
    <col min="1" max="1" width="37.5546875" customWidth="1"/>
    <col min="2" max="6" width="15.33203125" customWidth="1"/>
    <col min="7" max="7" width="15.44140625" customWidth="1"/>
    <col min="8" max="26" width="9" customWidth="1"/>
  </cols>
  <sheetData>
    <row r="1" spans="1:26" ht="14.25" customHeight="1">
      <c r="A1" s="244" t="s">
        <v>483</v>
      </c>
      <c r="E1" s="245">
        <f>InfoInicial!E1</f>
        <v>10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3.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6.5" customHeight="1">
      <c r="A3" s="304" t="s">
        <v>910</v>
      </c>
      <c r="B3" s="305"/>
      <c r="C3" s="305"/>
      <c r="D3" s="305"/>
      <c r="E3" s="305"/>
      <c r="F3" s="305"/>
      <c r="G3" s="306"/>
      <c r="H3" s="488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3.5" customHeight="1">
      <c r="A4" s="330"/>
      <c r="B4" s="511" t="s">
        <v>537</v>
      </c>
      <c r="C4" s="511" t="s">
        <v>39</v>
      </c>
      <c r="D4" s="511" t="s">
        <v>425</v>
      </c>
      <c r="E4" s="511" t="s">
        <v>426</v>
      </c>
      <c r="F4" s="511" t="s">
        <v>427</v>
      </c>
      <c r="G4" s="512" t="s">
        <v>428</v>
      </c>
      <c r="H4" s="488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281" t="s">
        <v>911</v>
      </c>
      <c r="B5" s="513">
        <f t="shared" ref="B5:G5" si="0">SUM(B6:B11)</f>
        <v>680107.2612647824</v>
      </c>
      <c r="C5" s="513">
        <f t="shared" si="0"/>
        <v>4442356.0795885306</v>
      </c>
      <c r="D5" s="513">
        <f t="shared" si="0"/>
        <v>4574747.5383376377</v>
      </c>
      <c r="E5" s="513">
        <f t="shared" si="0"/>
        <v>6606629.389024266</v>
      </c>
      <c r="F5" s="513">
        <f t="shared" si="0"/>
        <v>8098679.6472163722</v>
      </c>
      <c r="G5" s="513">
        <f t="shared" si="0"/>
        <v>8384134.5964260744</v>
      </c>
      <c r="H5" s="488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267" t="s">
        <v>912</v>
      </c>
      <c r="B6" s="297"/>
      <c r="C6" s="297"/>
      <c r="D6" s="297"/>
      <c r="E6" s="297"/>
      <c r="F6" s="297"/>
      <c r="G6" s="328"/>
      <c r="H6" s="488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269" t="s">
        <v>913</v>
      </c>
      <c r="B7" s="514">
        <f>'E-InvAT'!B6</f>
        <v>339120</v>
      </c>
      <c r="C7" s="514">
        <f>'E-InvAT'!C6</f>
        <v>423900</v>
      </c>
      <c r="D7" s="514">
        <f>'E-InvAT'!D6</f>
        <v>423900</v>
      </c>
      <c r="E7" s="514">
        <f>'E-InvAT'!E6</f>
        <v>423900</v>
      </c>
      <c r="F7" s="514">
        <f>'E-InvAT'!F6</f>
        <v>423900</v>
      </c>
      <c r="G7" s="514">
        <f>'E-InvAT'!G6</f>
        <v>423900</v>
      </c>
      <c r="H7" s="488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269" t="s">
        <v>914</v>
      </c>
      <c r="B8" s="297" t="str">
        <f>'F- CFyU'!B6</f>
        <v>-</v>
      </c>
      <c r="C8" s="297">
        <f>'F- CFyU'!C6</f>
        <v>0</v>
      </c>
      <c r="D8" s="297">
        <f>'F- CFyU'!D6</f>
        <v>0</v>
      </c>
      <c r="E8" s="297">
        <f>'F- CFyU'!E6</f>
        <v>2121449.3145822808</v>
      </c>
      <c r="F8" s="297">
        <f>'F- CFyU'!F6</f>
        <v>5177007.1212729067</v>
      </c>
      <c r="G8" s="297">
        <f>'F- CFyU'!G6</f>
        <v>6270772.5967652146</v>
      </c>
      <c r="H8" s="488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267" t="s">
        <v>915</v>
      </c>
      <c r="B9" s="514">
        <f>'E-Cal Inv.'!C12</f>
        <v>0</v>
      </c>
      <c r="C9" s="514">
        <f>'E-Cal Inv.'!D12</f>
        <v>971729.19203525549</v>
      </c>
      <c r="D9" s="514">
        <f>'E-Cal Inv.'!E12</f>
        <v>231127.83077284461</v>
      </c>
      <c r="E9" s="514">
        <f>'E-Cal Inv.'!F12</f>
        <v>296.83318276773207</v>
      </c>
      <c r="F9" s="514">
        <f>'E-Cal Inv.'!G12</f>
        <v>0.17770972385187633</v>
      </c>
      <c r="G9" s="514">
        <f>'E-Cal Inv.'!H12</f>
        <v>0</v>
      </c>
      <c r="H9" s="488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267" t="s">
        <v>916</v>
      </c>
      <c r="B10" s="297">
        <f>'E-InvAT'!B10+'E-InvAT'!B11+'E-InvAT'!B12+'E-InvAT'!B13</f>
        <v>340987.26126478234</v>
      </c>
      <c r="C10" s="297">
        <f>'E-InvAT'!C10+'E-InvAT'!C11+'E-InvAT'!C12+'E-InvAT'!C13</f>
        <v>1690708.584348496</v>
      </c>
      <c r="D10" s="297">
        <f>'E-InvAT'!D10+'E-InvAT'!D11+'E-InvAT'!D12+'E-InvAT'!D13</f>
        <v>1689487.5885728966</v>
      </c>
      <c r="E10" s="297">
        <f>'E-InvAT'!E10+'E-InvAT'!E11+'E-InvAT'!E12+'E-InvAT'!E13</f>
        <v>1689461.9996608598</v>
      </c>
      <c r="F10" s="297">
        <f>'E-InvAT'!F10+'E-InvAT'!F11+'E-InvAT'!F12+'E-InvAT'!F13</f>
        <v>1689461.9996608598</v>
      </c>
      <c r="G10" s="297">
        <f>'E-InvAT'!G10+'E-InvAT'!G11+'E-InvAT'!G12+'E-InvAT'!G13</f>
        <v>1689461.9996608598</v>
      </c>
      <c r="H10" s="488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267" t="s">
        <v>917</v>
      </c>
      <c r="B11" s="515">
        <f>'F-IVA'!B19</f>
        <v>0</v>
      </c>
      <c r="C11" s="515">
        <f>'F-IVA'!C19</f>
        <v>1356018.3032047795</v>
      </c>
      <c r="D11" s="515">
        <f>'F-IVA'!D19</f>
        <v>2230232.1189918965</v>
      </c>
      <c r="E11" s="515">
        <f>'F-IVA'!E19</f>
        <v>2371521.2415983574</v>
      </c>
      <c r="F11" s="515">
        <f>'F-IVA'!F19</f>
        <v>808310.34857288189</v>
      </c>
      <c r="G11" s="515">
        <f>'F-IVA'!G19</f>
        <v>0</v>
      </c>
      <c r="H11" s="488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4.25" customHeight="1">
      <c r="A12" s="267" t="s">
        <v>918</v>
      </c>
      <c r="B12" s="383">
        <f t="shared" ref="B12:G12" si="1">B17+B22+B23</f>
        <v>30333730.761784449</v>
      </c>
      <c r="C12" s="383">
        <f t="shared" si="1"/>
        <v>33187262.471960191</v>
      </c>
      <c r="D12" s="383">
        <f t="shared" si="1"/>
        <v>28770625.448614717</v>
      </c>
      <c r="E12" s="383">
        <f t="shared" si="1"/>
        <v>23888308.075135201</v>
      </c>
      <c r="F12" s="383">
        <f t="shared" si="1"/>
        <v>20569201.594681162</v>
      </c>
      <c r="G12" s="383">
        <f t="shared" si="1"/>
        <v>18058405.462800004</v>
      </c>
      <c r="H12" s="488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4.25" customHeight="1">
      <c r="A13" s="267" t="s">
        <v>919</v>
      </c>
      <c r="B13" s="383"/>
      <c r="C13" s="383"/>
      <c r="D13" s="383"/>
      <c r="E13" s="383"/>
      <c r="F13" s="383"/>
      <c r="G13" s="516"/>
      <c r="H13" s="488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25" customHeight="1">
      <c r="A14" s="269" t="s">
        <v>920</v>
      </c>
      <c r="B14" s="489">
        <f>'E-Inv AF y Am'!B32-'E-Inv AF y Am'!B27+'F-Cred'!G21+'F-Cred'!I21</f>
        <v>2571658.2989844522</v>
      </c>
      <c r="C14" s="489">
        <f t="shared" ref="C14:G14" si="2">B17</f>
        <v>2571658.2989844522</v>
      </c>
      <c r="D14" s="489">
        <f t="shared" si="2"/>
        <v>2280250.9275246346</v>
      </c>
      <c r="E14" s="489">
        <f t="shared" si="2"/>
        <v>1710188.195643476</v>
      </c>
      <c r="F14" s="489">
        <f t="shared" si="2"/>
        <v>1140125.4637623173</v>
      </c>
      <c r="G14" s="489">
        <f t="shared" si="2"/>
        <v>570062.73188115866</v>
      </c>
      <c r="H14" s="488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4.25" customHeight="1">
      <c r="A15" s="269" t="s">
        <v>921</v>
      </c>
      <c r="B15" s="517">
        <v>0</v>
      </c>
      <c r="C15" s="517">
        <f>'E-Inv AF y Am'!C27</f>
        <v>278655.36042134126</v>
      </c>
      <c r="D15" s="517">
        <v>0</v>
      </c>
      <c r="E15" s="517">
        <v>0</v>
      </c>
      <c r="F15" s="517">
        <v>0</v>
      </c>
      <c r="G15" s="517">
        <v>0</v>
      </c>
      <c r="H15" s="488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25" customHeight="1">
      <c r="A16" s="269" t="s">
        <v>922</v>
      </c>
      <c r="B16" s="489">
        <v>0</v>
      </c>
      <c r="C16" s="489">
        <f>'E-Inv AF y Am'!D54+('F-Cred'!G21+'F-Cred'!I21)/5</f>
        <v>570062.73188115866</v>
      </c>
      <c r="D16" s="489">
        <f>C16</f>
        <v>570062.73188115866</v>
      </c>
      <c r="E16" s="489">
        <f>C16</f>
        <v>570062.73188115866</v>
      </c>
      <c r="F16" s="489">
        <f>C16</f>
        <v>570062.73188115866</v>
      </c>
      <c r="G16" s="491">
        <f>C16</f>
        <v>570062.73188115866</v>
      </c>
      <c r="H16" s="488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269" t="s">
        <v>923</v>
      </c>
      <c r="B17" s="489">
        <f>B14</f>
        <v>2571658.2989844522</v>
      </c>
      <c r="C17" s="489">
        <f t="shared" ref="C17:G17" si="3">C14+C15-C16</f>
        <v>2280250.9275246346</v>
      </c>
      <c r="D17" s="489">
        <f t="shared" si="3"/>
        <v>1710188.195643476</v>
      </c>
      <c r="E17" s="489">
        <f t="shared" si="3"/>
        <v>1140125.4637623173</v>
      </c>
      <c r="F17" s="489">
        <f t="shared" si="3"/>
        <v>570062.73188115866</v>
      </c>
      <c r="G17" s="489">
        <f t="shared" si="3"/>
        <v>0</v>
      </c>
      <c r="H17" s="488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267" t="s">
        <v>575</v>
      </c>
      <c r="B18" s="514"/>
      <c r="C18" s="514"/>
      <c r="D18" s="514"/>
      <c r="E18" s="514"/>
      <c r="F18" s="514"/>
      <c r="G18" s="518"/>
      <c r="H18" s="488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4.25" customHeight="1">
      <c r="A19" s="269" t="s">
        <v>920</v>
      </c>
      <c r="B19" s="489">
        <f>'E-Inv AF y Am'!B52</f>
        <v>27762072.462799996</v>
      </c>
      <c r="C19" s="489">
        <f t="shared" ref="C19:G19" si="4">B22</f>
        <v>27762072.462799996</v>
      </c>
      <c r="D19" s="489">
        <f t="shared" si="4"/>
        <v>25821339.062799998</v>
      </c>
      <c r="E19" s="489">
        <f t="shared" si="4"/>
        <v>23880605.662799999</v>
      </c>
      <c r="F19" s="489">
        <f t="shared" si="4"/>
        <v>21939872.262800001</v>
      </c>
      <c r="G19" s="489">
        <f t="shared" si="4"/>
        <v>19999138.862800002</v>
      </c>
      <c r="H19" s="488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269" t="s">
        <v>924</v>
      </c>
      <c r="B20" s="489">
        <v>0</v>
      </c>
      <c r="C20" s="489">
        <v>0</v>
      </c>
      <c r="D20" s="489">
        <v>0</v>
      </c>
      <c r="E20" s="489">
        <v>0</v>
      </c>
      <c r="F20" s="489">
        <v>0</v>
      </c>
      <c r="G20" s="489">
        <v>0</v>
      </c>
      <c r="H20" s="488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269" t="s">
        <v>925</v>
      </c>
      <c r="B21" s="489">
        <v>0</v>
      </c>
      <c r="C21" s="489">
        <f>'E-Inv AF y Am'!D52</f>
        <v>1940733.4000000001</v>
      </c>
      <c r="D21" s="489">
        <f>C21</f>
        <v>1940733.4000000001</v>
      </c>
      <c r="E21" s="489">
        <f>C21</f>
        <v>1940733.4000000001</v>
      </c>
      <c r="F21" s="489">
        <f>C21</f>
        <v>1940733.4000000001</v>
      </c>
      <c r="G21" s="491">
        <f>C21</f>
        <v>1940733.4000000001</v>
      </c>
      <c r="H21" s="488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4.25" customHeight="1">
      <c r="A22" s="269" t="s">
        <v>923</v>
      </c>
      <c r="B22" s="517">
        <f t="shared" ref="B22:G22" si="5">B19+B20-B21</f>
        <v>27762072.462799996</v>
      </c>
      <c r="C22" s="517">
        <f t="shared" si="5"/>
        <v>25821339.062799998</v>
      </c>
      <c r="D22" s="517">
        <f t="shared" si="5"/>
        <v>23880605.662799999</v>
      </c>
      <c r="E22" s="517">
        <f t="shared" si="5"/>
        <v>21939872.262800001</v>
      </c>
      <c r="F22" s="517">
        <f t="shared" si="5"/>
        <v>19999138.862800002</v>
      </c>
      <c r="G22" s="519">
        <f t="shared" si="5"/>
        <v>18058405.462800004</v>
      </c>
      <c r="H22" s="488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4.25" customHeight="1">
      <c r="A23" s="267" t="s">
        <v>926</v>
      </c>
      <c r="B23" s="517">
        <f>'F-IVA'!B18-'F-IVA'!B17</f>
        <v>0</v>
      </c>
      <c r="C23" s="517">
        <f>'F-IVA'!C18-'F-IVA'!C17</f>
        <v>5085672.4816355584</v>
      </c>
      <c r="D23" s="517">
        <f>'F-IVA'!D18</f>
        <v>3179831.5901712393</v>
      </c>
      <c r="E23" s="517">
        <f>'F-IVA'!E18-'F-IVA'!E17</f>
        <v>808310.34857288189</v>
      </c>
      <c r="F23" s="517">
        <f>'F-IVA'!F18-'F-IVA'!F17</f>
        <v>0</v>
      </c>
      <c r="G23" s="517">
        <f>'F-IVA'!G18-'F-IVA'!G17</f>
        <v>0</v>
      </c>
      <c r="H23" s="488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4.25" customHeight="1">
      <c r="A24" s="267" t="s">
        <v>927</v>
      </c>
      <c r="B24" s="514">
        <f t="shared" ref="B24:G24" si="6">B12+B5</f>
        <v>31013838.023049232</v>
      </c>
      <c r="C24" s="514">
        <f t="shared" si="6"/>
        <v>37629618.551548719</v>
      </c>
      <c r="D24" s="514">
        <f t="shared" si="6"/>
        <v>33345372.986952353</v>
      </c>
      <c r="E24" s="514">
        <f t="shared" si="6"/>
        <v>30494937.464159466</v>
      </c>
      <c r="F24" s="514">
        <f t="shared" si="6"/>
        <v>28667881.241897535</v>
      </c>
      <c r="G24" s="514">
        <f t="shared" si="6"/>
        <v>26442540.059226077</v>
      </c>
      <c r="H24" s="488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4.25" customHeight="1">
      <c r="A25" s="267" t="s">
        <v>928</v>
      </c>
      <c r="B25" s="514">
        <f t="shared" ref="B25:G25" si="7">B26+B27</f>
        <v>3365044.3200000003</v>
      </c>
      <c r="C25" s="514">
        <f t="shared" si="7"/>
        <v>3365044.3200000003</v>
      </c>
      <c r="D25" s="514">
        <f t="shared" si="7"/>
        <v>3365044.3200000003</v>
      </c>
      <c r="E25" s="514">
        <f t="shared" si="7"/>
        <v>3365044.3200000003</v>
      </c>
      <c r="F25" s="514">
        <f t="shared" si="7"/>
        <v>3365044.3200000003</v>
      </c>
      <c r="G25" s="514">
        <f t="shared" si="7"/>
        <v>0</v>
      </c>
      <c r="H25" s="488"/>
      <c r="I25" s="231"/>
      <c r="J25" s="231"/>
      <c r="K25" s="231"/>
      <c r="L25" s="231" t="b">
        <f>SUM('F-Balance'!B35:G35)=SUM('F-Balance'!B24:G24)</f>
        <v>1</v>
      </c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4.25" customHeight="1">
      <c r="A26" s="267" t="s">
        <v>929</v>
      </c>
      <c r="B26" s="517">
        <v>0</v>
      </c>
      <c r="C26" s="517">
        <v>0</v>
      </c>
      <c r="D26" s="517">
        <v>0</v>
      </c>
      <c r="E26" s="517">
        <v>0</v>
      </c>
      <c r="F26" s="517">
        <v>0</v>
      </c>
      <c r="G26" s="517">
        <v>0</v>
      </c>
      <c r="H26" s="488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4.25" customHeight="1">
      <c r="A27" s="267" t="s">
        <v>930</v>
      </c>
      <c r="B27" s="489">
        <f>'F-Cred'!E24</f>
        <v>3365044.3200000003</v>
      </c>
      <c r="C27" s="489">
        <f>'F-Cred'!E24</f>
        <v>3365044.3200000003</v>
      </c>
      <c r="D27" s="489">
        <f>'F-Cred'!E28</f>
        <v>3365044.3200000003</v>
      </c>
      <c r="E27" s="489">
        <f>'F-Cred'!E30</f>
        <v>3365044.3200000003</v>
      </c>
      <c r="F27" s="489">
        <f>'F-Cred'!E32</f>
        <v>3365044.3200000003</v>
      </c>
      <c r="G27" s="491"/>
      <c r="H27" s="488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4.25" customHeight="1">
      <c r="A28" s="267" t="s">
        <v>931</v>
      </c>
      <c r="B28" s="297">
        <f t="shared" ref="B28:G28" si="8">B29</f>
        <v>13460177.280000001</v>
      </c>
      <c r="C28" s="297">
        <f t="shared" si="8"/>
        <v>10095132.960000001</v>
      </c>
      <c r="D28" s="297">
        <f t="shared" si="8"/>
        <v>6730088.6400000006</v>
      </c>
      <c r="E28" s="297">
        <f t="shared" si="8"/>
        <v>3365044.3200000003</v>
      </c>
      <c r="F28" s="297">
        <f t="shared" si="8"/>
        <v>0</v>
      </c>
      <c r="G28" s="297">
        <f t="shared" si="8"/>
        <v>0</v>
      </c>
      <c r="H28" s="488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4.25" customHeight="1">
      <c r="A29" s="267" t="s">
        <v>930</v>
      </c>
      <c r="B29" s="517">
        <f>'F-Cred'!E54-B27</f>
        <v>13460177.280000001</v>
      </c>
      <c r="C29" s="517">
        <f t="shared" ref="C29:G29" si="9">B29-C27</f>
        <v>10095132.960000001</v>
      </c>
      <c r="D29" s="517">
        <f t="shared" si="9"/>
        <v>6730088.6400000006</v>
      </c>
      <c r="E29" s="517">
        <f t="shared" si="9"/>
        <v>3365044.3200000003</v>
      </c>
      <c r="F29" s="517">
        <f t="shared" si="9"/>
        <v>0</v>
      </c>
      <c r="G29" s="517">
        <f t="shared" si="9"/>
        <v>0</v>
      </c>
      <c r="H29" s="488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4.25" customHeight="1">
      <c r="A30" s="267" t="s">
        <v>932</v>
      </c>
      <c r="B30" s="297">
        <f t="shared" ref="B30:G30" si="10">B25+B28</f>
        <v>16825221.600000001</v>
      </c>
      <c r="C30" s="297">
        <f t="shared" si="10"/>
        <v>13460177.280000001</v>
      </c>
      <c r="D30" s="297">
        <f t="shared" si="10"/>
        <v>10095132.960000001</v>
      </c>
      <c r="E30" s="297">
        <f t="shared" si="10"/>
        <v>6730088.6400000006</v>
      </c>
      <c r="F30" s="297">
        <f t="shared" si="10"/>
        <v>3365044.3200000003</v>
      </c>
      <c r="G30" s="297">
        <f t="shared" si="10"/>
        <v>0</v>
      </c>
      <c r="H30" s="488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4.25" customHeight="1">
      <c r="A31" s="267" t="s">
        <v>933</v>
      </c>
      <c r="B31" s="297">
        <f t="shared" ref="B31:G31" si="11">B24-B30</f>
        <v>14188616.42304923</v>
      </c>
      <c r="C31" s="297">
        <f t="shared" si="11"/>
        <v>24169441.271548718</v>
      </c>
      <c r="D31" s="297">
        <f t="shared" si="11"/>
        <v>23250240.026952352</v>
      </c>
      <c r="E31" s="297">
        <f t="shared" si="11"/>
        <v>23764848.824159466</v>
      </c>
      <c r="F31" s="297">
        <f t="shared" si="11"/>
        <v>25302836.921897534</v>
      </c>
      <c r="G31" s="297">
        <f t="shared" si="11"/>
        <v>26442540.059226077</v>
      </c>
      <c r="H31" s="488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4.25" customHeight="1">
      <c r="A32" s="267" t="s">
        <v>934</v>
      </c>
      <c r="B32" s="489">
        <f>'F- CFyU'!B7</f>
        <v>20630307.207889572</v>
      </c>
      <c r="C32" s="489">
        <f>'F-Cred'!F8</f>
        <v>19467240.851943828</v>
      </c>
      <c r="D32" s="489">
        <f t="shared" ref="D32:G32" si="12">C32</f>
        <v>19467240.851943828</v>
      </c>
      <c r="E32" s="489">
        <f t="shared" si="12"/>
        <v>19467240.851943828</v>
      </c>
      <c r="F32" s="489">
        <f t="shared" si="12"/>
        <v>19467240.851943828</v>
      </c>
      <c r="G32" s="489">
        <f t="shared" si="12"/>
        <v>19467240.851943828</v>
      </c>
      <c r="H32" s="488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4.25" customHeight="1">
      <c r="A33" s="267" t="s">
        <v>935</v>
      </c>
      <c r="B33" s="517">
        <v>0</v>
      </c>
      <c r="C33" s="517">
        <f>'F-CRes'!B14</f>
        <v>-1807291.4315671045</v>
      </c>
      <c r="D33" s="517">
        <f>'F-CRes'!C14</f>
        <v>757470.15660252911</v>
      </c>
      <c r="E33" s="517">
        <f>'F-CRes'!D14</f>
        <v>1201754.7322990694</v>
      </c>
      <c r="F33" s="517">
        <f>'F-CRes'!E14</f>
        <v>1644459.9630382697</v>
      </c>
      <c r="G33" s="519">
        <f>'F-CRes'!F14</f>
        <v>2087165.1937774695</v>
      </c>
      <c r="H33" s="231"/>
      <c r="I33" s="520">
        <f>SUM(C33:G33)</f>
        <v>3883558.6141502331</v>
      </c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25" customHeight="1">
      <c r="A34" s="267" t="s">
        <v>936</v>
      </c>
      <c r="B34" s="489">
        <v>0</v>
      </c>
      <c r="C34" s="489">
        <v>0</v>
      </c>
      <c r="D34" s="489">
        <f t="shared" ref="D34:G34" si="13">C33+C34</f>
        <v>-1807291.4315671045</v>
      </c>
      <c r="E34" s="489">
        <f t="shared" si="13"/>
        <v>-1049821.2749645754</v>
      </c>
      <c r="F34" s="489">
        <f t="shared" si="13"/>
        <v>151933.45733449399</v>
      </c>
      <c r="G34" s="491">
        <f t="shared" si="13"/>
        <v>1796393.4203727636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4.25" customHeight="1">
      <c r="A35" s="279" t="s">
        <v>937</v>
      </c>
      <c r="B35" s="275">
        <f t="shared" ref="B35:G35" si="14">B31+B30</f>
        <v>31013838.023049232</v>
      </c>
      <c r="C35" s="275">
        <f t="shared" si="14"/>
        <v>37629618.551548719</v>
      </c>
      <c r="D35" s="275">
        <f t="shared" si="14"/>
        <v>33345372.986952353</v>
      </c>
      <c r="E35" s="275">
        <f t="shared" si="14"/>
        <v>30494937.464159466</v>
      </c>
      <c r="F35" s="275">
        <f t="shared" si="14"/>
        <v>28667881.241897535</v>
      </c>
      <c r="G35" s="275">
        <f t="shared" si="14"/>
        <v>26442540.059226077</v>
      </c>
      <c r="H35" s="231"/>
      <c r="I35" s="223">
        <f>G34+G33</f>
        <v>3883558.6141502331</v>
      </c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4.25" customHeight="1">
      <c r="A38" s="521" t="s">
        <v>938</v>
      </c>
      <c r="B38" s="459" t="str">
        <f t="shared" ref="B38:G38" si="15">IF(B24=B35,"OK","MAL")</f>
        <v>OK</v>
      </c>
      <c r="C38" s="459" t="str">
        <f t="shared" si="15"/>
        <v>OK</v>
      </c>
      <c r="D38" s="459" t="str">
        <f t="shared" si="15"/>
        <v>OK</v>
      </c>
      <c r="E38" s="459" t="str">
        <f t="shared" si="15"/>
        <v>OK</v>
      </c>
      <c r="F38" s="459" t="str">
        <f t="shared" si="15"/>
        <v>OK</v>
      </c>
      <c r="G38" s="459" t="str">
        <f t="shared" si="15"/>
        <v>OK</v>
      </c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2.7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2.7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2.7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2.7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2.7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2.7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2.7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2.7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</sheetData>
  <conditionalFormatting sqref="B38">
    <cfRule type="cellIs" dxfId="31" priority="1" operator="equal">
      <formula>"OK"</formula>
    </cfRule>
  </conditionalFormatting>
  <conditionalFormatting sqref="B38">
    <cfRule type="cellIs" dxfId="30" priority="2" operator="equal">
      <formula>"MAL"</formula>
    </cfRule>
  </conditionalFormatting>
  <conditionalFormatting sqref="C38">
    <cfRule type="cellIs" dxfId="29" priority="3" operator="equal">
      <formula>"OK"</formula>
    </cfRule>
  </conditionalFormatting>
  <conditionalFormatting sqref="C38">
    <cfRule type="cellIs" dxfId="28" priority="4" operator="equal">
      <formula>"MAL"</formula>
    </cfRule>
  </conditionalFormatting>
  <conditionalFormatting sqref="D38">
    <cfRule type="cellIs" dxfId="27" priority="5" operator="equal">
      <formula>"OK"</formula>
    </cfRule>
  </conditionalFormatting>
  <conditionalFormatting sqref="D38">
    <cfRule type="cellIs" dxfId="26" priority="6" operator="equal">
      <formula>"MAL"</formula>
    </cfRule>
  </conditionalFormatting>
  <conditionalFormatting sqref="E38">
    <cfRule type="cellIs" dxfId="25" priority="7" operator="equal">
      <formula>"OK"</formula>
    </cfRule>
  </conditionalFormatting>
  <conditionalFormatting sqref="E38">
    <cfRule type="cellIs" dxfId="24" priority="8" operator="equal">
      <formula>"MAL"</formula>
    </cfRule>
  </conditionalFormatting>
  <conditionalFormatting sqref="F38">
    <cfRule type="cellIs" dxfId="23" priority="9" operator="equal">
      <formula>"OK"</formula>
    </cfRule>
  </conditionalFormatting>
  <conditionalFormatting sqref="F38">
    <cfRule type="cellIs" dxfId="22" priority="10" operator="equal">
      <formula>"MAL"</formula>
    </cfRule>
  </conditionalFormatting>
  <conditionalFormatting sqref="G38">
    <cfRule type="cellIs" dxfId="21" priority="11" operator="equal">
      <formula>"OK"</formula>
    </cfRule>
  </conditionalFormatting>
  <conditionalFormatting sqref="G38">
    <cfRule type="cellIs" dxfId="20" priority="12" operator="equal">
      <formula>"MAL"</formula>
    </cfRule>
  </conditionalFormatting>
  <pageMargins left="0.7" right="0.7" top="0.75" bottom="0.75" header="0" footer="0"/>
  <pageSetup paperSize="9" orientation="landscape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FF00"/>
    <pageSetUpPr fitToPage="1"/>
  </sheetPr>
  <dimension ref="A1:Z232"/>
  <sheetViews>
    <sheetView workbookViewId="0"/>
  </sheetViews>
  <sheetFormatPr defaultColWidth="14.44140625" defaultRowHeight="15" customHeight="1"/>
  <cols>
    <col min="1" max="1" width="40.88671875" customWidth="1"/>
    <col min="2" max="3" width="15.33203125" customWidth="1"/>
    <col min="4" max="4" width="37.109375" customWidth="1"/>
    <col min="5" max="6" width="15.33203125" customWidth="1"/>
    <col min="7" max="7" width="16.44140625" customWidth="1"/>
    <col min="8" max="8" width="16.5546875" customWidth="1"/>
    <col min="9" max="9" width="17.33203125" customWidth="1"/>
    <col min="10" max="10" width="15.33203125" customWidth="1"/>
    <col min="11" max="11" width="20.109375" customWidth="1"/>
    <col min="12" max="14" width="11.33203125" customWidth="1"/>
    <col min="15" max="26" width="9" customWidth="1"/>
  </cols>
  <sheetData>
    <row r="1" spans="1:26" ht="14.25" customHeight="1">
      <c r="A1" s="244" t="s">
        <v>483</v>
      </c>
      <c r="E1" s="245">
        <f>InfoInicial!E1</f>
        <v>10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3.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6.5" customHeight="1">
      <c r="A3" s="380" t="s">
        <v>939</v>
      </c>
      <c r="B3" s="381"/>
      <c r="C3" s="381"/>
      <c r="D3" s="381"/>
      <c r="E3" s="381"/>
      <c r="F3" s="381"/>
      <c r="G3" s="522"/>
      <c r="H3" s="382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2.75" customHeight="1">
      <c r="A4" s="345"/>
      <c r="B4" s="310" t="s">
        <v>537</v>
      </c>
      <c r="C4" s="310" t="s">
        <v>39</v>
      </c>
      <c r="D4" s="310" t="s">
        <v>425</v>
      </c>
      <c r="E4" s="310" t="s">
        <v>426</v>
      </c>
      <c r="F4" s="310" t="s">
        <v>427</v>
      </c>
      <c r="G4" s="309" t="s">
        <v>428</v>
      </c>
      <c r="H4" s="340" t="s">
        <v>277</v>
      </c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523" t="s">
        <v>940</v>
      </c>
      <c r="B5" s="383">
        <f t="shared" ref="B5:H5" si="0">SUM(B6:B11)</f>
        <v>37455528.807889573</v>
      </c>
      <c r="C5" s="383">
        <f t="shared" si="0"/>
        <v>22710907.692570217</v>
      </c>
      <c r="D5" s="383">
        <f t="shared" si="0"/>
        <v>23425232.118991897</v>
      </c>
      <c r="E5" s="383">
        <f t="shared" si="0"/>
        <v>25687970.556180637</v>
      </c>
      <c r="F5" s="383">
        <f t="shared" si="0"/>
        <v>27180317.469845787</v>
      </c>
      <c r="G5" s="383">
        <f t="shared" si="0"/>
        <v>27465772.596765213</v>
      </c>
      <c r="H5" s="384">
        <f t="shared" si="0"/>
        <v>163925729.24224332</v>
      </c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524" t="s">
        <v>941</v>
      </c>
      <c r="B6" s="297" t="s">
        <v>235</v>
      </c>
      <c r="C6" s="297">
        <v>0</v>
      </c>
      <c r="D6" s="297">
        <f t="shared" ref="D6:G6" si="1">C27</f>
        <v>0</v>
      </c>
      <c r="E6" s="297">
        <f t="shared" si="1"/>
        <v>2121449.3145822808</v>
      </c>
      <c r="F6" s="297">
        <f t="shared" si="1"/>
        <v>5177007.1212729067</v>
      </c>
      <c r="G6" s="297">
        <f t="shared" si="1"/>
        <v>6270772.5967652146</v>
      </c>
      <c r="H6" s="346">
        <f t="shared" ref="H6:H11" si="2">SUM(B6:G6)</f>
        <v>13569229.032620402</v>
      </c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524" t="s">
        <v>942</v>
      </c>
      <c r="B7" s="514">
        <f>'F-2 Estructura'!B31</f>
        <v>20630307.207889572</v>
      </c>
      <c r="C7" s="514">
        <f>'F-2 Estructura'!C31-C30</f>
        <v>3071176.8003304303</v>
      </c>
      <c r="D7" s="514">
        <v>0</v>
      </c>
      <c r="E7" s="514">
        <v>0</v>
      </c>
      <c r="F7" s="514">
        <v>0</v>
      </c>
      <c r="G7" s="514">
        <v>0</v>
      </c>
      <c r="H7" s="346">
        <f t="shared" si="2"/>
        <v>23701484.008220002</v>
      </c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524" t="s">
        <v>943</v>
      </c>
      <c r="B8" s="297">
        <f>'F-2 Estructura'!B29</f>
        <v>0</v>
      </c>
      <c r="C8" s="297">
        <f>'F-2 Estructura'!C29</f>
        <v>1327712.5890350069</v>
      </c>
      <c r="D8" s="297">
        <v>0</v>
      </c>
      <c r="E8" s="297">
        <v>0</v>
      </c>
      <c r="F8" s="297">
        <v>0</v>
      </c>
      <c r="G8" s="297">
        <v>0</v>
      </c>
      <c r="H8" s="346">
        <f t="shared" si="2"/>
        <v>1327712.5890350069</v>
      </c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524" t="s">
        <v>944</v>
      </c>
      <c r="B9" s="514">
        <f>'F-2 Estructura'!B30</f>
        <v>16825221.600000001</v>
      </c>
      <c r="C9" s="514">
        <f>'F-2 Estructura'!C30</f>
        <v>0</v>
      </c>
      <c r="D9" s="514">
        <v>0</v>
      </c>
      <c r="E9" s="514">
        <v>0</v>
      </c>
      <c r="F9" s="514">
        <v>0</v>
      </c>
      <c r="G9" s="514">
        <v>0</v>
      </c>
      <c r="H9" s="346">
        <f t="shared" si="2"/>
        <v>16825221.600000001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524" t="s">
        <v>945</v>
      </c>
      <c r="B10" s="297">
        <v>0</v>
      </c>
      <c r="C10" s="297">
        <f>'F-CRes'!B4</f>
        <v>16956000</v>
      </c>
      <c r="D10" s="297">
        <f>'F-CRes'!C4</f>
        <v>21195000</v>
      </c>
      <c r="E10" s="297">
        <f>'F-CRes'!D4</f>
        <v>21195000</v>
      </c>
      <c r="F10" s="297">
        <f>'F-CRes'!E4</f>
        <v>21195000</v>
      </c>
      <c r="G10" s="297">
        <f>'F-CRes'!F4</f>
        <v>21195000</v>
      </c>
      <c r="H10" s="346">
        <f t="shared" si="2"/>
        <v>101736000</v>
      </c>
      <c r="I10" s="223">
        <f>H10-'F-CRes'!G4</f>
        <v>0</v>
      </c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524" t="s">
        <v>946</v>
      </c>
      <c r="B11" s="383">
        <f>'F-IVA'!B19</f>
        <v>0</v>
      </c>
      <c r="C11" s="383">
        <f>'F-IVA'!C19</f>
        <v>1356018.3032047795</v>
      </c>
      <c r="D11" s="383">
        <f>'F-IVA'!D19</f>
        <v>2230232.1189918965</v>
      </c>
      <c r="E11" s="383">
        <f>'F-IVA'!E19</f>
        <v>2371521.2415983574</v>
      </c>
      <c r="F11" s="383">
        <f>'F-IVA'!F19</f>
        <v>808310.34857288189</v>
      </c>
      <c r="G11" s="383">
        <f>'F-IVA'!G19</f>
        <v>0</v>
      </c>
      <c r="H11" s="346">
        <f t="shared" si="2"/>
        <v>6766082.0123679154</v>
      </c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4.25" customHeight="1">
      <c r="A12" s="524"/>
      <c r="B12" s="297"/>
      <c r="C12" s="297"/>
      <c r="D12" s="297"/>
      <c r="E12" s="297"/>
      <c r="F12" s="297"/>
      <c r="G12" s="424"/>
      <c r="H12" s="346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4.25" customHeight="1">
      <c r="A13" s="523" t="s">
        <v>947</v>
      </c>
      <c r="B13" s="297">
        <f t="shared" ref="B13:H13" si="3">SUM(B14:B22)</f>
        <v>37455528.807889566</v>
      </c>
      <c r="C13" s="297">
        <f t="shared" si="3"/>
        <v>25558208.256451376</v>
      </c>
      <c r="D13" s="297">
        <f t="shared" si="3"/>
        <v>24151083.368290775</v>
      </c>
      <c r="E13" s="297">
        <f t="shared" si="3"/>
        <v>23358263.998788889</v>
      </c>
      <c r="F13" s="297">
        <f t="shared" si="3"/>
        <v>22915584.356961731</v>
      </c>
      <c r="G13" s="297">
        <f t="shared" si="3"/>
        <v>22472879.126222532</v>
      </c>
      <c r="H13" s="346">
        <f t="shared" si="3"/>
        <v>155911547.91460484</v>
      </c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4.25" customHeight="1">
      <c r="A14" s="524" t="s">
        <v>948</v>
      </c>
      <c r="B14" s="514">
        <f>'E-Cal Inv.'!B8+'E-Cal Inv.'!C8+'F-Cred'!G21+'F-Cred'!I21</f>
        <v>30333730.761784449</v>
      </c>
      <c r="C14" s="514">
        <f>'E-Cal Inv.'!D8</f>
        <v>278655.36042134126</v>
      </c>
      <c r="D14" s="514">
        <v>0</v>
      </c>
      <c r="E14" s="514">
        <v>0</v>
      </c>
      <c r="F14" s="514">
        <v>0</v>
      </c>
      <c r="G14" s="514">
        <v>0</v>
      </c>
      <c r="H14" s="525">
        <f t="shared" ref="H14:H22" si="4">SUM(B14:G14)</f>
        <v>30612386.12220579</v>
      </c>
      <c r="I14" s="520">
        <f>H14-H25</f>
        <v>18058405.462799996</v>
      </c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4.25" customHeight="1">
      <c r="A15" s="524" t="s">
        <v>593</v>
      </c>
      <c r="B15" s="297">
        <f>'E-InvAT'!B24</f>
        <v>680107.2612647824</v>
      </c>
      <c r="C15" s="297">
        <f>'E-InvAT'!C24</f>
        <v>2828145.1587001523</v>
      </c>
      <c r="D15" s="297">
        <f>'E-InvAT'!D24</f>
        <v>347189.96312850947</v>
      </c>
      <c r="E15" s="297">
        <f>'E-InvAT'!E24</f>
        <v>-25.588912036735564</v>
      </c>
      <c r="F15" s="297">
        <f>'E-InvAT'!F24</f>
        <v>0</v>
      </c>
      <c r="G15" s="297">
        <f>'E-InvAT'!G24</f>
        <v>0</v>
      </c>
      <c r="H15" s="525">
        <f t="shared" si="4"/>
        <v>3855416.7941814074</v>
      </c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25" customHeight="1">
      <c r="A16" s="524" t="s">
        <v>949</v>
      </c>
      <c r="B16" s="526">
        <v>0</v>
      </c>
      <c r="C16" s="526">
        <f>'F-CRes'!B5+'F-CRes'!B8+'F-CRes'!B9+'F-CRes'!B10</f>
        <v>18763291.431567103</v>
      </c>
      <c r="D16" s="526">
        <f>'F-CRes'!C5+'F-CRes'!C8+'F-CRes'!C9+'F-CRes'!C10</f>
        <v>19928327.497320183</v>
      </c>
      <c r="E16" s="526">
        <f>'F-CRes'!D5+'F-CRes'!D8+'F-CRes'!D9+'F-CRes'!D10</f>
        <v>19185376.701841019</v>
      </c>
      <c r="F16" s="526">
        <f>'F-CRes'!E5+'F-CRes'!E8+'F-CRes'!E9+'F-CRes'!E10</f>
        <v>18445066.95144102</v>
      </c>
      <c r="G16" s="526">
        <f>'F-CRes'!F5+'F-CRes'!F8+'F-CRes'!F9+'F-CRes'!F10</f>
        <v>17704757.20104102</v>
      </c>
      <c r="H16" s="527">
        <f t="shared" si="4"/>
        <v>94026819.783210337</v>
      </c>
      <c r="I16" s="528">
        <f>H16-'F-CRes'!G5-'F-CRes'!G8-'F-CRes'!G9-'F-CRes'!G10</f>
        <v>0</v>
      </c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524" t="s">
        <v>950</v>
      </c>
      <c r="B17" s="297">
        <v>0</v>
      </c>
      <c r="C17" s="297">
        <f>'F-CRes'!B13</f>
        <v>0</v>
      </c>
      <c r="D17" s="297">
        <f>'F-CRes'!C13</f>
        <v>407868.54586290027</v>
      </c>
      <c r="E17" s="297">
        <f>'F-CRes'!D13</f>
        <v>647098.70200719114</v>
      </c>
      <c r="F17" s="297">
        <f>'F-CRes'!E13</f>
        <v>885478.44163599121</v>
      </c>
      <c r="G17" s="297">
        <f>'F-CRes'!F13</f>
        <v>1123858.1812647912</v>
      </c>
      <c r="H17" s="525">
        <f t="shared" si="4"/>
        <v>3064303.8707708735</v>
      </c>
      <c r="I17" s="520">
        <f>H17-'F-CRes'!G13</f>
        <v>0</v>
      </c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524" t="s">
        <v>951</v>
      </c>
      <c r="B18" s="517"/>
      <c r="C18" s="517">
        <f>'F-Cred'!$E24</f>
        <v>3365044.3200000003</v>
      </c>
      <c r="D18" s="517">
        <f>'F-Cred'!$E28</f>
        <v>3365044.3200000003</v>
      </c>
      <c r="E18" s="517">
        <f>'F-Cred'!$E26</f>
        <v>3365044.3200000003</v>
      </c>
      <c r="F18" s="517">
        <f>'F-Cred'!$E30</f>
        <v>3365044.3200000003</v>
      </c>
      <c r="G18" s="517">
        <f>'F-Cred'!$E32</f>
        <v>3365044.3200000003</v>
      </c>
      <c r="H18" s="525">
        <f t="shared" si="4"/>
        <v>16825221.600000001</v>
      </c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4.25" customHeight="1">
      <c r="A19" s="524" t="s">
        <v>952</v>
      </c>
      <c r="B19" s="297">
        <v>0</v>
      </c>
      <c r="C19" s="297">
        <f>'F-CRes'!B12</f>
        <v>0</v>
      </c>
      <c r="D19" s="297">
        <f>'F-CRes'!C12</f>
        <v>101333.80021438516</v>
      </c>
      <c r="E19" s="297">
        <f>'F-CRes'!D12</f>
        <v>160769.86385271832</v>
      </c>
      <c r="F19" s="297">
        <f>'F-CRes'!E12</f>
        <v>219994.64388471836</v>
      </c>
      <c r="G19" s="297">
        <f>'F-CRes'!F12</f>
        <v>279219.42391671834</v>
      </c>
      <c r="H19" s="525">
        <f t="shared" si="4"/>
        <v>761317.73186854017</v>
      </c>
      <c r="I19" s="520">
        <f>H19-'F-CRes'!G12</f>
        <v>0</v>
      </c>
      <c r="J19" s="223">
        <f>H7-H8+H14+H15</f>
        <v>56841574.335572191</v>
      </c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524" t="s">
        <v>953</v>
      </c>
      <c r="B20" s="514">
        <v>0</v>
      </c>
      <c r="C20" s="514">
        <v>0</v>
      </c>
      <c r="D20" s="514">
        <v>0</v>
      </c>
      <c r="E20" s="514">
        <v>0</v>
      </c>
      <c r="F20" s="514">
        <v>0</v>
      </c>
      <c r="G20" s="514">
        <v>0</v>
      </c>
      <c r="H20" s="525">
        <f t="shared" si="4"/>
        <v>0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524" t="s">
        <v>954</v>
      </c>
      <c r="B21" s="297">
        <f>'F-2 Estructura'!B9+'F-2 Estructura'!B21</f>
        <v>6441690.7848403379</v>
      </c>
      <c r="C21" s="297">
        <f>'F-2 Estructura'!C9+'F-2 Estructura'!C21</f>
        <v>323071.98576278012</v>
      </c>
      <c r="D21" s="297">
        <f>'F-IVA'!D17</f>
        <v>1319.2417647967031</v>
      </c>
      <c r="E21" s="297">
        <f>'F-IVA'!E17</f>
        <v>0</v>
      </c>
      <c r="F21" s="297">
        <f>'F-IVA'!F17</f>
        <v>0</v>
      </c>
      <c r="G21" s="297">
        <f>'F-IVA'!G17</f>
        <v>0</v>
      </c>
      <c r="H21" s="525">
        <f t="shared" si="4"/>
        <v>6766082.0123679154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4.25" customHeight="1">
      <c r="A22" s="524" t="s">
        <v>955</v>
      </c>
      <c r="B22" s="383"/>
      <c r="C22" s="383"/>
      <c r="D22" s="383"/>
      <c r="E22" s="383"/>
      <c r="F22" s="383"/>
      <c r="G22" s="529"/>
      <c r="H22" s="525">
        <f t="shared" si="4"/>
        <v>0</v>
      </c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4.25" customHeight="1">
      <c r="A23" s="524"/>
      <c r="B23" s="297"/>
      <c r="C23" s="297"/>
      <c r="D23" s="297"/>
      <c r="E23" s="297"/>
      <c r="F23" s="297"/>
      <c r="G23" s="424"/>
      <c r="H23" s="346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4.25" customHeight="1">
      <c r="A24" s="523" t="s">
        <v>956</v>
      </c>
      <c r="B24" s="297">
        <f t="shared" ref="B24:H24" si="5">B5-B13</f>
        <v>0</v>
      </c>
      <c r="C24" s="297">
        <f t="shared" si="5"/>
        <v>-2847300.5638811588</v>
      </c>
      <c r="D24" s="297">
        <f t="shared" si="5"/>
        <v>-725851.24929887801</v>
      </c>
      <c r="E24" s="297">
        <f t="shared" si="5"/>
        <v>2329706.5573917478</v>
      </c>
      <c r="F24" s="297">
        <f t="shared" si="5"/>
        <v>4264733.1128840558</v>
      </c>
      <c r="G24" s="297">
        <f t="shared" si="5"/>
        <v>4992893.4705426805</v>
      </c>
      <c r="H24" s="346">
        <f t="shared" si="5"/>
        <v>8014181.3276384771</v>
      </c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4.25" customHeight="1">
      <c r="A25" s="523" t="s">
        <v>957</v>
      </c>
      <c r="B25" s="489">
        <v>0</v>
      </c>
      <c r="C25" s="489">
        <f>'E-Inv AF y Am'!D57+('F-Cred'!G21+'F-Cred'!I21)/3</f>
        <v>2847300.5638811588</v>
      </c>
      <c r="D25" s="489">
        <f t="shared" ref="D25:E25" si="6">C25</f>
        <v>2847300.5638811588</v>
      </c>
      <c r="E25" s="489">
        <f t="shared" si="6"/>
        <v>2847300.5638811588</v>
      </c>
      <c r="F25" s="489">
        <f>'E-Inv AF y Am'!E57</f>
        <v>2006039.4838811588</v>
      </c>
      <c r="G25" s="496">
        <f>F25</f>
        <v>2006039.4838811588</v>
      </c>
      <c r="H25" s="530">
        <f>SUM(B25:G25)</f>
        <v>12553980.659405794</v>
      </c>
      <c r="I25" s="5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4.25" customHeight="1">
      <c r="A26" s="523"/>
      <c r="B26" s="297"/>
      <c r="C26" s="297"/>
      <c r="D26" s="297"/>
      <c r="E26" s="297"/>
      <c r="F26" s="297"/>
      <c r="G26" s="424"/>
      <c r="H26" s="346"/>
      <c r="I26" s="231"/>
      <c r="J26" s="532">
        <f>'F- CFyU'!H10-'F- CFyU'!H16-'F- CFyU'!H19-'F- CFyU'!H17</f>
        <v>3883558.6141502494</v>
      </c>
      <c r="K26" s="532">
        <f>H10-H16-H17-H19</f>
        <v>3883558.6141502494</v>
      </c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4.25" customHeight="1">
      <c r="A27" s="523" t="s">
        <v>958</v>
      </c>
      <c r="B27" s="296">
        <v>0</v>
      </c>
      <c r="C27" s="296">
        <f t="shared" ref="C27:G27" si="7">C24+C25</f>
        <v>0</v>
      </c>
      <c r="D27" s="296">
        <f t="shared" si="7"/>
        <v>2121449.3145822808</v>
      </c>
      <c r="E27" s="296">
        <f t="shared" si="7"/>
        <v>5177007.1212729067</v>
      </c>
      <c r="F27" s="296">
        <f t="shared" si="7"/>
        <v>6270772.5967652146</v>
      </c>
      <c r="G27" s="296">
        <f t="shared" si="7"/>
        <v>6998932.9544238392</v>
      </c>
      <c r="H27" s="392">
        <f>G27</f>
        <v>6998932.9544238392</v>
      </c>
      <c r="I27" s="231"/>
      <c r="J27" s="231"/>
      <c r="K27" s="533">
        <f>K26-J26</f>
        <v>0</v>
      </c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4.25" customHeight="1">
      <c r="A28" s="348" t="s">
        <v>959</v>
      </c>
      <c r="B28" s="534">
        <f>B27</f>
        <v>0</v>
      </c>
      <c r="C28" s="534">
        <f t="shared" ref="C28:G28" si="8">C27-C6</f>
        <v>0</v>
      </c>
      <c r="D28" s="534">
        <f t="shared" si="8"/>
        <v>2121449.3145822808</v>
      </c>
      <c r="E28" s="534">
        <f t="shared" si="8"/>
        <v>3055557.8066906258</v>
      </c>
      <c r="F28" s="534">
        <f t="shared" si="8"/>
        <v>1093765.4754923079</v>
      </c>
      <c r="G28" s="534">
        <f t="shared" si="8"/>
        <v>728160.35765862465</v>
      </c>
      <c r="H28" s="415">
        <f>SUM(B28:G28)</f>
        <v>6998932.9544238392</v>
      </c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231"/>
      <c r="B30" s="231"/>
      <c r="C30" s="231">
        <v>-1078568.0267762132</v>
      </c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231"/>
      <c r="B32" s="231"/>
      <c r="C32" s="231"/>
      <c r="D32" s="535">
        <f>'F- CFyU'!H28-'F- CFyU'!H7-'F- CFyU'!H8+'F- CFyU'!H14-'F- CFyU'!H25+'F- CFyU'!H15</f>
        <v>3883558.6141502345</v>
      </c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231"/>
      <c r="B33" s="231"/>
      <c r="C33" s="536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2.75" customHeight="1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5.75" customHeight="1"/>
    <row r="230" spans="1:26" ht="15.75" customHeight="1"/>
    <row r="231" spans="1:26" ht="15.75" customHeight="1"/>
    <row r="232" spans="1:26" ht="15.75" customHeight="1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V257"/>
  <sheetViews>
    <sheetView showGridLines="0" workbookViewId="0"/>
  </sheetViews>
  <sheetFormatPr defaultColWidth="14.44140625" defaultRowHeight="15" customHeight="1"/>
  <cols>
    <col min="1" max="1" width="33.5546875" customWidth="1"/>
    <col min="2" max="2" width="14" customWidth="1"/>
    <col min="3" max="3" width="43.44140625" customWidth="1"/>
    <col min="4" max="5" width="19" customWidth="1"/>
    <col min="6" max="7" width="17.5546875" customWidth="1"/>
    <col min="8" max="9" width="21" customWidth="1"/>
    <col min="10" max="10" width="24.33203125" customWidth="1"/>
    <col min="11" max="11" width="26.44140625" customWidth="1"/>
    <col min="12" max="12" width="11.44140625" customWidth="1"/>
    <col min="13" max="13" width="40.5546875" customWidth="1"/>
    <col min="14" max="14" width="16.109375" customWidth="1"/>
    <col min="15" max="15" width="9.33203125" customWidth="1"/>
    <col min="16" max="16" width="12" customWidth="1"/>
    <col min="17" max="22" width="11.44140625" customWidth="1"/>
  </cols>
  <sheetData>
    <row r="1" spans="1:19" ht="21">
      <c r="B1" s="568" t="s">
        <v>47</v>
      </c>
      <c r="C1" s="569"/>
      <c r="D1" s="569"/>
      <c r="E1" s="569"/>
      <c r="F1" s="569"/>
    </row>
    <row r="3" spans="1:19" ht="13.2">
      <c r="R3">
        <v>101.16500000000005</v>
      </c>
    </row>
    <row r="4" spans="1:19" ht="14.4">
      <c r="M4" s="570" t="s">
        <v>48</v>
      </c>
      <c r="N4" s="558"/>
      <c r="O4" s="559"/>
    </row>
    <row r="5" spans="1:19" ht="14.4">
      <c r="A5" s="31"/>
      <c r="B5" s="32"/>
      <c r="C5" s="32"/>
      <c r="D5" s="32"/>
      <c r="E5" s="32"/>
      <c r="F5" s="32"/>
      <c r="G5" s="32"/>
      <c r="H5" s="32"/>
      <c r="I5" s="32"/>
      <c r="M5" s="33" t="s">
        <v>49</v>
      </c>
      <c r="N5" s="13">
        <v>11</v>
      </c>
      <c r="O5" s="28" t="s">
        <v>50</v>
      </c>
      <c r="P5" s="34">
        <v>0.14142453072769348</v>
      </c>
    </row>
    <row r="6" spans="1:19" ht="14.4">
      <c r="A6" s="31"/>
      <c r="B6" s="32"/>
      <c r="C6" s="32"/>
      <c r="D6" s="32"/>
      <c r="E6" s="32"/>
      <c r="F6" s="32"/>
      <c r="G6" s="32"/>
      <c r="H6" s="32"/>
      <c r="I6" s="32"/>
      <c r="M6" s="33" t="s">
        <v>51</v>
      </c>
      <c r="N6" s="13">
        <v>1.5</v>
      </c>
      <c r="O6" s="28" t="s">
        <v>50</v>
      </c>
      <c r="P6" s="34">
        <v>1.9285163281049112E-2</v>
      </c>
    </row>
    <row r="7" spans="1:19" ht="14.4">
      <c r="A7" s="31"/>
      <c r="B7" s="32"/>
      <c r="C7" s="32"/>
      <c r="D7" s="32"/>
      <c r="E7" s="32"/>
      <c r="F7" s="32"/>
      <c r="G7" s="32"/>
      <c r="H7" s="32"/>
      <c r="I7" s="32"/>
      <c r="M7" s="33" t="s">
        <v>52</v>
      </c>
      <c r="N7" s="13">
        <v>60</v>
      </c>
      <c r="O7" s="28" t="s">
        <v>50</v>
      </c>
      <c r="P7" s="34">
        <v>0.77140653124196445</v>
      </c>
    </row>
    <row r="8" spans="1:19" ht="14.4">
      <c r="A8" s="31"/>
      <c r="B8" s="32"/>
      <c r="C8" s="32"/>
      <c r="D8" s="32"/>
      <c r="E8" s="32"/>
      <c r="F8" s="32"/>
      <c r="G8" s="32"/>
      <c r="H8" s="32"/>
      <c r="I8" s="32"/>
      <c r="M8" s="33" t="s">
        <v>53</v>
      </c>
      <c r="N8" s="13">
        <v>5.28</v>
      </c>
      <c r="O8" s="28" t="s">
        <v>50</v>
      </c>
      <c r="P8" s="34">
        <v>6.7883774749292886E-2</v>
      </c>
    </row>
    <row r="9" spans="1:19" ht="14.4">
      <c r="A9" s="577"/>
      <c r="B9" s="580" t="s">
        <v>54</v>
      </c>
      <c r="C9" s="581"/>
      <c r="D9" s="581"/>
      <c r="E9" s="581"/>
      <c r="F9" s="581"/>
      <c r="G9" s="581"/>
      <c r="H9" s="581"/>
      <c r="I9" s="582"/>
      <c r="K9">
        <v>1155.0329999999999</v>
      </c>
      <c r="M9" s="35" t="s">
        <v>55</v>
      </c>
      <c r="N9" s="36">
        <v>77.78</v>
      </c>
      <c r="O9" s="37" t="s">
        <v>50</v>
      </c>
    </row>
    <row r="10" spans="1:19" ht="14.4">
      <c r="A10" s="578"/>
      <c r="B10" s="583"/>
      <c r="C10" s="569"/>
      <c r="D10" s="569"/>
      <c r="E10" s="569"/>
      <c r="F10" s="569"/>
      <c r="G10" s="569"/>
      <c r="H10" s="569"/>
      <c r="I10" s="584"/>
      <c r="M10" s="33" t="s">
        <v>56</v>
      </c>
      <c r="N10" s="13">
        <v>4.4400000000000004</v>
      </c>
      <c r="O10" s="28" t="s">
        <v>13</v>
      </c>
    </row>
    <row r="11" spans="1:19" ht="14.4">
      <c r="A11" s="579"/>
      <c r="B11" s="583"/>
      <c r="C11" s="569"/>
      <c r="D11" s="569"/>
      <c r="E11" s="569"/>
      <c r="F11" s="569"/>
      <c r="G11" s="569"/>
      <c r="H11" s="569"/>
      <c r="I11" s="584"/>
      <c r="M11" s="33" t="s">
        <v>57</v>
      </c>
      <c r="N11" s="28">
        <v>4</v>
      </c>
      <c r="O11" s="28" t="s">
        <v>58</v>
      </c>
      <c r="P11" s="27">
        <v>0.4</v>
      </c>
      <c r="Q11" s="27" t="s">
        <v>59</v>
      </c>
    </row>
    <row r="12" spans="1:19" ht="14.4">
      <c r="A12" s="38"/>
      <c r="B12" s="583"/>
      <c r="C12" s="569"/>
      <c r="D12" s="569"/>
      <c r="E12" s="569"/>
      <c r="F12" s="569"/>
      <c r="G12" s="569"/>
      <c r="H12" s="569"/>
      <c r="I12" s="584"/>
      <c r="M12" s="33" t="s">
        <v>60</v>
      </c>
      <c r="N12" s="28">
        <v>1.32</v>
      </c>
      <c r="O12" s="28" t="s">
        <v>61</v>
      </c>
      <c r="P12" s="27"/>
      <c r="Q12" s="27"/>
      <c r="R12" s="571" t="s">
        <v>62</v>
      </c>
      <c r="S12" s="572"/>
    </row>
    <row r="13" spans="1:19" ht="14.4">
      <c r="A13" s="38"/>
      <c r="B13" s="583"/>
      <c r="C13" s="569"/>
      <c r="D13" s="569"/>
      <c r="E13" s="569"/>
      <c r="F13" s="569"/>
      <c r="G13" s="569"/>
      <c r="H13" s="569"/>
      <c r="I13" s="584"/>
      <c r="M13" s="33" t="s">
        <v>63</v>
      </c>
      <c r="N13" s="28">
        <v>4</v>
      </c>
      <c r="O13" s="28" t="s">
        <v>64</v>
      </c>
      <c r="P13" s="27"/>
      <c r="Q13" s="27"/>
      <c r="R13" s="39">
        <v>154.94999999999999</v>
      </c>
      <c r="S13" s="39"/>
    </row>
    <row r="14" spans="1:19" ht="14.4">
      <c r="A14" s="40"/>
      <c r="B14" s="585"/>
      <c r="C14" s="586"/>
      <c r="D14" s="586"/>
      <c r="E14" s="586"/>
      <c r="F14" s="586"/>
      <c r="G14" s="586"/>
      <c r="H14" s="586"/>
      <c r="I14" s="587"/>
      <c r="M14" s="33" t="s">
        <v>65</v>
      </c>
      <c r="N14" s="28">
        <v>10</v>
      </c>
      <c r="O14" s="28" t="s">
        <v>66</v>
      </c>
      <c r="P14" s="27"/>
      <c r="Q14" s="27"/>
      <c r="R14" s="39"/>
      <c r="S14" s="39"/>
    </row>
    <row r="15" spans="1:19" ht="14.4">
      <c r="C15" s="27">
        <v>29700</v>
      </c>
      <c r="D15" s="27"/>
      <c r="E15" s="27"/>
      <c r="H15" s="41"/>
      <c r="M15" s="33" t="s">
        <v>67</v>
      </c>
      <c r="N15" s="28">
        <v>5.28</v>
      </c>
      <c r="O15" s="28" t="s">
        <v>50</v>
      </c>
      <c r="P15" s="27"/>
      <c r="Q15" s="27"/>
      <c r="R15" s="39"/>
      <c r="S15" s="39"/>
    </row>
    <row r="16" spans="1:19" ht="14.4">
      <c r="M16" s="33" t="s">
        <v>68</v>
      </c>
      <c r="N16" s="28">
        <v>14850</v>
      </c>
      <c r="O16" s="28" t="s">
        <v>69</v>
      </c>
      <c r="P16" s="27"/>
      <c r="Q16" s="27"/>
      <c r="R16" s="39">
        <v>80487000</v>
      </c>
      <c r="S16" s="39" t="s">
        <v>70</v>
      </c>
    </row>
    <row r="17" spans="1:22" ht="14.4">
      <c r="M17" s="576" t="s">
        <v>71</v>
      </c>
      <c r="N17" s="28">
        <v>78408</v>
      </c>
      <c r="O17" s="28" t="s">
        <v>50</v>
      </c>
      <c r="P17" s="27"/>
      <c r="Q17" s="27"/>
      <c r="R17" s="39">
        <v>804870</v>
      </c>
      <c r="S17" s="39" t="s">
        <v>66</v>
      </c>
    </row>
    <row r="18" spans="1:22" ht="14.4">
      <c r="B18" s="595" t="s">
        <v>72</v>
      </c>
      <c r="C18" s="574" t="s">
        <v>73</v>
      </c>
      <c r="D18" s="574" t="s">
        <v>74</v>
      </c>
      <c r="E18" s="574" t="s">
        <v>75</v>
      </c>
      <c r="F18" s="573" t="s">
        <v>76</v>
      </c>
      <c r="G18" s="558"/>
      <c r="H18" s="559"/>
      <c r="I18" s="574" t="s">
        <v>77</v>
      </c>
      <c r="J18" s="574" t="s">
        <v>78</v>
      </c>
      <c r="K18" s="574"/>
      <c r="M18" s="575"/>
      <c r="N18" s="42">
        <v>78.408000000000001</v>
      </c>
      <c r="O18" s="42" t="s">
        <v>13</v>
      </c>
      <c r="P18" s="27"/>
      <c r="Q18" s="27"/>
      <c r="R18" s="43">
        <v>424971.3600000001</v>
      </c>
      <c r="S18" s="39" t="s">
        <v>50</v>
      </c>
    </row>
    <row r="19" spans="1:22" ht="22.5" customHeight="1">
      <c r="B19" s="575"/>
      <c r="C19" s="575"/>
      <c r="D19" s="575"/>
      <c r="E19" s="575"/>
      <c r="F19" s="44" t="s">
        <v>79</v>
      </c>
      <c r="G19" s="44" t="s">
        <v>80</v>
      </c>
      <c r="H19" s="44" t="s">
        <v>81</v>
      </c>
      <c r="I19" s="575"/>
      <c r="J19" s="575"/>
      <c r="K19" s="575"/>
      <c r="N19" s="27"/>
      <c r="O19" s="27"/>
      <c r="P19" s="27"/>
      <c r="Q19" s="27"/>
      <c r="R19" s="43">
        <v>424.97136000000012</v>
      </c>
      <c r="S19" s="39" t="s">
        <v>13</v>
      </c>
    </row>
    <row r="20" spans="1:22" ht="14.4">
      <c r="A20" s="45" t="s">
        <v>82</v>
      </c>
      <c r="B20" s="28">
        <v>1</v>
      </c>
      <c r="C20" s="13" t="s">
        <v>83</v>
      </c>
      <c r="D20" s="12">
        <v>5648.9669108579301</v>
      </c>
      <c r="E20" s="13">
        <v>439.56000000000006</v>
      </c>
      <c r="F20" s="28">
        <v>0</v>
      </c>
      <c r="G20" s="28">
        <v>14.11</v>
      </c>
      <c r="H20" s="12">
        <v>181.33343141369824</v>
      </c>
      <c r="I20" s="13">
        <v>425.45000000000005</v>
      </c>
      <c r="J20" s="46">
        <v>5467.6334794442319</v>
      </c>
      <c r="L20" s="588" t="s">
        <v>84</v>
      </c>
      <c r="M20" s="33" t="s">
        <v>85</v>
      </c>
      <c r="N20" s="28">
        <v>3360000</v>
      </c>
      <c r="O20" s="28" t="s">
        <v>86</v>
      </c>
      <c r="P20" s="28">
        <v>3360</v>
      </c>
      <c r="Q20" s="28" t="s">
        <v>64</v>
      </c>
      <c r="R20" s="43">
        <v>7700.22</v>
      </c>
      <c r="S20" s="39" t="s">
        <v>13</v>
      </c>
    </row>
    <row r="21" spans="1:22" ht="15.75" customHeight="1">
      <c r="A21" s="42" t="s">
        <v>87</v>
      </c>
      <c r="B21" s="28">
        <v>2</v>
      </c>
      <c r="C21" s="13" t="s">
        <v>88</v>
      </c>
      <c r="D21" s="12">
        <v>5467.6334794442319</v>
      </c>
      <c r="E21" s="13">
        <v>425.45000000000005</v>
      </c>
      <c r="F21" s="28">
        <v>0</v>
      </c>
      <c r="G21" s="13">
        <v>346.56</v>
      </c>
      <c r="H21" s="12">
        <v>4453.7855415117938</v>
      </c>
      <c r="I21" s="13">
        <v>78.890000000000043</v>
      </c>
      <c r="J21" s="46">
        <v>1013.8479379324381</v>
      </c>
      <c r="L21" s="589"/>
      <c r="M21" s="33" t="s">
        <v>89</v>
      </c>
      <c r="N21" s="28">
        <v>21680</v>
      </c>
      <c r="O21" s="28" t="s">
        <v>86</v>
      </c>
      <c r="P21" s="28">
        <v>21.68</v>
      </c>
      <c r="Q21" s="28" t="s">
        <v>64</v>
      </c>
      <c r="R21" s="39"/>
      <c r="S21" s="39"/>
    </row>
    <row r="22" spans="1:22" ht="15.75" customHeight="1">
      <c r="A22" s="42" t="s">
        <v>90</v>
      </c>
      <c r="B22" s="28">
        <v>3</v>
      </c>
      <c r="C22" s="12" t="s">
        <v>91</v>
      </c>
      <c r="D22" s="12">
        <v>1013.8479379324377</v>
      </c>
      <c r="E22" s="13">
        <v>78.890000000000043</v>
      </c>
      <c r="F22" s="28">
        <v>0</v>
      </c>
      <c r="G22" s="47">
        <v>0</v>
      </c>
      <c r="H22" s="12">
        <v>0</v>
      </c>
      <c r="I22" s="13">
        <v>78.890000000000043</v>
      </c>
      <c r="J22" s="46">
        <v>1013.8479379324377</v>
      </c>
      <c r="L22" s="575"/>
      <c r="M22" s="33" t="s">
        <v>92</v>
      </c>
      <c r="N22" s="28">
        <v>3338320</v>
      </c>
      <c r="O22" s="28" t="s">
        <v>86</v>
      </c>
      <c r="P22" s="28">
        <v>3338.32</v>
      </c>
      <c r="Q22" s="28" t="s">
        <v>64</v>
      </c>
      <c r="R22" s="39"/>
      <c r="S22" s="39"/>
    </row>
    <row r="23" spans="1:22" ht="15.75" customHeight="1">
      <c r="A23" s="42" t="s">
        <v>93</v>
      </c>
      <c r="B23" s="28">
        <v>4</v>
      </c>
      <c r="C23" s="12" t="s">
        <v>91</v>
      </c>
      <c r="D23" s="12">
        <v>1013.8479379324377</v>
      </c>
      <c r="E23" s="13">
        <v>78.890000000000043</v>
      </c>
      <c r="F23" s="28">
        <v>0</v>
      </c>
      <c r="G23" s="47">
        <v>0</v>
      </c>
      <c r="H23" s="12">
        <v>0</v>
      </c>
      <c r="I23" s="13">
        <v>78.890000000000043</v>
      </c>
      <c r="J23" s="46">
        <v>1013.8479379324377</v>
      </c>
      <c r="L23" s="48"/>
      <c r="M23" s="49"/>
      <c r="N23" s="27"/>
      <c r="O23" s="27"/>
      <c r="P23" s="27"/>
      <c r="Q23" s="27"/>
      <c r="R23" s="39"/>
      <c r="S23" s="39"/>
    </row>
    <row r="24" spans="1:22" ht="15.75" customHeight="1">
      <c r="A24" s="42" t="s">
        <v>94</v>
      </c>
      <c r="B24" s="28">
        <v>5</v>
      </c>
      <c r="C24" s="12" t="s">
        <v>91</v>
      </c>
      <c r="D24" s="12">
        <v>1013.8479379324377</v>
      </c>
      <c r="E24" s="13">
        <v>78.890000000000043</v>
      </c>
      <c r="F24" s="28">
        <v>0</v>
      </c>
      <c r="G24" s="47">
        <v>0</v>
      </c>
      <c r="H24" s="12">
        <v>0</v>
      </c>
      <c r="I24" s="13">
        <v>78.890000000000043</v>
      </c>
      <c r="J24" s="46">
        <v>1013.8479379324377</v>
      </c>
      <c r="L24" s="48"/>
      <c r="M24" s="49"/>
      <c r="N24" s="27"/>
      <c r="O24" s="27"/>
      <c r="P24" s="27"/>
      <c r="Q24" s="27"/>
      <c r="R24" s="39"/>
      <c r="S24" s="39"/>
    </row>
    <row r="25" spans="1:22" ht="15.75" customHeight="1">
      <c r="A25" s="42" t="s">
        <v>95</v>
      </c>
      <c r="B25" s="28">
        <v>6</v>
      </c>
      <c r="C25" s="13" t="s">
        <v>96</v>
      </c>
      <c r="D25" s="12">
        <v>1300.1131530096977</v>
      </c>
      <c r="E25" s="13">
        <v>101.16500000000005</v>
      </c>
      <c r="F25" s="28">
        <v>0</v>
      </c>
      <c r="G25" s="47">
        <v>0</v>
      </c>
      <c r="H25" s="12">
        <v>0</v>
      </c>
      <c r="I25" s="13">
        <v>101.16500000000005</v>
      </c>
      <c r="J25" s="46">
        <v>1300.1131530096977</v>
      </c>
      <c r="L25" s="48"/>
      <c r="M25" s="49"/>
      <c r="N25" s="27"/>
      <c r="O25" s="27"/>
      <c r="P25" s="27"/>
      <c r="Q25" s="27"/>
      <c r="R25" s="39"/>
      <c r="S25" s="39"/>
    </row>
    <row r="26" spans="1:22" ht="15.75" customHeight="1">
      <c r="A26" s="42" t="s">
        <v>97</v>
      </c>
      <c r="B26" s="28">
        <v>7</v>
      </c>
      <c r="C26" s="13" t="s">
        <v>96</v>
      </c>
      <c r="D26" s="12">
        <v>1300.1131530096977</v>
      </c>
      <c r="E26" s="13">
        <v>101.16500000000005</v>
      </c>
      <c r="F26" s="28">
        <v>0</v>
      </c>
      <c r="G26" s="47">
        <v>0</v>
      </c>
      <c r="H26" s="12">
        <v>0</v>
      </c>
      <c r="I26" s="13">
        <v>101.16500000000005</v>
      </c>
      <c r="J26" s="46">
        <v>1300.1131530096977</v>
      </c>
      <c r="L26" s="48"/>
      <c r="M26" s="49"/>
      <c r="N26" s="27"/>
      <c r="O26" s="27"/>
      <c r="P26" s="27"/>
      <c r="Q26" s="27"/>
      <c r="R26" s="39"/>
      <c r="S26" s="39"/>
    </row>
    <row r="27" spans="1:22" ht="15.75" customHeight="1">
      <c r="A27" s="42" t="s">
        <v>98</v>
      </c>
      <c r="B27" s="28">
        <v>8</v>
      </c>
      <c r="C27" s="13" t="s">
        <v>96</v>
      </c>
      <c r="D27" s="12">
        <v>1300.1131530096977</v>
      </c>
      <c r="E27" s="13">
        <v>101.16500000000005</v>
      </c>
      <c r="F27" s="28">
        <v>0</v>
      </c>
      <c r="G27" s="47">
        <v>0</v>
      </c>
      <c r="H27" s="12">
        <v>0</v>
      </c>
      <c r="I27" s="13">
        <v>101.16500000000005</v>
      </c>
      <c r="J27" s="46">
        <v>1300.1131530096977</v>
      </c>
      <c r="R27" s="43"/>
      <c r="S27" s="39">
        <v>28.617599999999999</v>
      </c>
    </row>
    <row r="28" spans="1:22" ht="15.75" customHeight="1">
      <c r="A28" s="42" t="s">
        <v>99</v>
      </c>
      <c r="B28" s="28">
        <v>9</v>
      </c>
      <c r="C28" s="13" t="s">
        <v>100</v>
      </c>
      <c r="D28" s="12">
        <v>3399.3913969096034</v>
      </c>
      <c r="E28" s="13">
        <v>264.51499999999999</v>
      </c>
      <c r="F28" s="28">
        <v>0</v>
      </c>
      <c r="G28" s="47">
        <v>0</v>
      </c>
      <c r="H28" s="12">
        <v>0</v>
      </c>
      <c r="I28" s="13">
        <v>264.51499999999999</v>
      </c>
      <c r="J28" s="46">
        <v>3399.3913969096034</v>
      </c>
      <c r="M28" s="50" t="s">
        <v>101</v>
      </c>
      <c r="N28" s="28">
        <v>4406.5824000000002</v>
      </c>
      <c r="O28" s="51" t="s">
        <v>50</v>
      </c>
      <c r="P28" s="51">
        <v>4.4065824000000005</v>
      </c>
      <c r="Q28" s="51" t="s">
        <v>13</v>
      </c>
      <c r="R28" s="52"/>
      <c r="S28" s="52"/>
      <c r="T28" s="52"/>
      <c r="U28" s="52"/>
      <c r="V28" s="52"/>
    </row>
    <row r="29" spans="1:22" ht="15.75" customHeight="1">
      <c r="A29" s="42" t="s">
        <v>102</v>
      </c>
      <c r="B29" s="28">
        <v>10</v>
      </c>
      <c r="C29" s="13" t="s">
        <v>103</v>
      </c>
      <c r="D29" s="12">
        <v>14850</v>
      </c>
      <c r="E29" s="13">
        <v>1155.5149999999999</v>
      </c>
      <c r="F29" s="28">
        <v>0</v>
      </c>
      <c r="G29" s="47">
        <v>0</v>
      </c>
      <c r="H29" s="12">
        <v>0</v>
      </c>
      <c r="I29" s="13">
        <v>1155.5149999999999</v>
      </c>
      <c r="J29" s="46">
        <v>14850</v>
      </c>
      <c r="K29" s="53">
        <v>1155.0329999999999</v>
      </c>
      <c r="M29" s="50" t="s">
        <v>104</v>
      </c>
      <c r="N29" s="28">
        <v>14850</v>
      </c>
      <c r="O29" s="54"/>
      <c r="P29" s="54"/>
      <c r="Q29" s="54"/>
    </row>
    <row r="30" spans="1:22" ht="15.75" customHeight="1">
      <c r="A30" s="42"/>
      <c r="B30" s="28"/>
      <c r="C30" s="13"/>
      <c r="D30" s="12"/>
      <c r="E30" s="13"/>
      <c r="F30" s="28">
        <v>0</v>
      </c>
      <c r="G30" s="47">
        <v>0</v>
      </c>
      <c r="H30" s="13"/>
      <c r="I30" s="12"/>
      <c r="J30" s="46"/>
      <c r="M30" s="50"/>
      <c r="N30" s="28"/>
      <c r="O30" s="54"/>
      <c r="P30" s="54"/>
      <c r="Q30" s="54"/>
    </row>
    <row r="31" spans="1:22" ht="15.75" customHeight="1">
      <c r="A31" s="594" t="s">
        <v>105</v>
      </c>
      <c r="B31" s="558"/>
      <c r="C31" s="558"/>
      <c r="D31" s="558"/>
      <c r="E31" s="559"/>
      <c r="F31" s="13">
        <v>439.56000000000006</v>
      </c>
      <c r="M31" s="50" t="s">
        <v>71</v>
      </c>
      <c r="N31" s="28">
        <v>65437748.640000001</v>
      </c>
      <c r="O31" s="28" t="s">
        <v>50</v>
      </c>
      <c r="P31" s="42">
        <v>65437.748639999998</v>
      </c>
      <c r="Q31" s="42" t="s">
        <v>13</v>
      </c>
    </row>
    <row r="32" spans="1:22" ht="15.75" customHeight="1">
      <c r="A32" s="573" t="s">
        <v>106</v>
      </c>
      <c r="B32" s="558"/>
      <c r="C32" s="558"/>
      <c r="D32" s="558"/>
      <c r="E32" s="559"/>
      <c r="F32" s="13">
        <v>439.56000000000006</v>
      </c>
    </row>
    <row r="33" spans="1:17" ht="35.25" customHeight="1">
      <c r="A33" s="593" t="s">
        <v>107</v>
      </c>
      <c r="B33" s="558"/>
      <c r="C33" s="558"/>
      <c r="D33" s="558"/>
      <c r="E33" s="559"/>
      <c r="F33" s="55">
        <v>0.23787994209149943</v>
      </c>
      <c r="H33" s="56">
        <v>1516.1849999999997</v>
      </c>
      <c r="I33">
        <v>1516.1849999999999</v>
      </c>
      <c r="L33" s="590" t="s">
        <v>108</v>
      </c>
      <c r="M33" s="57" t="s">
        <v>109</v>
      </c>
      <c r="N33" s="58">
        <v>17.68</v>
      </c>
      <c r="O33" s="58" t="s">
        <v>64</v>
      </c>
      <c r="P33" s="59"/>
      <c r="Q33" s="59"/>
    </row>
    <row r="34" spans="1:17" ht="31.5" customHeight="1">
      <c r="A34" s="593" t="s">
        <v>110</v>
      </c>
      <c r="B34" s="558"/>
      <c r="C34" s="558"/>
      <c r="D34" s="558"/>
      <c r="E34" s="559"/>
      <c r="F34" s="55">
        <v>0.23787994209149943</v>
      </c>
      <c r="L34" s="591"/>
      <c r="M34" s="57" t="s">
        <v>111</v>
      </c>
      <c r="N34" s="58">
        <v>23.337600000000002</v>
      </c>
      <c r="O34" s="58" t="s">
        <v>50</v>
      </c>
      <c r="P34" s="59">
        <v>2.3337600000000003E-2</v>
      </c>
      <c r="Q34" s="59" t="s">
        <v>13</v>
      </c>
    </row>
    <row r="35" spans="1:17" ht="15.75" customHeight="1">
      <c r="L35" s="592"/>
      <c r="M35" s="57" t="s">
        <v>112</v>
      </c>
      <c r="N35" s="58">
        <v>346563.36000000004</v>
      </c>
      <c r="O35" s="58" t="s">
        <v>50</v>
      </c>
      <c r="P35" s="58">
        <v>346.56336000000005</v>
      </c>
      <c r="Q35" s="58" t="s">
        <v>13</v>
      </c>
    </row>
    <row r="36" spans="1:17" ht="15.75" customHeight="1"/>
    <row r="37" spans="1:17" ht="15.75" customHeight="1">
      <c r="F37">
        <v>1430.3888412858589</v>
      </c>
    </row>
    <row r="38" spans="1:17" ht="15.75" customHeight="1"/>
    <row r="39" spans="1:17" ht="15.75" customHeight="1">
      <c r="K39" t="s">
        <v>113</v>
      </c>
      <c r="L39" s="53">
        <v>5.28</v>
      </c>
      <c r="M39" s="53" t="s">
        <v>50</v>
      </c>
      <c r="N39">
        <v>6.7883774749292886E-2</v>
      </c>
    </row>
    <row r="40" spans="1:17" ht="34.5" customHeight="1">
      <c r="K40" s="53" t="s">
        <v>114</v>
      </c>
      <c r="L40" s="53">
        <v>11</v>
      </c>
      <c r="M40" s="53" t="s">
        <v>50</v>
      </c>
      <c r="N40">
        <v>0.14142453072769348</v>
      </c>
    </row>
    <row r="41" spans="1:17" ht="15.75" customHeight="1">
      <c r="G41" s="29"/>
      <c r="K41" t="s">
        <v>115</v>
      </c>
      <c r="L41" s="53">
        <v>60</v>
      </c>
      <c r="M41" s="53" t="s">
        <v>50</v>
      </c>
      <c r="N41">
        <v>0.77140653124196445</v>
      </c>
    </row>
    <row r="42" spans="1:17" ht="15.75" customHeight="1">
      <c r="K42" t="s">
        <v>116</v>
      </c>
      <c r="L42" s="53">
        <v>1.5</v>
      </c>
      <c r="M42" s="53" t="s">
        <v>50</v>
      </c>
      <c r="N42">
        <v>1.9285163281049112E-2</v>
      </c>
    </row>
    <row r="43" spans="1:17" ht="15.75" customHeight="1">
      <c r="G43" s="29" t="s">
        <v>117</v>
      </c>
      <c r="L43" s="53"/>
      <c r="M43" s="53" t="s">
        <v>50</v>
      </c>
      <c r="N43">
        <v>0</v>
      </c>
    </row>
    <row r="44" spans="1:17" ht="15.75" customHeight="1">
      <c r="L44" s="53">
        <v>77.78</v>
      </c>
    </row>
    <row r="45" spans="1:17" ht="15.75" customHeight="1">
      <c r="G45" s="29" t="s">
        <v>118</v>
      </c>
    </row>
    <row r="46" spans="1:17" ht="15.75" customHeight="1">
      <c r="G46" s="29" t="s">
        <v>119</v>
      </c>
    </row>
    <row r="47" spans="1:17" ht="15.75" customHeight="1"/>
    <row r="48" spans="1:17" ht="15.75" customHeight="1">
      <c r="G48" s="29" t="s">
        <v>120</v>
      </c>
    </row>
    <row r="49" spans="7:17" ht="15.75" customHeight="1"/>
    <row r="50" spans="7:17" ht="15.75" customHeight="1">
      <c r="G50" s="29" t="s">
        <v>121</v>
      </c>
    </row>
    <row r="51" spans="7:17" ht="15.75" customHeight="1"/>
    <row r="52" spans="7:17" ht="15.75" customHeight="1">
      <c r="G52" s="29" t="s">
        <v>122</v>
      </c>
    </row>
    <row r="53" spans="7:17" ht="15.75" customHeight="1"/>
    <row r="54" spans="7:17" ht="15.75" customHeight="1"/>
    <row r="55" spans="7:17" ht="15.75" customHeight="1"/>
    <row r="56" spans="7:17" ht="15.75" customHeight="1">
      <c r="G56" s="60"/>
      <c r="N56">
        <v>16.251839999999998</v>
      </c>
      <c r="P56" s="61">
        <v>78</v>
      </c>
      <c r="Q56" s="61">
        <v>14850</v>
      </c>
    </row>
    <row r="57" spans="7:17" ht="15.75" customHeight="1">
      <c r="P57" s="26">
        <v>16.251839999999998</v>
      </c>
      <c r="Q57" s="26">
        <v>3094.1003076923071</v>
      </c>
    </row>
    <row r="58" spans="7:17" ht="15.75" customHeight="1">
      <c r="G58" s="60"/>
    </row>
    <row r="59" spans="7:17" ht="15.75" customHeight="1">
      <c r="J59" s="26"/>
      <c r="K59" s="26"/>
      <c r="L59" s="26"/>
    </row>
    <row r="60" spans="7:17" ht="15.75" customHeight="1"/>
    <row r="61" spans="7:17" ht="15.75" customHeight="1"/>
    <row r="62" spans="7:17" ht="15.75" customHeight="1"/>
    <row r="63" spans="7:17" ht="15.75" customHeight="1"/>
    <row r="64" spans="7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</sheetData>
  <mergeCells count="20">
    <mergeCell ref="A9:A11"/>
    <mergeCell ref="B9:I14"/>
    <mergeCell ref="L20:L22"/>
    <mergeCell ref="L33:L35"/>
    <mergeCell ref="A33:E33"/>
    <mergeCell ref="A34:E34"/>
    <mergeCell ref="A32:E32"/>
    <mergeCell ref="A31:E31"/>
    <mergeCell ref="B18:B19"/>
    <mergeCell ref="B1:F1"/>
    <mergeCell ref="M4:O4"/>
    <mergeCell ref="R12:S12"/>
    <mergeCell ref="F18:H18"/>
    <mergeCell ref="D18:D19"/>
    <mergeCell ref="E18:E19"/>
    <mergeCell ref="J18:J19"/>
    <mergeCell ref="K18:K19"/>
    <mergeCell ref="M17:M18"/>
    <mergeCell ref="I18:I19"/>
    <mergeCell ref="C18:C19"/>
  </mergeCells>
  <conditionalFormatting sqref="G22:G30">
    <cfRule type="notContainsBlanks" dxfId="42" priority="1">
      <formula>LEN(TRIM(G22))&gt;0</formula>
    </cfRule>
  </conditionalFormatting>
  <pageMargins left="0.7" right="0.7" top="0.75" bottom="0.75" header="0" footer="0"/>
  <pageSetup orientation="portrait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FF00"/>
    <pageSetUpPr fitToPage="1"/>
  </sheetPr>
  <dimension ref="A1:Z236"/>
  <sheetViews>
    <sheetView workbookViewId="0"/>
  </sheetViews>
  <sheetFormatPr defaultColWidth="14.44140625" defaultRowHeight="15" customHeight="1"/>
  <cols>
    <col min="1" max="1" width="7.88671875" customWidth="1"/>
    <col min="2" max="2" width="16" customWidth="1"/>
    <col min="3" max="3" width="17.44140625" customWidth="1"/>
    <col min="4" max="6" width="14.6640625" customWidth="1"/>
    <col min="7" max="7" width="38.33203125" customWidth="1"/>
    <col min="8" max="8" width="21.6640625" customWidth="1"/>
    <col min="9" max="9" width="14.6640625" customWidth="1"/>
    <col min="10" max="10" width="35.33203125" customWidth="1"/>
    <col min="11" max="11" width="14.6640625" customWidth="1"/>
    <col min="12" max="12" width="16.5546875" customWidth="1"/>
    <col min="13" max="13" width="18.44140625" customWidth="1"/>
    <col min="14" max="14" width="17.44140625" customWidth="1"/>
    <col min="15" max="15" width="17.33203125" customWidth="1"/>
    <col min="16" max="26" width="9" customWidth="1"/>
  </cols>
  <sheetData>
    <row r="1" spans="1:26" ht="14.25" customHeight="1">
      <c r="A1" s="244" t="s">
        <v>483</v>
      </c>
      <c r="E1" s="231"/>
      <c r="F1" s="231"/>
      <c r="G1" s="245">
        <f>InfoInicial!E1</f>
        <v>10</v>
      </c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3.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6.5" customHeight="1">
      <c r="A3" s="446" t="s">
        <v>960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6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26.25" customHeight="1">
      <c r="A4" s="447" t="s">
        <v>601</v>
      </c>
      <c r="B4" s="417" t="s">
        <v>948</v>
      </c>
      <c r="C4" s="417" t="s">
        <v>961</v>
      </c>
      <c r="D4" s="417" t="s">
        <v>786</v>
      </c>
      <c r="E4" s="417" t="s">
        <v>488</v>
      </c>
      <c r="F4" s="417" t="s">
        <v>787</v>
      </c>
      <c r="G4" s="417" t="s">
        <v>788</v>
      </c>
      <c r="H4" s="417" t="s">
        <v>962</v>
      </c>
      <c r="I4" s="417" t="s">
        <v>963</v>
      </c>
      <c r="J4" s="417" t="s">
        <v>618</v>
      </c>
      <c r="K4" s="417" t="s">
        <v>790</v>
      </c>
      <c r="L4" s="417" t="s">
        <v>791</v>
      </c>
      <c r="M4" s="448" t="s">
        <v>792</v>
      </c>
      <c r="N4" s="449" t="s">
        <v>793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4.25" customHeight="1">
      <c r="A5" s="450">
        <v>0</v>
      </c>
      <c r="B5" s="438">
        <f>'F- CFyU'!B$14</f>
        <v>30333730.761784449</v>
      </c>
      <c r="C5" s="327">
        <f>'F- CFyU'!B$15</f>
        <v>680107.2612647824</v>
      </c>
      <c r="D5" s="327">
        <f>'F- CFyU'!B$21</f>
        <v>6441690.7848403379</v>
      </c>
      <c r="E5" s="327">
        <f>'F- CFyU'!B$19</f>
        <v>0</v>
      </c>
      <c r="F5" s="223">
        <f>'F- CFyU'!B17</f>
        <v>0</v>
      </c>
      <c r="G5" s="327">
        <f t="shared" ref="G5:G10" si="0">SUM(B5:F5)</f>
        <v>37455528.807889566</v>
      </c>
      <c r="I5" s="327">
        <f>'F-Cred'!G21+'F-Cred'!I21</f>
        <v>2523783.2400000002</v>
      </c>
      <c r="J5" s="327">
        <f>'F- CFyU'!B$25</f>
        <v>0</v>
      </c>
      <c r="K5" s="327">
        <f>'F- CFyU'!B11</f>
        <v>0</v>
      </c>
      <c r="L5" s="327">
        <f t="shared" ref="L5:L10" si="1">SUM(H5:K5)</f>
        <v>2523783.2400000002</v>
      </c>
      <c r="M5" s="420">
        <f t="shared" ref="M5:M10" si="2">L5-G5</f>
        <v>-34931745.567889564</v>
      </c>
      <c r="N5" s="421">
        <f>M5</f>
        <v>-34931745.567889564</v>
      </c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4.25" customHeight="1">
      <c r="A6" s="451">
        <v>1</v>
      </c>
      <c r="B6" s="438">
        <f>'F- CFyU'!C$14</f>
        <v>278655.36042134126</v>
      </c>
      <c r="C6" s="327">
        <f>'F- CFyU'!C$15</f>
        <v>2828145.1587001523</v>
      </c>
      <c r="D6" s="327">
        <f>'F- CFyU'!C21</f>
        <v>323071.98576278012</v>
      </c>
      <c r="E6" s="327">
        <f>'F- CFyU'!C$19</f>
        <v>0</v>
      </c>
      <c r="F6" s="327">
        <f>'F- CFyU'!C17</f>
        <v>0</v>
      </c>
      <c r="G6" s="327">
        <f t="shared" si="0"/>
        <v>3429872.5048842737</v>
      </c>
      <c r="H6" s="327">
        <f>'F-CRes'!B$11</f>
        <v>-1807291.4315671045</v>
      </c>
      <c r="I6" s="297">
        <f>'F-CRes'!B10-('F-Cred'!$G$21+'F-Cred'!$I$21)/3</f>
        <v>6239411.4427552521</v>
      </c>
      <c r="J6" s="327">
        <f>'F- CFyU'!C$25</f>
        <v>2847300.5638811588</v>
      </c>
      <c r="K6" s="327">
        <f>'F- CFyU'!C11</f>
        <v>1356018.3032047795</v>
      </c>
      <c r="L6" s="327">
        <f t="shared" si="1"/>
        <v>8635438.8782740869</v>
      </c>
      <c r="M6" s="420">
        <f t="shared" si="2"/>
        <v>5205566.3733898131</v>
      </c>
      <c r="N6" s="328">
        <f t="shared" ref="N6:N10" si="3">N5+M6</f>
        <v>-29726179.19449975</v>
      </c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4.25" customHeight="1">
      <c r="A7" s="451">
        <v>2</v>
      </c>
      <c r="B7" s="438">
        <f>'F- CFyU'!D$14</f>
        <v>0</v>
      </c>
      <c r="C7" s="327">
        <f>'F- CFyU'!D$15</f>
        <v>347189.96312850947</v>
      </c>
      <c r="D7" s="327">
        <f>'F- CFyU'!D21</f>
        <v>1319.2417647967031</v>
      </c>
      <c r="E7" s="327">
        <f>'F- CFyU'!D$19</f>
        <v>101333.80021438516</v>
      </c>
      <c r="F7" s="327">
        <f>'F- CFyU'!D17</f>
        <v>407868.54586290027</v>
      </c>
      <c r="G7" s="327">
        <f t="shared" si="0"/>
        <v>857711.5509705916</v>
      </c>
      <c r="H7" s="327">
        <f>'F-CRes'!C$11</f>
        <v>1266672.5026798146</v>
      </c>
      <c r="I7" s="297">
        <f>'F-CRes'!C10-('F-Cred'!$G$21+'F-Cred'!$I$21)/3</f>
        <v>5499101.6923552519</v>
      </c>
      <c r="J7" s="327">
        <f>'F- CFyU'!D$25</f>
        <v>2847300.5638811588</v>
      </c>
      <c r="K7" s="327">
        <f>'F- CFyU'!D11</f>
        <v>2230232.1189918965</v>
      </c>
      <c r="L7" s="327">
        <f t="shared" si="1"/>
        <v>11843306.877908122</v>
      </c>
      <c r="M7" s="420">
        <f t="shared" si="2"/>
        <v>10985595.32693753</v>
      </c>
      <c r="N7" s="328">
        <f t="shared" si="3"/>
        <v>-18740583.86756222</v>
      </c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4.25" customHeight="1">
      <c r="A8" s="451">
        <v>3</v>
      </c>
      <c r="B8" s="438">
        <f>'F- CFyU'!E$14</f>
        <v>0</v>
      </c>
      <c r="C8" s="327">
        <f>'F- CFyU'!E$15</f>
        <v>-25.588912036735564</v>
      </c>
      <c r="D8" s="327">
        <f>'F- CFyU'!E21</f>
        <v>0</v>
      </c>
      <c r="E8" s="327">
        <f>'F- CFyU'!E$19</f>
        <v>160769.86385271832</v>
      </c>
      <c r="F8" s="327">
        <f>'F- CFyU'!E17</f>
        <v>647098.70200719114</v>
      </c>
      <c r="G8" s="327">
        <f t="shared" si="0"/>
        <v>807842.97694787267</v>
      </c>
      <c r="H8" s="327">
        <f>'F-CRes'!D$11</f>
        <v>2009623.298158979</v>
      </c>
      <c r="I8" s="297">
        <f>'F-CRes'!D10-('F-Cred'!$G$21+'F-Cred'!$I$21)/3</f>
        <v>4758791.9419552516</v>
      </c>
      <c r="J8" s="327">
        <f>'F- CFyU'!E$25</f>
        <v>2847300.5638811588</v>
      </c>
      <c r="K8" s="327">
        <f>'F- CFyU'!E11</f>
        <v>2371521.2415983574</v>
      </c>
      <c r="L8" s="327">
        <f t="shared" si="1"/>
        <v>11987237.045593746</v>
      </c>
      <c r="M8" s="420">
        <f t="shared" si="2"/>
        <v>11179394.068645874</v>
      </c>
      <c r="N8" s="328">
        <f t="shared" si="3"/>
        <v>-7561189.7989163455</v>
      </c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4.25" customHeight="1">
      <c r="A9" s="451">
        <v>4</v>
      </c>
      <c r="B9" s="438">
        <f>'F- CFyU'!F$14</f>
        <v>0</v>
      </c>
      <c r="C9" s="327">
        <f>'F- CFyU'!F$15</f>
        <v>0</v>
      </c>
      <c r="D9" s="327">
        <f>'F- CFyU'!F21</f>
        <v>0</v>
      </c>
      <c r="E9" s="327">
        <f>'F- CFyU'!F$19</f>
        <v>219994.64388471836</v>
      </c>
      <c r="F9" s="327">
        <f>'F- CFyU'!F17</f>
        <v>885478.44163599121</v>
      </c>
      <c r="G9" s="327">
        <f t="shared" si="0"/>
        <v>1105473.0855207096</v>
      </c>
      <c r="H9" s="327">
        <f>'F-CRes'!E$11</f>
        <v>2749933.0485589793</v>
      </c>
      <c r="I9" s="297">
        <f>'F-CRes'!E10</f>
        <v>4859743.2715552514</v>
      </c>
      <c r="J9" s="327">
        <f>'F- CFyU'!F$25</f>
        <v>2006039.4838811588</v>
      </c>
      <c r="K9" s="327">
        <f>'F- CFyU'!F11</f>
        <v>808310.34857288189</v>
      </c>
      <c r="L9" s="327">
        <f t="shared" si="1"/>
        <v>10424026.152568271</v>
      </c>
      <c r="M9" s="420">
        <f t="shared" si="2"/>
        <v>9318553.0670475625</v>
      </c>
      <c r="N9" s="328">
        <f t="shared" si="3"/>
        <v>1757363.268131217</v>
      </c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4.25" customHeight="1">
      <c r="A10" s="451">
        <v>5</v>
      </c>
      <c r="B10" s="438">
        <f>-'E-Inv AF y Am'!G57</f>
        <v>-18058405.462799996</v>
      </c>
      <c r="C10" s="327">
        <f>'F- CFyU'!G$15-'F- CFyU'!H$15</f>
        <v>-3855416.7941814074</v>
      </c>
      <c r="D10" s="327">
        <f>'F- CFyU'!G21</f>
        <v>0</v>
      </c>
      <c r="E10" s="327">
        <f>'F- CFyU'!G$19</f>
        <v>279219.42391671834</v>
      </c>
      <c r="F10" s="327">
        <f>'F- CFyU'!G17</f>
        <v>1123858.1812647912</v>
      </c>
      <c r="G10" s="327">
        <f t="shared" si="0"/>
        <v>-20510744.651799891</v>
      </c>
      <c r="H10" s="327">
        <f>'F-CRes'!F$11</f>
        <v>3490242.7989589791</v>
      </c>
      <c r="I10" s="297">
        <f>'F-CRes'!F10</f>
        <v>4119433.5211552517</v>
      </c>
      <c r="J10" s="327">
        <f>'F- CFyU'!G$25</f>
        <v>2006039.4838811588</v>
      </c>
      <c r="K10" s="327">
        <f>'F- CFyU'!G11</f>
        <v>0</v>
      </c>
      <c r="L10" s="327">
        <f t="shared" si="1"/>
        <v>9615715.8039953895</v>
      </c>
      <c r="M10" s="420">
        <f t="shared" si="2"/>
        <v>30126460.455795281</v>
      </c>
      <c r="N10" s="328">
        <f t="shared" si="3"/>
        <v>31883823.723926499</v>
      </c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4.25" customHeight="1">
      <c r="A11" s="451"/>
      <c r="B11" s="440"/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424"/>
      <c r="N11" s="328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4.25" customHeight="1">
      <c r="A12" s="452" t="s">
        <v>794</v>
      </c>
      <c r="B12" s="453">
        <f t="shared" ref="B12:E12" si="4">SUM(B5:B10)</f>
        <v>12553980.659405794</v>
      </c>
      <c r="C12" s="453">
        <f t="shared" si="4"/>
        <v>0</v>
      </c>
      <c r="D12" s="453">
        <f t="shared" si="4"/>
        <v>6766082.0123679154</v>
      </c>
      <c r="E12" s="453">
        <f t="shared" si="4"/>
        <v>761317.73186854017</v>
      </c>
      <c r="F12" s="453">
        <f>SUM(F6:F10)</f>
        <v>3064303.8707708735</v>
      </c>
      <c r="G12" s="453">
        <f>SUM(G5:G10)</f>
        <v>23145684.27441312</v>
      </c>
      <c r="H12" s="453">
        <f>SUM(H6:H10)</f>
        <v>7709180.2167896479</v>
      </c>
      <c r="I12" s="453">
        <f t="shared" ref="I12:M12" si="5">SUM(I5:I10)</f>
        <v>28000265.109776258</v>
      </c>
      <c r="J12" s="453">
        <f t="shared" si="5"/>
        <v>12553980.659405794</v>
      </c>
      <c r="K12" s="453">
        <f t="shared" si="5"/>
        <v>6766082.0123679154</v>
      </c>
      <c r="L12" s="453">
        <f t="shared" si="5"/>
        <v>55029507.998339623</v>
      </c>
      <c r="M12" s="453">
        <f t="shared" si="5"/>
        <v>31883823.723926499</v>
      </c>
      <c r="N12" s="453">
        <f>N10</f>
        <v>31883823.723926499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3.5" customHeight="1">
      <c r="A13" s="231"/>
      <c r="B13" s="231"/>
      <c r="C13" s="231"/>
      <c r="D13" s="231"/>
      <c r="E13" s="231"/>
      <c r="F13" s="231"/>
      <c r="G13" s="231"/>
      <c r="H13" s="231"/>
      <c r="I13" s="223">
        <f>H12+I12-F12-E12</f>
        <v>31883823.723926496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231"/>
      <c r="B14" s="231"/>
      <c r="C14" s="248" t="s">
        <v>795</v>
      </c>
      <c r="D14" s="455">
        <f>N12</f>
        <v>31883823.723926499</v>
      </c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4.25" customHeight="1">
      <c r="A15" s="141"/>
      <c r="B15" s="231"/>
      <c r="C15" s="248" t="s">
        <v>796</v>
      </c>
      <c r="D15" s="302">
        <f>4+(-N9/M10)</f>
        <v>3.9416671178245513</v>
      </c>
      <c r="E15" s="231" t="s">
        <v>797</v>
      </c>
      <c r="F15" s="231"/>
      <c r="G15" s="231"/>
      <c r="H15" s="231"/>
      <c r="I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4.25" customHeight="1">
      <c r="A16" s="231"/>
      <c r="B16" s="231"/>
      <c r="C16" s="248" t="s">
        <v>964</v>
      </c>
      <c r="D16" s="537">
        <f>IRR(M5:M10)</f>
        <v>0.20108195842488685</v>
      </c>
      <c r="E16" s="231"/>
      <c r="F16" s="231"/>
      <c r="G16" s="231"/>
      <c r="H16" s="223">
        <f>H12+I12</f>
        <v>35709445.326565906</v>
      </c>
      <c r="I16" s="231"/>
      <c r="J16" s="538"/>
      <c r="K16" s="538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4.25" customHeight="1">
      <c r="A17" s="231"/>
      <c r="B17" s="231"/>
      <c r="C17" s="248"/>
      <c r="D17" s="539"/>
      <c r="E17" s="231"/>
      <c r="F17" s="231"/>
      <c r="G17" s="540">
        <f>H12-E12-F12</f>
        <v>3883558.6141502345</v>
      </c>
      <c r="H17" s="231"/>
      <c r="I17" s="231"/>
      <c r="J17" s="541"/>
      <c r="K17" s="223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4.25" customHeight="1">
      <c r="A18" s="53"/>
      <c r="B18" s="351"/>
      <c r="C18" s="351"/>
      <c r="D18" s="351"/>
      <c r="E18" s="351"/>
      <c r="F18" s="542"/>
      <c r="G18" s="542"/>
      <c r="H18" s="542"/>
      <c r="I18" s="542"/>
      <c r="J18" s="543">
        <f>H12-E12-F12</f>
        <v>3883558.6141502345</v>
      </c>
      <c r="K18" s="223"/>
      <c r="L18" s="542"/>
      <c r="M18" s="542"/>
      <c r="N18" s="542"/>
      <c r="O18" s="35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6.5" customHeight="1">
      <c r="A19" s="544"/>
      <c r="B19" s="542"/>
      <c r="C19" s="545"/>
      <c r="D19" s="542"/>
      <c r="E19" s="542"/>
      <c r="F19" s="542"/>
      <c r="G19" s="542"/>
      <c r="H19" s="542"/>
      <c r="I19" s="542"/>
      <c r="J19" s="541"/>
      <c r="K19" s="223"/>
      <c r="L19" s="542"/>
      <c r="M19" s="542"/>
      <c r="N19" s="542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4.25" customHeight="1">
      <c r="A20" s="231"/>
      <c r="B20" s="231"/>
      <c r="C20" s="231"/>
      <c r="D20" s="231"/>
      <c r="E20" s="231"/>
      <c r="F20" s="231"/>
      <c r="G20" s="231"/>
      <c r="H20" s="231"/>
      <c r="I20" s="231"/>
      <c r="J20" s="541"/>
      <c r="K20" s="223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546"/>
      <c r="B21" s="231"/>
      <c r="C21" s="231"/>
      <c r="D21" s="231"/>
      <c r="E21" s="231"/>
      <c r="F21" s="231"/>
      <c r="G21" s="231"/>
      <c r="H21" s="231"/>
      <c r="I21" s="231"/>
      <c r="J21" s="231"/>
      <c r="K21" s="223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6.5" customHeight="1">
      <c r="A22" s="446" t="s">
        <v>965</v>
      </c>
      <c r="B22" s="325"/>
      <c r="C22" s="325"/>
      <c r="D22" s="325"/>
      <c r="E22" s="325"/>
      <c r="F22" s="325"/>
      <c r="G22" s="325"/>
      <c r="H22" s="326"/>
      <c r="I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30" customHeight="1">
      <c r="A23" s="447" t="s">
        <v>601</v>
      </c>
      <c r="B23" s="417" t="s">
        <v>966</v>
      </c>
      <c r="C23" s="417" t="s">
        <v>788</v>
      </c>
      <c r="D23" s="417" t="s">
        <v>953</v>
      </c>
      <c r="E23" s="417" t="s">
        <v>967</v>
      </c>
      <c r="F23" s="417" t="s">
        <v>791</v>
      </c>
      <c r="G23" s="448" t="s">
        <v>792</v>
      </c>
      <c r="H23" s="449" t="s">
        <v>793</v>
      </c>
      <c r="I23" s="231"/>
      <c r="J23" s="231"/>
      <c r="K23" s="653" t="s">
        <v>799</v>
      </c>
      <c r="L23" s="64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4.25" customHeight="1">
      <c r="A24" s="450">
        <v>0</v>
      </c>
      <c r="B24" s="438">
        <f>'F- CFyU'!B7</f>
        <v>20630307.207889572</v>
      </c>
      <c r="C24" s="327">
        <f t="shared" ref="C24:C29" si="6">B24</f>
        <v>20630307.207889572</v>
      </c>
      <c r="D24" s="327">
        <v>0</v>
      </c>
      <c r="E24" s="327">
        <f>'F- CFyU'!B28</f>
        <v>0</v>
      </c>
      <c r="F24" s="327">
        <f t="shared" ref="F24:F29" si="7">D24+E24</f>
        <v>0</v>
      </c>
      <c r="G24" s="547">
        <f t="shared" ref="G24:G29" si="8">F24-C24</f>
        <v>-20630307.207889572</v>
      </c>
      <c r="H24" s="421">
        <f>G24</f>
        <v>-20630307.207889572</v>
      </c>
      <c r="I24" s="231"/>
      <c r="J24" s="231"/>
      <c r="K24" s="655" t="s">
        <v>800</v>
      </c>
      <c r="L24" s="64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4.25" customHeight="1">
      <c r="A25" s="451">
        <v>1</v>
      </c>
      <c r="B25" s="440">
        <f>'F- CFyU'!C7</f>
        <v>3071176.8003304303</v>
      </c>
      <c r="C25" s="297">
        <f t="shared" si="6"/>
        <v>3071176.8003304303</v>
      </c>
      <c r="D25" s="297">
        <v>0</v>
      </c>
      <c r="E25" s="297">
        <f>'F- CFyU'!C28</f>
        <v>0</v>
      </c>
      <c r="F25" s="297">
        <f t="shared" si="7"/>
        <v>0</v>
      </c>
      <c r="G25" s="548">
        <f t="shared" si="8"/>
        <v>-3071176.8003304303</v>
      </c>
      <c r="H25" s="328">
        <f t="shared" ref="H25:H29" si="9">H24+G25</f>
        <v>-23701484.008220002</v>
      </c>
      <c r="I25" s="231"/>
      <c r="J25" s="231"/>
      <c r="K25" s="458" t="s">
        <v>618</v>
      </c>
      <c r="L25" s="459" t="str">
        <f>IF(B12=J12,"OK","MAL")</f>
        <v>OK</v>
      </c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4.25" customHeight="1">
      <c r="A26" s="451">
        <v>2</v>
      </c>
      <c r="B26" s="440">
        <f>'F- CFyU'!D7</f>
        <v>0</v>
      </c>
      <c r="C26" s="297">
        <f t="shared" si="6"/>
        <v>0</v>
      </c>
      <c r="D26" s="297">
        <v>0</v>
      </c>
      <c r="E26" s="297">
        <f>'F- CFyU'!D28</f>
        <v>2121449.3145822808</v>
      </c>
      <c r="F26" s="297">
        <f t="shared" si="7"/>
        <v>2121449.3145822808</v>
      </c>
      <c r="G26" s="548">
        <f t="shared" si="8"/>
        <v>2121449.3145822808</v>
      </c>
      <c r="H26" s="328">
        <f t="shared" si="9"/>
        <v>-21580034.693637721</v>
      </c>
      <c r="I26" s="231"/>
      <c r="K26" s="458" t="s">
        <v>803</v>
      </c>
      <c r="L26" s="459" t="str">
        <f>IF(D12=K12,"OK","MAL")</f>
        <v>OK</v>
      </c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4.25" customHeight="1">
      <c r="A27" s="451">
        <v>3</v>
      </c>
      <c r="B27" s="440">
        <f>'F- CFyU'!E7</f>
        <v>0</v>
      </c>
      <c r="C27" s="297">
        <f t="shared" si="6"/>
        <v>0</v>
      </c>
      <c r="D27" s="297">
        <v>0</v>
      </c>
      <c r="E27" s="297">
        <f>'F- CFyU'!E28</f>
        <v>3055557.8066906258</v>
      </c>
      <c r="F27" s="297">
        <f t="shared" si="7"/>
        <v>3055557.8066906258</v>
      </c>
      <c r="G27" s="548">
        <f t="shared" si="8"/>
        <v>3055557.8066906258</v>
      </c>
      <c r="H27" s="328">
        <f t="shared" si="9"/>
        <v>-18524476.886947095</v>
      </c>
      <c r="I27" s="231"/>
      <c r="K27" s="458" t="s">
        <v>804</v>
      </c>
      <c r="L27" s="459" t="str">
        <f>IF(C12=0,"OK","MAL")</f>
        <v>OK</v>
      </c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4.25" customHeight="1">
      <c r="A28" s="451">
        <v>4</v>
      </c>
      <c r="B28" s="440">
        <f>'F- CFyU'!F7</f>
        <v>0</v>
      </c>
      <c r="C28" s="297">
        <f t="shared" si="6"/>
        <v>0</v>
      </c>
      <c r="D28" s="297">
        <v>0</v>
      </c>
      <c r="E28" s="297">
        <f>'F- CFyU'!F28</f>
        <v>1093765.4754923079</v>
      </c>
      <c r="F28" s="297">
        <f t="shared" si="7"/>
        <v>1093765.4754923079</v>
      </c>
      <c r="G28" s="548">
        <f t="shared" si="8"/>
        <v>1093765.4754923079</v>
      </c>
      <c r="H28" s="328">
        <f t="shared" si="9"/>
        <v>-17430711.411454789</v>
      </c>
      <c r="I28" s="231"/>
      <c r="K28" s="458" t="s">
        <v>805</v>
      </c>
      <c r="L28" s="459" t="str">
        <f>IF((H12-F12-E12+I12)=M12,IF(M12=N10,"OK","MAL"),"MAL")</f>
        <v>OK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4.25" customHeight="1">
      <c r="A29" s="451">
        <v>5</v>
      </c>
      <c r="B29" s="440">
        <f>-'E-Inv AF y Am'!G57-'F- CFyU'!H15+'F-Cred'!D6+'F- CFyU'!G7</f>
        <v>-20586109.667946395</v>
      </c>
      <c r="C29" s="297">
        <f t="shared" si="6"/>
        <v>-20586109.667946395</v>
      </c>
      <c r="D29" s="297">
        <v>0</v>
      </c>
      <c r="E29" s="297">
        <f>'F- CFyU'!G28</f>
        <v>728160.35765862465</v>
      </c>
      <c r="F29" s="297">
        <f t="shared" si="7"/>
        <v>728160.35765862465</v>
      </c>
      <c r="G29" s="424">
        <f t="shared" si="8"/>
        <v>21314270.025605019</v>
      </c>
      <c r="H29" s="328">
        <f t="shared" si="9"/>
        <v>3883558.6141502298</v>
      </c>
      <c r="I29" s="231"/>
      <c r="J29" s="160" t="s">
        <v>968</v>
      </c>
      <c r="K29" s="655" t="s">
        <v>969</v>
      </c>
      <c r="L29" s="64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4.25" customHeight="1">
      <c r="A30" s="451"/>
      <c r="B30" s="440"/>
      <c r="C30" s="297"/>
      <c r="D30" s="297"/>
      <c r="E30" s="297"/>
      <c r="F30" s="297"/>
      <c r="G30" s="424"/>
      <c r="H30" s="328"/>
      <c r="I30" s="231"/>
      <c r="J30" s="549" t="s">
        <v>970</v>
      </c>
      <c r="K30" s="458" t="s">
        <v>971</v>
      </c>
      <c r="L30" s="459" t="str">
        <f>IF((H12-E12-F12)=G31,"OK","MAL")</f>
        <v>OK</v>
      </c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4.25" customHeight="1">
      <c r="A31" s="452" t="s">
        <v>794</v>
      </c>
      <c r="B31" s="453">
        <f t="shared" ref="B31:G31" si="10">SUM(B24:B29)</f>
        <v>3115374.3402736075</v>
      </c>
      <c r="C31" s="474">
        <f t="shared" si="10"/>
        <v>3115374.3402736075</v>
      </c>
      <c r="D31" s="474">
        <f t="shared" si="10"/>
        <v>0</v>
      </c>
      <c r="E31" s="474">
        <f t="shared" si="10"/>
        <v>6998932.9544238392</v>
      </c>
      <c r="F31" s="474">
        <f t="shared" si="10"/>
        <v>6998932.9544238392</v>
      </c>
      <c r="G31" s="550">
        <f t="shared" si="10"/>
        <v>3883558.6141502298</v>
      </c>
      <c r="H31" s="454">
        <v>0</v>
      </c>
      <c r="I31" s="231"/>
      <c r="J31" s="551">
        <f>'F- CFyU'!H28-'F- CFyU'!H7-'F- CFyU'!H8+'F- CFyU'!H14-'F- CFyU'!H25+'F- CFyU'!H15</f>
        <v>3883558.6141502345</v>
      </c>
      <c r="K31" s="458" t="s">
        <v>972</v>
      </c>
      <c r="L31" s="459" t="str">
        <f>IF(('F- CFyU'!H28-'F- CFyU'!H7-'F- CFyU'!H8+'F- CFyU'!H14-'F- CFyU'!H25+'F- CFyU'!H15)='F- Form'!G31,"OK","MAL")</f>
        <v>OK</v>
      </c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4.25" customHeight="1">
      <c r="A32" s="231"/>
      <c r="B32" s="231"/>
      <c r="C32" s="231"/>
      <c r="D32" s="231"/>
      <c r="E32" s="231"/>
      <c r="F32" s="231"/>
      <c r="G32" s="231"/>
      <c r="H32" s="231"/>
      <c r="I32" s="231"/>
      <c r="J32" s="552">
        <f>J31-G31</f>
        <v>4.6566128730773926E-9</v>
      </c>
      <c r="K32" s="458" t="s">
        <v>973</v>
      </c>
      <c r="L32" s="459" t="str">
        <f>IF('F-CRes'!G14=G31,"OK","MAL")</f>
        <v>OK</v>
      </c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4.25" customHeight="1">
      <c r="A33" s="231"/>
      <c r="B33" s="231"/>
      <c r="C33" s="231"/>
      <c r="D33" s="231"/>
      <c r="E33" s="231"/>
      <c r="F33" s="231"/>
      <c r="G33" s="553"/>
      <c r="H33" s="231"/>
      <c r="I33" s="231"/>
      <c r="J33" s="231"/>
      <c r="K33" s="458" t="s">
        <v>974</v>
      </c>
      <c r="L33" s="459" t="str">
        <f>IF(('F-Balance'!G33+'F-Balance'!G34)='F- Form'!G31,"OK","MAL")</f>
        <v>OK</v>
      </c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4.25" customHeight="1">
      <c r="A34" s="231"/>
      <c r="B34" s="231"/>
      <c r="C34" s="248" t="s">
        <v>795</v>
      </c>
      <c r="D34" s="455">
        <f>G31</f>
        <v>3883558.6141502298</v>
      </c>
      <c r="E34" s="231" t="s">
        <v>975</v>
      </c>
      <c r="F34" s="231"/>
      <c r="G34" s="231"/>
      <c r="H34" s="231"/>
      <c r="I34" s="231"/>
      <c r="J34" s="231"/>
      <c r="K34" s="458" t="s">
        <v>976</v>
      </c>
      <c r="L34" s="459" t="str">
        <f>IF(('F- CFyU'!H10-'F- CFyU'!H16-'F- CFyU'!H19-'F- CFyU'!H17)=G31,"OK","MAL")</f>
        <v>MAL</v>
      </c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4.25" customHeight="1">
      <c r="A35" s="231"/>
      <c r="B35" s="231"/>
      <c r="C35" s="248" t="s">
        <v>796</v>
      </c>
      <c r="D35" s="302">
        <f>4+(-H28)/G29</f>
        <v>4.8177953732647243</v>
      </c>
      <c r="E35" s="231" t="s">
        <v>977</v>
      </c>
      <c r="F35" s="231"/>
      <c r="G35" s="231"/>
      <c r="H35" s="231"/>
      <c r="I35" s="231"/>
      <c r="J35" s="231"/>
      <c r="K35" s="655" t="s">
        <v>978</v>
      </c>
      <c r="L35" s="64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4.25" customHeight="1">
      <c r="A36" s="231"/>
      <c r="B36" s="231"/>
      <c r="C36" s="248" t="s">
        <v>979</v>
      </c>
      <c r="D36" s="539">
        <f>IRR(G24:G29)</f>
        <v>3.5382002100414978E-2</v>
      </c>
      <c r="E36" s="231"/>
      <c r="F36" s="231"/>
      <c r="G36" s="231"/>
      <c r="H36" s="231"/>
      <c r="I36" s="231"/>
      <c r="J36" s="231"/>
      <c r="K36" s="458" t="s">
        <v>980</v>
      </c>
      <c r="L36" s="459" t="str">
        <f>IF(SUM('F-Balance'!B35:G35)=SUM('F-Balance'!B24:G24),"OK","MAL")</f>
        <v>OK</v>
      </c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3.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3.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3.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3.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3.5" customHeight="1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3.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3.5" customHeight="1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3.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3.5" customHeight="1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3.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3.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3.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3.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3.5" customHeight="1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3.5" customHeight="1">
      <c r="A51" s="231"/>
      <c r="B51" s="231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3.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3.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3.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3.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3.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3.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3.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3.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3.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3.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3.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3.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3.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3.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3.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3.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3.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3.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3.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3.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3.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3.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3.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3.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3.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3.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3.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3.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3.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3.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3.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3.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3.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3.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3.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3.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3.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3.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3.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3.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3.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3.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3.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3.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3.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3.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3.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3.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3.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3.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3.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3.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3.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3.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3.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3.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3.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3.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3.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3.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3.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3.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3.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3.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3.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3.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3.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3.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3.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3.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3.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3.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3.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3.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3.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3.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3.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3.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3.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3.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3.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3.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3.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3.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3.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3.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3.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3.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3.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3.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3.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3.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3.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3.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3.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3.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3.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3.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3.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3.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3.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3.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3.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3.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3.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3.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3.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3.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3.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3.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3.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3.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3.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3.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3.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3.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3.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3.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3.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3.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3.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3.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3.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3.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3.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3.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3.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3.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3.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3.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3.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3.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3.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3.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3.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3.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3.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3.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3.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3.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3.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3.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3.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3.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3.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3.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3.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3.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3.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3.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3.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3.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3.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3.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3.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3.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3.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3.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3.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3.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3.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3.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3.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3.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3.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3.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3.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3.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3.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3.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3.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3.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3.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3.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3.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3.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3.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3.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3.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3.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3.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3.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3.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3.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3.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</sheetData>
  <mergeCells count="4">
    <mergeCell ref="K23:L23"/>
    <mergeCell ref="K24:L24"/>
    <mergeCell ref="K29:L29"/>
    <mergeCell ref="K35:L35"/>
  </mergeCells>
  <conditionalFormatting sqref="L25">
    <cfRule type="cellIs" dxfId="19" priority="1" operator="equal">
      <formula>"OK"</formula>
    </cfRule>
  </conditionalFormatting>
  <conditionalFormatting sqref="L25">
    <cfRule type="cellIs" dxfId="18" priority="2" operator="equal">
      <formula>"MAL"</formula>
    </cfRule>
  </conditionalFormatting>
  <conditionalFormatting sqref="L26">
    <cfRule type="cellIs" dxfId="17" priority="3" operator="equal">
      <formula>"OK"</formula>
    </cfRule>
  </conditionalFormatting>
  <conditionalFormatting sqref="L26">
    <cfRule type="cellIs" dxfId="16" priority="4" operator="equal">
      <formula>"MAL"</formula>
    </cfRule>
  </conditionalFormatting>
  <conditionalFormatting sqref="L27">
    <cfRule type="cellIs" dxfId="15" priority="5" operator="equal">
      <formula>"OK"</formula>
    </cfRule>
  </conditionalFormatting>
  <conditionalFormatting sqref="L27">
    <cfRule type="cellIs" dxfId="14" priority="6" operator="equal">
      <formula>"MAL"</formula>
    </cfRule>
  </conditionalFormatting>
  <conditionalFormatting sqref="L28">
    <cfRule type="cellIs" dxfId="13" priority="7" operator="equal">
      <formula>"OK"</formula>
    </cfRule>
  </conditionalFormatting>
  <conditionalFormatting sqref="L28">
    <cfRule type="cellIs" dxfId="12" priority="8" operator="equal">
      <formula>"MAL"</formula>
    </cfRule>
  </conditionalFormatting>
  <conditionalFormatting sqref="L30">
    <cfRule type="cellIs" dxfId="11" priority="9" operator="equal">
      <formula>"OK"</formula>
    </cfRule>
  </conditionalFormatting>
  <conditionalFormatting sqref="L30">
    <cfRule type="cellIs" dxfId="10" priority="10" operator="equal">
      <formula>"MAL"</formula>
    </cfRule>
  </conditionalFormatting>
  <conditionalFormatting sqref="L31">
    <cfRule type="cellIs" dxfId="9" priority="11" operator="equal">
      <formula>"OK"</formula>
    </cfRule>
  </conditionalFormatting>
  <conditionalFormatting sqref="L31">
    <cfRule type="cellIs" dxfId="8" priority="12" operator="equal">
      <formula>"MAL"</formula>
    </cfRule>
  </conditionalFormatting>
  <conditionalFormatting sqref="L32">
    <cfRule type="cellIs" dxfId="7" priority="13" operator="equal">
      <formula>"OK"</formula>
    </cfRule>
  </conditionalFormatting>
  <conditionalFormatting sqref="L32">
    <cfRule type="cellIs" dxfId="6" priority="14" operator="equal">
      <formula>"MAL"</formula>
    </cfRule>
  </conditionalFormatting>
  <conditionalFormatting sqref="L33">
    <cfRule type="cellIs" dxfId="5" priority="15" operator="equal">
      <formula>"OK"</formula>
    </cfRule>
  </conditionalFormatting>
  <conditionalFormatting sqref="L33">
    <cfRule type="cellIs" dxfId="4" priority="16" operator="equal">
      <formula>"MAL"</formula>
    </cfRule>
  </conditionalFormatting>
  <conditionalFormatting sqref="L34">
    <cfRule type="cellIs" dxfId="3" priority="17" operator="equal">
      <formula>"OK"</formula>
    </cfRule>
  </conditionalFormatting>
  <conditionalFormatting sqref="L34">
    <cfRule type="cellIs" dxfId="2" priority="18" operator="equal">
      <formula>"MAL"</formula>
    </cfRule>
  </conditionalFormatting>
  <conditionalFormatting sqref="L36">
    <cfRule type="cellIs" dxfId="1" priority="19" operator="equal">
      <formula>"OK"</formula>
    </cfRule>
  </conditionalFormatting>
  <conditionalFormatting sqref="L36">
    <cfRule type="cellIs" dxfId="0" priority="20" operator="equal">
      <formula>"MAL"</formula>
    </cfRule>
  </conditionalFormatting>
  <pageMargins left="0.25" right="0.25" top="0.75" bottom="0.75" header="0" footer="0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  <pageSetUpPr fitToPage="1"/>
  </sheetPr>
  <dimension ref="A1:M508"/>
  <sheetViews>
    <sheetView showGridLines="0" tabSelected="1" workbookViewId="0">
      <selection sqref="A1:B1"/>
    </sheetView>
  </sheetViews>
  <sheetFormatPr defaultColWidth="14.44140625" defaultRowHeight="15" customHeight="1"/>
  <cols>
    <col min="1" max="1" width="23" customWidth="1"/>
    <col min="2" max="2" width="14.44140625" customWidth="1"/>
    <col min="3" max="6" width="19.5546875" customWidth="1"/>
    <col min="7" max="7" width="19.6640625" customWidth="1"/>
    <col min="10" max="10" width="27.6640625" customWidth="1"/>
  </cols>
  <sheetData>
    <row r="1" spans="1:7" ht="13.2">
      <c r="A1" s="596" t="s">
        <v>123</v>
      </c>
      <c r="B1" s="572"/>
    </row>
    <row r="3" spans="1:7" ht="15.6">
      <c r="B3" s="62"/>
      <c r="C3" s="63" t="s">
        <v>124</v>
      </c>
      <c r="D3" s="64" t="s">
        <v>125</v>
      </c>
      <c r="E3" s="64" t="s">
        <v>126</v>
      </c>
      <c r="F3" s="64" t="s">
        <v>127</v>
      </c>
      <c r="G3" s="65" t="s">
        <v>128</v>
      </c>
    </row>
    <row r="4" spans="1:7" ht="13.2">
      <c r="B4" s="603" t="s">
        <v>129</v>
      </c>
      <c r="C4" s="619">
        <v>11880</v>
      </c>
      <c r="D4" s="600">
        <v>14850</v>
      </c>
      <c r="E4" s="600">
        <v>14850</v>
      </c>
      <c r="F4" s="600">
        <v>14850</v>
      </c>
      <c r="G4" s="600">
        <v>14850</v>
      </c>
    </row>
    <row r="5" spans="1:7" ht="13.2">
      <c r="B5" s="604"/>
      <c r="C5" s="602"/>
      <c r="D5" s="575"/>
      <c r="E5" s="575"/>
      <c r="F5" s="575"/>
      <c r="G5" s="575"/>
    </row>
    <row r="6" spans="1:7" ht="15.6">
      <c r="B6" s="66" t="s">
        <v>130</v>
      </c>
      <c r="C6" s="67">
        <v>11880</v>
      </c>
      <c r="D6" s="68">
        <v>14850</v>
      </c>
      <c r="E6" s="69">
        <v>14850</v>
      </c>
      <c r="F6" s="69">
        <v>14850</v>
      </c>
      <c r="G6" s="70">
        <v>14850</v>
      </c>
    </row>
    <row r="7" spans="1:7" ht="13.2">
      <c r="B7" s="53"/>
      <c r="C7" s="53"/>
      <c r="D7" s="53"/>
      <c r="E7" s="53"/>
      <c r="F7" s="53"/>
      <c r="G7" s="53"/>
    </row>
    <row r="8" spans="1:7" ht="13.2">
      <c r="B8" s="53"/>
      <c r="C8" s="53"/>
      <c r="D8" s="53"/>
      <c r="E8" s="53"/>
      <c r="F8" s="53"/>
      <c r="G8" s="53"/>
    </row>
    <row r="9" spans="1:7" ht="15.6">
      <c r="B9" s="62" t="s">
        <v>131</v>
      </c>
      <c r="C9" s="63" t="s">
        <v>132</v>
      </c>
      <c r="D9" s="64" t="s">
        <v>133</v>
      </c>
      <c r="E9" s="64" t="s">
        <v>134</v>
      </c>
      <c r="F9" s="64" t="s">
        <v>135</v>
      </c>
      <c r="G9" s="65" t="s">
        <v>136</v>
      </c>
    </row>
    <row r="10" spans="1:7" ht="13.2">
      <c r="B10" s="603" t="s">
        <v>129</v>
      </c>
      <c r="C10" s="601">
        <v>1427.2727272727273</v>
      </c>
      <c r="D10" s="601">
        <v>1427.2727272727273</v>
      </c>
      <c r="E10" s="601">
        <v>1427.2727272727273</v>
      </c>
      <c r="F10" s="601">
        <v>1427.2727272727273</v>
      </c>
      <c r="G10" s="601">
        <v>1427.2727272727273</v>
      </c>
    </row>
    <row r="11" spans="1:7" ht="13.2">
      <c r="B11" s="604"/>
      <c r="C11" s="602"/>
      <c r="D11" s="602"/>
      <c r="E11" s="602"/>
      <c r="F11" s="602"/>
      <c r="G11" s="602"/>
    </row>
    <row r="12" spans="1:7" ht="15.6">
      <c r="B12" s="66" t="s">
        <v>137</v>
      </c>
      <c r="C12" s="71">
        <v>1427.2727272727273</v>
      </c>
      <c r="D12" s="72">
        <v>1427.2727272727273</v>
      </c>
      <c r="E12" s="72">
        <v>1427.2727272727273</v>
      </c>
      <c r="F12" s="72">
        <v>1427.2727272727273</v>
      </c>
      <c r="G12" s="72">
        <v>1427.2727272727273</v>
      </c>
    </row>
    <row r="13" spans="1:7" ht="15.6">
      <c r="B13" s="66"/>
      <c r="C13" s="67"/>
      <c r="D13" s="68"/>
      <c r="E13" s="68"/>
      <c r="F13" s="68"/>
      <c r="G13" s="73"/>
    </row>
    <row r="14" spans="1:7" ht="15.6">
      <c r="B14" s="62" t="s">
        <v>138</v>
      </c>
      <c r="C14" s="63" t="s">
        <v>139</v>
      </c>
      <c r="D14" s="64" t="s">
        <v>140</v>
      </c>
      <c r="E14" s="64" t="s">
        <v>141</v>
      </c>
      <c r="F14" s="64" t="s">
        <v>142</v>
      </c>
      <c r="G14" s="65" t="s">
        <v>143</v>
      </c>
    </row>
    <row r="15" spans="1:7" ht="13.2">
      <c r="B15" s="603" t="s">
        <v>129</v>
      </c>
      <c r="C15" s="601">
        <v>16956000</v>
      </c>
      <c r="D15" s="601">
        <v>21195000</v>
      </c>
      <c r="E15" s="601">
        <v>21195000</v>
      </c>
      <c r="F15" s="601">
        <v>21195000</v>
      </c>
      <c r="G15" s="601">
        <v>21195000</v>
      </c>
    </row>
    <row r="16" spans="1:7" ht="13.2">
      <c r="B16" s="604"/>
      <c r="C16" s="602"/>
      <c r="D16" s="602"/>
      <c r="E16" s="602"/>
      <c r="F16" s="602"/>
      <c r="G16" s="602"/>
    </row>
    <row r="17" spans="1:12" ht="15.6">
      <c r="B17" s="66" t="s">
        <v>130</v>
      </c>
      <c r="C17" s="74">
        <v>16956000</v>
      </c>
      <c r="D17" s="75">
        <v>21195000</v>
      </c>
      <c r="E17" s="75">
        <v>21195000</v>
      </c>
      <c r="F17" s="75">
        <v>21195000</v>
      </c>
      <c r="G17" s="76">
        <v>21195000</v>
      </c>
    </row>
    <row r="20" spans="1:12" ht="13.2">
      <c r="A20" s="596" t="s">
        <v>144</v>
      </c>
      <c r="B20" s="572"/>
    </row>
    <row r="21" spans="1:12" ht="15.75" customHeight="1"/>
    <row r="22" spans="1:12" ht="15.75" customHeight="1"/>
    <row r="23" spans="1:12" ht="15.75" customHeight="1">
      <c r="B23" s="77" t="s">
        <v>145</v>
      </c>
      <c r="C23" s="78" t="s">
        <v>146</v>
      </c>
      <c r="D23" s="78" t="s">
        <v>147</v>
      </c>
      <c r="E23" s="78" t="s">
        <v>148</v>
      </c>
      <c r="F23" s="79" t="s">
        <v>149</v>
      </c>
      <c r="G23" s="80"/>
      <c r="H23" s="77" t="s">
        <v>150</v>
      </c>
      <c r="I23" s="78" t="s">
        <v>147</v>
      </c>
      <c r="J23" s="78" t="s">
        <v>104</v>
      </c>
      <c r="K23" s="78" t="s">
        <v>151</v>
      </c>
      <c r="L23" s="79" t="s">
        <v>149</v>
      </c>
    </row>
    <row r="24" spans="1:12" ht="15.75" customHeight="1">
      <c r="B24" s="81" t="s">
        <v>152</v>
      </c>
      <c r="C24" s="82">
        <v>1</v>
      </c>
      <c r="D24" s="83">
        <v>100000</v>
      </c>
      <c r="E24" s="83">
        <v>100000</v>
      </c>
      <c r="F24" s="84" t="s">
        <v>152</v>
      </c>
      <c r="G24" s="85"/>
      <c r="H24" s="86" t="s">
        <v>153</v>
      </c>
      <c r="I24" s="83">
        <v>1000</v>
      </c>
      <c r="J24" s="83">
        <v>2</v>
      </c>
      <c r="K24" s="83">
        <v>2000</v>
      </c>
      <c r="L24" s="84" t="s">
        <v>154</v>
      </c>
    </row>
    <row r="25" spans="1:12" ht="15.75" customHeight="1">
      <c r="B25" s="87" t="s">
        <v>155</v>
      </c>
      <c r="C25" s="88">
        <v>1</v>
      </c>
      <c r="D25" s="89">
        <v>800</v>
      </c>
      <c r="E25" s="89">
        <v>32000</v>
      </c>
      <c r="F25" s="90" t="s">
        <v>156</v>
      </c>
      <c r="G25" s="85"/>
      <c r="H25" s="91" t="s">
        <v>157</v>
      </c>
      <c r="I25" s="89">
        <v>600</v>
      </c>
      <c r="J25" s="89">
        <v>10</v>
      </c>
      <c r="K25" s="89">
        <v>6000</v>
      </c>
      <c r="L25" s="90" t="s">
        <v>158</v>
      </c>
    </row>
    <row r="26" spans="1:12" ht="15.75" customHeight="1">
      <c r="B26" s="87" t="s">
        <v>159</v>
      </c>
      <c r="C26" s="88">
        <v>1</v>
      </c>
      <c r="D26" s="89">
        <v>5000</v>
      </c>
      <c r="E26" s="89">
        <v>5000</v>
      </c>
      <c r="F26" s="90" t="s">
        <v>159</v>
      </c>
      <c r="G26" s="85"/>
      <c r="H26" s="91" t="s">
        <v>160</v>
      </c>
      <c r="I26" s="89">
        <v>1000</v>
      </c>
      <c r="J26" s="89">
        <v>10</v>
      </c>
      <c r="K26" s="89">
        <v>10000</v>
      </c>
      <c r="L26" s="90"/>
    </row>
    <row r="27" spans="1:12" ht="15.75" customHeight="1">
      <c r="B27" s="87" t="s">
        <v>161</v>
      </c>
      <c r="C27" s="88">
        <v>3</v>
      </c>
      <c r="D27" s="89">
        <v>100000</v>
      </c>
      <c r="E27" s="89">
        <v>300000</v>
      </c>
      <c r="F27" s="90" t="s">
        <v>161</v>
      </c>
      <c r="G27" s="85"/>
      <c r="H27" s="91" t="s">
        <v>162</v>
      </c>
      <c r="I27" s="89">
        <v>8000</v>
      </c>
      <c r="J27" s="89">
        <v>3</v>
      </c>
      <c r="K27" s="89">
        <v>24000</v>
      </c>
      <c r="L27" s="90" t="s">
        <v>163</v>
      </c>
    </row>
    <row r="28" spans="1:12" ht="15.75" customHeight="1">
      <c r="B28" s="87" t="s">
        <v>164</v>
      </c>
      <c r="C28" s="88">
        <v>1</v>
      </c>
      <c r="D28" s="89">
        <v>20000</v>
      </c>
      <c r="E28" s="89">
        <v>20000</v>
      </c>
      <c r="F28" s="90" t="s">
        <v>164</v>
      </c>
      <c r="G28" s="85"/>
      <c r="H28" s="91" t="s">
        <v>165</v>
      </c>
      <c r="I28" s="89">
        <v>5000</v>
      </c>
      <c r="J28" s="89">
        <v>2</v>
      </c>
      <c r="K28" s="89">
        <v>10000</v>
      </c>
      <c r="L28" s="90"/>
    </row>
    <row r="29" spans="1:12" ht="15.75" customHeight="1">
      <c r="B29" s="87" t="s">
        <v>166</v>
      </c>
      <c r="C29" s="88">
        <v>1</v>
      </c>
      <c r="D29" s="89">
        <v>9000</v>
      </c>
      <c r="E29" s="89">
        <v>9000</v>
      </c>
      <c r="F29" s="90" t="s">
        <v>166</v>
      </c>
      <c r="G29" s="85"/>
      <c r="H29" s="91" t="s">
        <v>167</v>
      </c>
      <c r="I29" s="89">
        <v>100000</v>
      </c>
      <c r="J29" s="89">
        <v>1</v>
      </c>
      <c r="K29" s="89">
        <v>100000</v>
      </c>
      <c r="L29" s="90"/>
    </row>
    <row r="30" spans="1:12" ht="15.75" customHeight="1">
      <c r="B30" s="87" t="s">
        <v>168</v>
      </c>
      <c r="C30" s="88">
        <v>1</v>
      </c>
      <c r="D30" s="89">
        <v>20000</v>
      </c>
      <c r="E30" s="89">
        <v>20000</v>
      </c>
      <c r="F30" s="90" t="s">
        <v>169</v>
      </c>
      <c r="G30" s="85"/>
      <c r="H30" s="91" t="s">
        <v>166</v>
      </c>
      <c r="I30" s="89">
        <v>9000</v>
      </c>
      <c r="J30" s="89">
        <v>1</v>
      </c>
      <c r="K30" s="89">
        <v>9000</v>
      </c>
      <c r="L30" s="90"/>
    </row>
    <row r="31" spans="1:12" ht="15.75" customHeight="1">
      <c r="B31" s="87" t="s">
        <v>170</v>
      </c>
      <c r="C31" s="88">
        <v>1</v>
      </c>
      <c r="D31" s="89">
        <v>50000</v>
      </c>
      <c r="E31" s="89">
        <v>50000</v>
      </c>
      <c r="F31" s="90" t="s">
        <v>169</v>
      </c>
      <c r="G31" s="85"/>
      <c r="H31" s="91" t="s">
        <v>171</v>
      </c>
      <c r="I31" s="89">
        <v>1500</v>
      </c>
      <c r="J31" s="89">
        <v>1</v>
      </c>
      <c r="K31" s="89">
        <v>1500</v>
      </c>
      <c r="L31" s="90"/>
    </row>
    <row r="32" spans="1:12" ht="15.75" customHeight="1">
      <c r="B32" s="87" t="s">
        <v>172</v>
      </c>
      <c r="C32" s="88">
        <v>1</v>
      </c>
      <c r="D32" s="89">
        <v>5000</v>
      </c>
      <c r="E32" s="89">
        <v>5000</v>
      </c>
      <c r="F32" s="90" t="s">
        <v>173</v>
      </c>
      <c r="G32" s="85"/>
      <c r="H32" s="91"/>
      <c r="I32" s="89"/>
      <c r="J32" s="89"/>
      <c r="K32" s="89"/>
      <c r="L32" s="90"/>
    </row>
    <row r="33" spans="2:12" ht="15.75" customHeight="1">
      <c r="B33" s="92" t="s">
        <v>174</v>
      </c>
      <c r="C33" s="93">
        <v>1</v>
      </c>
      <c r="D33" s="94">
        <v>45000</v>
      </c>
      <c r="E33" s="94">
        <v>45000</v>
      </c>
      <c r="F33" s="95" t="s">
        <v>174</v>
      </c>
      <c r="G33" s="85"/>
      <c r="H33" s="96" t="s">
        <v>175</v>
      </c>
      <c r="I33" s="94">
        <v>30000</v>
      </c>
      <c r="J33" s="94">
        <v>1</v>
      </c>
      <c r="K33" s="94">
        <v>30000</v>
      </c>
      <c r="L33" s="95"/>
    </row>
    <row r="34" spans="2:12" ht="15.75" customHeight="1">
      <c r="B34" s="97"/>
      <c r="C34" s="98" t="s">
        <v>176</v>
      </c>
      <c r="D34" s="99"/>
      <c r="E34" s="99">
        <v>554000</v>
      </c>
      <c r="F34" s="99"/>
      <c r="G34" s="100"/>
      <c r="H34" s="98" t="s">
        <v>177</v>
      </c>
      <c r="I34" s="99"/>
      <c r="J34" s="99"/>
      <c r="K34" s="99">
        <v>162500</v>
      </c>
      <c r="L34" s="99"/>
    </row>
    <row r="35" spans="2:12" ht="15.75" customHeight="1">
      <c r="B35" s="97"/>
      <c r="C35" s="98" t="s">
        <v>178</v>
      </c>
      <c r="D35" s="99"/>
      <c r="E35" s="99">
        <v>32000</v>
      </c>
      <c r="F35" s="99"/>
      <c r="G35" s="97"/>
      <c r="H35" s="97"/>
      <c r="I35" s="97"/>
      <c r="J35" s="97"/>
      <c r="K35" s="97"/>
      <c r="L35" s="97"/>
    </row>
    <row r="36" spans="2:12" ht="15.75" customHeight="1"/>
    <row r="37" spans="2:12" ht="15.75" customHeight="1">
      <c r="C37" s="53" t="s">
        <v>179</v>
      </c>
      <c r="D37" t="s">
        <v>180</v>
      </c>
    </row>
    <row r="38" spans="2:12" ht="15.75" customHeight="1">
      <c r="B38" s="101" t="s">
        <v>181</v>
      </c>
      <c r="C38" s="99">
        <v>400000</v>
      </c>
      <c r="D38" s="102">
        <v>7502726</v>
      </c>
      <c r="E38" s="99"/>
      <c r="F38" s="99" t="s">
        <v>182</v>
      </c>
    </row>
    <row r="39" spans="2:12" ht="15.75" customHeight="1"/>
    <row r="40" spans="2:12" ht="15.75" customHeight="1">
      <c r="C40" s="53" t="s">
        <v>183</v>
      </c>
      <c r="D40" s="53" t="s">
        <v>184</v>
      </c>
      <c r="E40" s="53" t="s">
        <v>185</v>
      </c>
    </row>
    <row r="41" spans="2:12" ht="15.75" customHeight="1">
      <c r="B41" s="103" t="s">
        <v>186</v>
      </c>
      <c r="C41" s="104" t="s">
        <v>187</v>
      </c>
      <c r="D41" s="105">
        <v>900</v>
      </c>
      <c r="E41" s="106">
        <v>8897274</v>
      </c>
    </row>
    <row r="42" spans="2:12" ht="15.75" customHeight="1"/>
    <row r="43" spans="2:12" ht="15.75" customHeight="1">
      <c r="B43" s="107"/>
      <c r="C43" s="108"/>
      <c r="D43" s="108"/>
      <c r="E43" s="108"/>
      <c r="F43" s="108"/>
      <c r="G43" s="109"/>
    </row>
    <row r="44" spans="2:12" ht="15.75" customHeight="1">
      <c r="B44" s="597" t="s">
        <v>188</v>
      </c>
      <c r="C44" s="598"/>
      <c r="D44" s="598"/>
      <c r="E44" s="598"/>
      <c r="F44" s="598"/>
      <c r="G44" s="599"/>
      <c r="H44" s="110"/>
    </row>
    <row r="45" spans="2:12" ht="15.75" customHeight="1">
      <c r="B45" s="111" t="s">
        <v>189</v>
      </c>
      <c r="C45" s="112" t="s">
        <v>190</v>
      </c>
      <c r="D45" s="112" t="s">
        <v>104</v>
      </c>
      <c r="E45" s="112" t="s">
        <v>191</v>
      </c>
      <c r="F45" s="112" t="s">
        <v>192</v>
      </c>
      <c r="G45" s="113" t="s">
        <v>130</v>
      </c>
      <c r="H45" s="110"/>
    </row>
    <row r="46" spans="2:12" ht="15.75" customHeight="1">
      <c r="B46" s="114" t="s">
        <v>193</v>
      </c>
      <c r="C46" s="115" t="s">
        <v>194</v>
      </c>
      <c r="D46" s="115">
        <v>7</v>
      </c>
      <c r="E46" s="115" t="s">
        <v>195</v>
      </c>
      <c r="F46" s="115">
        <v>37065</v>
      </c>
      <c r="G46" s="115">
        <v>259455</v>
      </c>
      <c r="H46" s="110"/>
    </row>
    <row r="47" spans="2:12" ht="15.75" customHeight="1">
      <c r="B47" s="114" t="s">
        <v>196</v>
      </c>
      <c r="C47" s="115" t="s">
        <v>197</v>
      </c>
      <c r="D47" s="115">
        <v>17</v>
      </c>
      <c r="E47" s="115" t="s">
        <v>195</v>
      </c>
      <c r="F47" s="115">
        <v>5960</v>
      </c>
      <c r="G47" s="115">
        <v>101320</v>
      </c>
      <c r="H47" s="116"/>
    </row>
    <row r="48" spans="2:12" ht="15.75" customHeight="1">
      <c r="B48" s="114" t="s">
        <v>198</v>
      </c>
      <c r="C48" s="115" t="s">
        <v>199</v>
      </c>
      <c r="D48" s="115">
        <v>7</v>
      </c>
      <c r="E48" s="115" t="s">
        <v>195</v>
      </c>
      <c r="F48" s="115">
        <v>4000</v>
      </c>
      <c r="G48" s="115">
        <v>28000</v>
      </c>
      <c r="H48" s="116"/>
    </row>
    <row r="49" spans="2:8" ht="15.75" customHeight="1">
      <c r="B49" s="114" t="s">
        <v>200</v>
      </c>
      <c r="C49" s="115" t="s">
        <v>201</v>
      </c>
      <c r="D49" s="115">
        <v>7</v>
      </c>
      <c r="E49" s="115" t="s">
        <v>195</v>
      </c>
      <c r="F49" s="115">
        <v>513.76</v>
      </c>
      <c r="G49" s="115">
        <v>3596.3199999999997</v>
      </c>
      <c r="H49" s="116"/>
    </row>
    <row r="50" spans="2:8" ht="15.75" customHeight="1">
      <c r="B50" s="114" t="s">
        <v>202</v>
      </c>
      <c r="C50" s="115" t="s">
        <v>203</v>
      </c>
      <c r="D50" s="115">
        <v>4</v>
      </c>
      <c r="E50" s="115" t="s">
        <v>195</v>
      </c>
      <c r="F50" s="115">
        <v>5000</v>
      </c>
      <c r="G50" s="115">
        <v>20000</v>
      </c>
      <c r="H50" s="110"/>
    </row>
    <row r="51" spans="2:8" ht="15.75" customHeight="1">
      <c r="B51" s="114" t="s">
        <v>204</v>
      </c>
      <c r="C51" s="115" t="s">
        <v>205</v>
      </c>
      <c r="D51" s="115">
        <v>4</v>
      </c>
      <c r="E51" s="115" t="s">
        <v>195</v>
      </c>
      <c r="F51" s="115">
        <v>8800</v>
      </c>
      <c r="G51" s="115">
        <v>35200</v>
      </c>
      <c r="H51" s="116"/>
    </row>
    <row r="52" spans="2:8" ht="15.75" customHeight="1">
      <c r="B52" s="114" t="s">
        <v>206</v>
      </c>
      <c r="C52" s="115" t="s">
        <v>207</v>
      </c>
      <c r="D52" s="115">
        <v>1</v>
      </c>
      <c r="E52" s="115" t="s">
        <v>208</v>
      </c>
      <c r="F52" s="115">
        <v>39862</v>
      </c>
      <c r="G52" s="115">
        <v>39862</v>
      </c>
      <c r="H52" s="116"/>
    </row>
    <row r="53" spans="2:8" ht="15.75" customHeight="1">
      <c r="B53" s="114" t="s">
        <v>209</v>
      </c>
      <c r="C53" s="115" t="s">
        <v>210</v>
      </c>
      <c r="D53" s="115">
        <v>7</v>
      </c>
      <c r="E53" s="115" t="s">
        <v>211</v>
      </c>
      <c r="F53" s="115">
        <v>1200</v>
      </c>
      <c r="G53" s="115">
        <v>8400</v>
      </c>
      <c r="H53" s="116"/>
    </row>
    <row r="54" spans="2:8" ht="15.75" customHeight="1">
      <c r="B54" s="114" t="s">
        <v>212</v>
      </c>
      <c r="C54" s="115" t="s">
        <v>213</v>
      </c>
      <c r="D54" s="115">
        <v>15</v>
      </c>
      <c r="E54" s="115" t="s">
        <v>214</v>
      </c>
      <c r="F54" s="115">
        <v>1819</v>
      </c>
      <c r="G54" s="115">
        <v>27285</v>
      </c>
      <c r="H54" s="116"/>
    </row>
    <row r="55" spans="2:8" ht="15.75" customHeight="1">
      <c r="B55" s="114" t="s">
        <v>215</v>
      </c>
      <c r="C55" s="115" t="s">
        <v>216</v>
      </c>
      <c r="D55" s="115">
        <v>5</v>
      </c>
      <c r="E55" s="115" t="s">
        <v>217</v>
      </c>
      <c r="F55" s="115">
        <v>8690</v>
      </c>
      <c r="G55" s="115">
        <v>43450</v>
      </c>
      <c r="H55" s="116"/>
    </row>
    <row r="56" spans="2:8" ht="15.75" customHeight="1">
      <c r="B56" s="114" t="s">
        <v>218</v>
      </c>
      <c r="C56" s="115" t="s">
        <v>219</v>
      </c>
      <c r="D56" s="115">
        <v>5</v>
      </c>
      <c r="E56" s="115" t="s">
        <v>217</v>
      </c>
      <c r="F56" s="115">
        <v>43730</v>
      </c>
      <c r="G56" s="115">
        <v>218650</v>
      </c>
      <c r="H56" s="116"/>
    </row>
    <row r="57" spans="2:8" ht="15.75" customHeight="1">
      <c r="B57" s="114" t="s">
        <v>220</v>
      </c>
      <c r="C57" s="115" t="s">
        <v>221</v>
      </c>
      <c r="D57" s="115">
        <v>2</v>
      </c>
      <c r="E57" s="115" t="s">
        <v>222</v>
      </c>
      <c r="F57" s="115">
        <v>3800</v>
      </c>
      <c r="G57" s="115">
        <v>7600</v>
      </c>
      <c r="H57" s="116"/>
    </row>
    <row r="58" spans="2:8" ht="15.75" customHeight="1">
      <c r="B58" s="114" t="s">
        <v>223</v>
      </c>
      <c r="C58" s="115" t="s">
        <v>224</v>
      </c>
      <c r="D58" s="115">
        <v>1</v>
      </c>
      <c r="E58" s="115" t="s">
        <v>222</v>
      </c>
      <c r="F58" s="115">
        <v>14000</v>
      </c>
      <c r="G58" s="115">
        <v>14000</v>
      </c>
      <c r="H58" s="116"/>
    </row>
    <row r="59" spans="2:8" ht="15.75" customHeight="1">
      <c r="B59" s="114" t="s">
        <v>225</v>
      </c>
      <c r="C59" s="115" t="s">
        <v>226</v>
      </c>
      <c r="D59" s="115">
        <v>4</v>
      </c>
      <c r="E59" s="115" t="s">
        <v>222</v>
      </c>
      <c r="F59" s="115">
        <v>6200</v>
      </c>
      <c r="G59" s="115">
        <v>24800</v>
      </c>
      <c r="H59" s="116"/>
    </row>
    <row r="60" spans="2:8" ht="15.75" customHeight="1">
      <c r="B60" s="117" t="s">
        <v>227</v>
      </c>
      <c r="C60" s="115" t="s">
        <v>228</v>
      </c>
      <c r="D60" s="115">
        <v>16</v>
      </c>
      <c r="E60" s="115" t="s">
        <v>222</v>
      </c>
      <c r="F60" s="115">
        <v>945</v>
      </c>
      <c r="G60" s="115">
        <v>15120</v>
      </c>
      <c r="H60" s="116"/>
    </row>
    <row r="61" spans="2:8" ht="15.75" customHeight="1">
      <c r="B61" s="117" t="s">
        <v>229</v>
      </c>
      <c r="C61" s="115" t="s">
        <v>230</v>
      </c>
      <c r="D61" s="115">
        <v>1</v>
      </c>
      <c r="E61" s="115" t="s">
        <v>208</v>
      </c>
      <c r="F61" s="115">
        <v>4000</v>
      </c>
      <c r="G61" s="115">
        <v>4000</v>
      </c>
      <c r="H61" s="116"/>
    </row>
    <row r="62" spans="2:8" ht="15.75" customHeight="1">
      <c r="B62" s="114" t="s">
        <v>231</v>
      </c>
      <c r="C62" s="115" t="s">
        <v>232</v>
      </c>
      <c r="D62" s="115">
        <v>2</v>
      </c>
      <c r="E62" s="115" t="s">
        <v>233</v>
      </c>
      <c r="F62" s="115">
        <v>60289</v>
      </c>
      <c r="G62" s="115">
        <v>120578</v>
      </c>
      <c r="H62" s="116"/>
    </row>
    <row r="63" spans="2:8" ht="15.75" customHeight="1">
      <c r="B63" s="114" t="s">
        <v>234</v>
      </c>
      <c r="C63" s="115" t="s">
        <v>235</v>
      </c>
      <c r="D63" s="115">
        <v>2</v>
      </c>
      <c r="E63" s="115" t="s">
        <v>236</v>
      </c>
      <c r="F63" s="115">
        <v>849</v>
      </c>
      <c r="G63" s="115">
        <v>1698</v>
      </c>
      <c r="H63" s="116"/>
    </row>
    <row r="64" spans="2:8" ht="15.75" customHeight="1">
      <c r="B64" s="114" t="s">
        <v>237</v>
      </c>
      <c r="C64" s="115" t="s">
        <v>235</v>
      </c>
      <c r="D64" s="115">
        <v>4</v>
      </c>
      <c r="E64" s="115" t="s">
        <v>238</v>
      </c>
      <c r="F64" s="115">
        <v>5892</v>
      </c>
      <c r="G64" s="115">
        <v>23568</v>
      </c>
      <c r="H64" s="116"/>
    </row>
    <row r="65" spans="2:8" ht="15.75" customHeight="1">
      <c r="B65" s="114" t="s">
        <v>239</v>
      </c>
      <c r="C65" s="115" t="s">
        <v>235</v>
      </c>
      <c r="D65" s="115">
        <v>4</v>
      </c>
      <c r="E65" s="115" t="s">
        <v>238</v>
      </c>
      <c r="F65" s="115">
        <v>6218</v>
      </c>
      <c r="G65" s="115">
        <v>24872</v>
      </c>
      <c r="H65" s="116"/>
    </row>
    <row r="66" spans="2:8" ht="15.75" customHeight="1">
      <c r="B66" s="114" t="s">
        <v>240</v>
      </c>
      <c r="C66" s="115" t="s">
        <v>235</v>
      </c>
      <c r="D66" s="115">
        <v>4</v>
      </c>
      <c r="E66" s="115" t="s">
        <v>238</v>
      </c>
      <c r="F66" s="115">
        <v>450</v>
      </c>
      <c r="G66" s="115">
        <v>1800</v>
      </c>
      <c r="H66" s="116"/>
    </row>
    <row r="67" spans="2:8" ht="15.75" customHeight="1">
      <c r="B67" s="114" t="s">
        <v>241</v>
      </c>
      <c r="C67" s="115" t="s">
        <v>235</v>
      </c>
      <c r="D67" s="115">
        <v>4</v>
      </c>
      <c r="E67" s="115" t="s">
        <v>238</v>
      </c>
      <c r="F67" s="115"/>
      <c r="G67" s="115">
        <v>0</v>
      </c>
      <c r="H67" s="110"/>
    </row>
    <row r="68" spans="2:8" ht="15.75" customHeight="1">
      <c r="B68" s="114" t="s">
        <v>242</v>
      </c>
      <c r="C68" s="115" t="s">
        <v>243</v>
      </c>
      <c r="D68" s="115">
        <v>20</v>
      </c>
      <c r="E68" s="115" t="s">
        <v>244</v>
      </c>
      <c r="F68" s="115">
        <v>1286</v>
      </c>
      <c r="G68" s="115">
        <v>25720</v>
      </c>
      <c r="H68" s="116"/>
    </row>
    <row r="69" spans="2:8" ht="15.75" customHeight="1">
      <c r="B69" s="114" t="s">
        <v>245</v>
      </c>
      <c r="C69" s="115" t="s">
        <v>246</v>
      </c>
      <c r="D69" s="115">
        <v>12</v>
      </c>
      <c r="E69" s="115" t="s">
        <v>244</v>
      </c>
      <c r="F69" s="115">
        <v>2200</v>
      </c>
      <c r="G69" s="115">
        <v>26400</v>
      </c>
      <c r="H69" s="116"/>
    </row>
    <row r="70" spans="2:8" ht="15.75" customHeight="1">
      <c r="B70" s="114" t="s">
        <v>247</v>
      </c>
      <c r="C70" s="115" t="s">
        <v>235</v>
      </c>
      <c r="D70" s="115">
        <v>30</v>
      </c>
      <c r="E70" s="115" t="s">
        <v>244</v>
      </c>
      <c r="F70" s="115">
        <v>395</v>
      </c>
      <c r="G70" s="115">
        <v>11850</v>
      </c>
      <c r="H70" s="116"/>
    </row>
    <row r="71" spans="2:8" ht="15.75" customHeight="1">
      <c r="B71" s="114" t="s">
        <v>248</v>
      </c>
      <c r="C71" s="115" t="s">
        <v>235</v>
      </c>
      <c r="D71" s="115">
        <v>5</v>
      </c>
      <c r="E71" s="115" t="s">
        <v>249</v>
      </c>
      <c r="F71" s="115">
        <v>3000</v>
      </c>
      <c r="G71" s="115">
        <v>15000</v>
      </c>
      <c r="H71" s="116"/>
    </row>
    <row r="72" spans="2:8" ht="15.75" customHeight="1">
      <c r="B72" s="114" t="s">
        <v>250</v>
      </c>
      <c r="C72" s="115" t="s">
        <v>235</v>
      </c>
      <c r="D72" s="115">
        <v>2</v>
      </c>
      <c r="E72" s="115" t="s">
        <v>251</v>
      </c>
      <c r="F72" s="115" t="s">
        <v>235</v>
      </c>
      <c r="G72" s="115">
        <v>0</v>
      </c>
      <c r="H72" s="118" t="s">
        <v>252</v>
      </c>
    </row>
    <row r="73" spans="2:8" ht="15.75" customHeight="1">
      <c r="B73" s="114" t="s">
        <v>253</v>
      </c>
      <c r="C73" s="115" t="s">
        <v>254</v>
      </c>
      <c r="D73" s="115">
        <v>1</v>
      </c>
      <c r="E73" s="115" t="s">
        <v>255</v>
      </c>
      <c r="F73" s="115" t="s">
        <v>235</v>
      </c>
      <c r="G73" s="115">
        <v>0</v>
      </c>
      <c r="H73" s="110"/>
    </row>
    <row r="74" spans="2:8" ht="15.75" customHeight="1">
      <c r="B74" s="114" t="s">
        <v>256</v>
      </c>
      <c r="C74" s="115" t="s">
        <v>257</v>
      </c>
      <c r="D74" s="115">
        <v>1</v>
      </c>
      <c r="E74" s="115" t="s">
        <v>255</v>
      </c>
      <c r="F74" s="115">
        <v>25895</v>
      </c>
      <c r="G74" s="115">
        <v>25895</v>
      </c>
      <c r="H74" s="116"/>
    </row>
    <row r="75" spans="2:8" ht="15.75" customHeight="1">
      <c r="B75" s="114" t="s">
        <v>258</v>
      </c>
      <c r="C75" s="115" t="s">
        <v>259</v>
      </c>
      <c r="D75" s="115">
        <v>1</v>
      </c>
      <c r="E75" s="115" t="s">
        <v>255</v>
      </c>
      <c r="F75" s="115">
        <v>2687</v>
      </c>
      <c r="G75" s="115">
        <v>2687</v>
      </c>
      <c r="H75" s="116"/>
    </row>
    <row r="76" spans="2:8" ht="15.75" customHeight="1">
      <c r="B76" s="114" t="s">
        <v>260</v>
      </c>
      <c r="C76" s="115" t="s">
        <v>261</v>
      </c>
      <c r="D76" s="115">
        <v>1</v>
      </c>
      <c r="E76" s="115" t="s">
        <v>255</v>
      </c>
      <c r="F76" s="115">
        <v>1251</v>
      </c>
      <c r="G76" s="115">
        <v>1251</v>
      </c>
      <c r="H76" s="116"/>
    </row>
    <row r="77" spans="2:8" ht="15.75" customHeight="1">
      <c r="B77" s="114" t="s">
        <v>262</v>
      </c>
      <c r="C77" s="115" t="s">
        <v>263</v>
      </c>
      <c r="D77" s="115">
        <v>1</v>
      </c>
      <c r="E77" s="115" t="s">
        <v>255</v>
      </c>
      <c r="F77" s="115">
        <v>3780</v>
      </c>
      <c r="G77" s="115">
        <v>3780</v>
      </c>
      <c r="H77" s="116"/>
    </row>
    <row r="78" spans="2:8" ht="15.75" customHeight="1">
      <c r="B78" s="119" t="s">
        <v>264</v>
      </c>
      <c r="C78" s="120" t="s">
        <v>265</v>
      </c>
      <c r="D78" s="120">
        <v>1</v>
      </c>
      <c r="E78" s="120" t="s">
        <v>255</v>
      </c>
      <c r="F78" s="120">
        <v>3900</v>
      </c>
      <c r="G78" s="120">
        <v>3900</v>
      </c>
      <c r="H78" s="116"/>
    </row>
    <row r="79" spans="2:8" ht="15.75" customHeight="1">
      <c r="B79" s="121" t="s">
        <v>266</v>
      </c>
      <c r="C79" s="122" t="s">
        <v>267</v>
      </c>
      <c r="D79" s="122">
        <v>3</v>
      </c>
      <c r="E79" s="122" t="s">
        <v>251</v>
      </c>
      <c r="F79" s="122">
        <v>1650</v>
      </c>
      <c r="G79" s="122">
        <v>4950</v>
      </c>
      <c r="H79" s="116"/>
    </row>
    <row r="80" spans="2:8" ht="15.75" customHeight="1">
      <c r="B80" s="110"/>
      <c r="C80" s="110"/>
      <c r="D80" s="110"/>
      <c r="E80" s="110"/>
      <c r="F80" s="110"/>
      <c r="G80" s="110"/>
      <c r="H80" s="110"/>
    </row>
    <row r="81" spans="1:8" ht="15.75" customHeight="1">
      <c r="B81" s="110"/>
      <c r="C81" s="110"/>
      <c r="D81" s="110"/>
      <c r="E81" s="98" t="s">
        <v>130</v>
      </c>
      <c r="F81" s="123"/>
      <c r="G81" s="124">
        <v>1144687.32</v>
      </c>
      <c r="H81" s="110"/>
    </row>
    <row r="82" spans="1:8" ht="15.75" customHeight="1"/>
    <row r="83" spans="1:8" ht="15.75" customHeight="1">
      <c r="A83" s="596" t="s">
        <v>268</v>
      </c>
      <c r="B83" s="625"/>
      <c r="C83" s="625"/>
      <c r="D83" s="572"/>
    </row>
    <row r="84" spans="1:8" ht="15.75" customHeight="1"/>
    <row r="85" spans="1:8" ht="15.75" customHeight="1">
      <c r="B85" s="101" t="s">
        <v>269</v>
      </c>
      <c r="C85" s="99">
        <v>16160</v>
      </c>
      <c r="D85" s="97"/>
    </row>
    <row r="86" spans="1:8" ht="15.75" customHeight="1"/>
    <row r="87" spans="1:8" ht="15.75" customHeight="1"/>
    <row r="88" spans="1:8" ht="15.75" customHeight="1">
      <c r="B88" s="97"/>
      <c r="C88" s="125" t="s">
        <v>270</v>
      </c>
      <c r="D88" s="97"/>
      <c r="E88" s="97"/>
      <c r="F88" s="97"/>
      <c r="G88" s="97"/>
    </row>
    <row r="89" spans="1:8" ht="15.75" customHeight="1">
      <c r="B89" s="126" t="s">
        <v>271</v>
      </c>
      <c r="C89" s="127" t="s">
        <v>272</v>
      </c>
      <c r="D89" s="128" t="s">
        <v>273</v>
      </c>
      <c r="E89" s="129"/>
      <c r="F89" s="97"/>
      <c r="G89" s="97"/>
    </row>
    <row r="90" spans="1:8" ht="15.75" customHeight="1">
      <c r="B90" s="130"/>
      <c r="C90" s="131">
        <v>3</v>
      </c>
      <c r="D90" s="132">
        <v>450</v>
      </c>
      <c r="E90" s="129"/>
      <c r="F90" s="97"/>
      <c r="G90" s="97"/>
    </row>
    <row r="91" spans="1:8" ht="15.75" customHeight="1">
      <c r="B91" s="133" t="s">
        <v>274</v>
      </c>
      <c r="C91" s="134" t="s">
        <v>275</v>
      </c>
      <c r="D91" s="135" t="s">
        <v>276</v>
      </c>
      <c r="E91" s="89"/>
      <c r="F91" s="97"/>
      <c r="G91" s="97"/>
    </row>
    <row r="92" spans="1:8" ht="15.75" customHeight="1">
      <c r="B92" s="133" t="s">
        <v>277</v>
      </c>
      <c r="C92" s="134">
        <v>93480</v>
      </c>
      <c r="D92" s="136"/>
      <c r="E92" s="89"/>
      <c r="F92" s="97"/>
      <c r="G92" s="97"/>
    </row>
    <row r="93" spans="1:8" ht="15.75" customHeight="1"/>
    <row r="94" spans="1:8" ht="15.75" customHeight="1"/>
    <row r="95" spans="1:8" ht="15.75" customHeight="1">
      <c r="A95" s="596" t="s">
        <v>278</v>
      </c>
      <c r="B95" s="625"/>
      <c r="C95" s="625"/>
      <c r="D95" s="572"/>
    </row>
    <row r="96" spans="1:8" ht="15.75" customHeight="1"/>
    <row r="97" spans="1:9" ht="15.75" customHeight="1">
      <c r="A97" s="137" t="s">
        <v>279</v>
      </c>
    </row>
    <row r="98" spans="1:9" ht="15.75" customHeight="1"/>
    <row r="99" spans="1:9" ht="15.75" customHeight="1">
      <c r="C99" s="620" t="s">
        <v>280</v>
      </c>
      <c r="D99" s="621"/>
      <c r="E99" s="621"/>
      <c r="F99" s="621"/>
      <c r="G99" s="621"/>
      <c r="H99" s="621"/>
      <c r="I99" s="622"/>
    </row>
    <row r="100" spans="1:9" ht="15.75" customHeight="1">
      <c r="C100" s="623"/>
      <c r="D100" s="562"/>
      <c r="E100" s="562"/>
      <c r="F100" s="562"/>
      <c r="G100" s="562"/>
      <c r="H100" s="562"/>
      <c r="I100" s="624"/>
    </row>
    <row r="101" spans="1:9" ht="15.75" customHeight="1">
      <c r="C101" s="91"/>
      <c r="D101" s="89" t="s">
        <v>281</v>
      </c>
      <c r="E101" s="89" t="s">
        <v>282</v>
      </c>
      <c r="F101" s="89" t="s">
        <v>283</v>
      </c>
      <c r="G101" s="89" t="s">
        <v>284</v>
      </c>
      <c r="H101" s="89" t="s">
        <v>285</v>
      </c>
      <c r="I101" s="90" t="s">
        <v>43</v>
      </c>
    </row>
    <row r="102" spans="1:9" ht="15.75" customHeight="1">
      <c r="C102" s="91" t="s">
        <v>286</v>
      </c>
      <c r="D102" s="89">
        <v>30</v>
      </c>
      <c r="E102" s="89" t="s">
        <v>287</v>
      </c>
      <c r="F102" s="89">
        <v>1230</v>
      </c>
      <c r="G102" s="89">
        <v>135.30000000000001</v>
      </c>
      <c r="H102" s="89">
        <v>99</v>
      </c>
      <c r="I102" s="90">
        <v>135164.69999999998</v>
      </c>
    </row>
    <row r="103" spans="1:9" ht="15.75" customHeight="1">
      <c r="C103" s="91" t="s">
        <v>288</v>
      </c>
      <c r="D103" s="89">
        <v>2.5</v>
      </c>
      <c r="E103" s="89" t="s">
        <v>287</v>
      </c>
      <c r="F103" s="89">
        <v>102.5</v>
      </c>
      <c r="G103" s="89">
        <v>1E-4</v>
      </c>
      <c r="H103" s="89">
        <v>14850</v>
      </c>
      <c r="I103" s="90">
        <v>1522126.4850000001</v>
      </c>
    </row>
    <row r="104" spans="1:9" ht="15.75" customHeight="1">
      <c r="C104" s="91" t="s">
        <v>289</v>
      </c>
      <c r="D104" s="89">
        <v>0.1</v>
      </c>
      <c r="E104" s="89" t="s">
        <v>287</v>
      </c>
      <c r="F104" s="89">
        <v>4.1000000000000005</v>
      </c>
      <c r="G104" s="89">
        <v>0.45100000000000007</v>
      </c>
      <c r="H104" s="89">
        <v>14850</v>
      </c>
      <c r="I104" s="90">
        <v>67582.350000000006</v>
      </c>
    </row>
    <row r="105" spans="1:9" ht="15.75" customHeight="1">
      <c r="C105" s="91" t="s">
        <v>290</v>
      </c>
      <c r="D105" s="89">
        <v>50</v>
      </c>
      <c r="E105" s="89" t="s">
        <v>291</v>
      </c>
      <c r="F105" s="89">
        <v>50</v>
      </c>
      <c r="G105" s="89">
        <v>2.5</v>
      </c>
      <c r="H105" s="89">
        <v>14850</v>
      </c>
      <c r="I105" s="90">
        <v>779625</v>
      </c>
    </row>
    <row r="106" spans="1:9" ht="15.75" customHeight="1">
      <c r="C106" s="96" t="s">
        <v>292</v>
      </c>
      <c r="D106" s="94">
        <v>9.68</v>
      </c>
      <c r="E106" s="94" t="s">
        <v>291</v>
      </c>
      <c r="F106" s="94">
        <v>9.68</v>
      </c>
      <c r="G106" s="94">
        <v>0.48399999999999999</v>
      </c>
      <c r="H106" s="94">
        <v>14850</v>
      </c>
      <c r="I106" s="95">
        <v>150935.4</v>
      </c>
    </row>
    <row r="107" spans="1:9" ht="15.75" customHeight="1">
      <c r="C107" s="138" t="s">
        <v>130</v>
      </c>
      <c r="D107" s="139"/>
      <c r="E107" s="139"/>
      <c r="F107" s="139"/>
      <c r="G107" s="139"/>
      <c r="H107" s="139"/>
      <c r="I107" s="140">
        <v>2655433.9350000001</v>
      </c>
    </row>
    <row r="108" spans="1:9" ht="15.75" customHeight="1"/>
    <row r="109" spans="1:9" ht="15.75" customHeight="1">
      <c r="C109" s="141" t="s">
        <v>293</v>
      </c>
      <c r="E109" s="89" t="s">
        <v>294</v>
      </c>
      <c r="F109" s="89">
        <v>1516.19</v>
      </c>
      <c r="H109" s="97" t="s">
        <v>295</v>
      </c>
      <c r="I109" s="142">
        <v>178.81710000000001</v>
      </c>
    </row>
    <row r="110" spans="1:9" ht="15.75" customHeight="1">
      <c r="E110" s="89" t="s">
        <v>296</v>
      </c>
      <c r="F110" s="89">
        <v>1155.52</v>
      </c>
      <c r="H110" s="97" t="s">
        <v>297</v>
      </c>
      <c r="I110" s="142">
        <v>1751.3859971375618</v>
      </c>
    </row>
    <row r="111" spans="1:9" ht="15.75" customHeight="1">
      <c r="E111" s="89" t="s">
        <v>298</v>
      </c>
      <c r="F111" s="89">
        <v>1.3121278731653283</v>
      </c>
    </row>
    <row r="112" spans="1:9" ht="15.75" customHeight="1">
      <c r="E112" s="89" t="s">
        <v>32</v>
      </c>
      <c r="F112" s="143">
        <v>2655433.9350000001</v>
      </c>
    </row>
    <row r="113" spans="3:10" ht="15.75" customHeight="1">
      <c r="E113" s="89" t="s">
        <v>299</v>
      </c>
      <c r="F113" s="143">
        <v>178.81710000000001</v>
      </c>
    </row>
    <row r="114" spans="3:10" ht="15.75" customHeight="1"/>
    <row r="115" spans="3:10" ht="15.75" customHeight="1">
      <c r="C115" s="141" t="s">
        <v>300</v>
      </c>
    </row>
    <row r="116" spans="3:10" ht="15.75" customHeight="1">
      <c r="C116" t="s">
        <v>301</v>
      </c>
    </row>
    <row r="117" spans="3:10" ht="15.75" customHeight="1"/>
    <row r="118" spans="3:10" ht="15.75" customHeight="1">
      <c r="C118" s="593" t="s">
        <v>107</v>
      </c>
      <c r="D118" s="558"/>
      <c r="E118" s="558"/>
      <c r="F118" s="558"/>
      <c r="G118" s="559"/>
      <c r="H118" s="55">
        <v>0.23787994209149943</v>
      </c>
    </row>
    <row r="119" spans="3:10" ht="15.75" customHeight="1">
      <c r="C119" s="593" t="s">
        <v>110</v>
      </c>
      <c r="D119" s="558"/>
      <c r="E119" s="558"/>
      <c r="F119" s="558"/>
      <c r="G119" s="559"/>
      <c r="H119" s="55">
        <v>0.23787994209149943</v>
      </c>
    </row>
    <row r="120" spans="3:10" ht="15.75" customHeight="1"/>
    <row r="121" spans="3:10" ht="15.75" customHeight="1">
      <c r="C121" s="626" t="s">
        <v>0</v>
      </c>
      <c r="D121" s="558"/>
      <c r="E121" s="559"/>
      <c r="F121" s="144">
        <v>96.292916666666656</v>
      </c>
      <c r="G121" s="28" t="s">
        <v>1</v>
      </c>
    </row>
    <row r="122" spans="3:10" ht="15.75" customHeight="1">
      <c r="F122" s="145">
        <v>1237.5</v>
      </c>
      <c r="G122" s="46" t="s">
        <v>2</v>
      </c>
    </row>
    <row r="123" spans="3:10" ht="15.75" customHeight="1"/>
    <row r="124" spans="3:10" ht="15.75" customHeight="1"/>
    <row r="125" spans="3:10" ht="15.75" customHeight="1">
      <c r="C125" s="4" t="s">
        <v>3</v>
      </c>
      <c r="D125" s="4" t="s">
        <v>4</v>
      </c>
      <c r="E125" s="4" t="s">
        <v>5</v>
      </c>
      <c r="F125" s="4" t="s">
        <v>6</v>
      </c>
      <c r="G125" s="4" t="s">
        <v>7</v>
      </c>
      <c r="H125" s="4" t="s">
        <v>8</v>
      </c>
      <c r="I125" s="4" t="s">
        <v>9</v>
      </c>
      <c r="J125" s="4" t="s">
        <v>10</v>
      </c>
    </row>
    <row r="126" spans="3:10" ht="15.75" customHeight="1">
      <c r="C126" s="5">
        <v>1</v>
      </c>
      <c r="D126" s="6">
        <v>0</v>
      </c>
      <c r="E126" s="6">
        <v>4.4999999999999998E-2</v>
      </c>
      <c r="F126" s="6">
        <v>2.2499999999999999E-2</v>
      </c>
      <c r="G126" s="7">
        <v>96.292916666666656</v>
      </c>
      <c r="H126" s="7">
        <v>1237.5</v>
      </c>
      <c r="I126" s="8">
        <v>2.1665906249999995</v>
      </c>
      <c r="J126" s="9">
        <v>27.84375</v>
      </c>
    </row>
    <row r="127" spans="3:10" ht="15.75" customHeight="1">
      <c r="C127" s="10">
        <v>2</v>
      </c>
      <c r="D127" s="11">
        <v>4.4999999999999998E-2</v>
      </c>
      <c r="E127" s="11">
        <v>0.17</v>
      </c>
      <c r="F127" s="11">
        <v>0.10750000000000001</v>
      </c>
      <c r="G127" s="12">
        <v>96.292916666666656</v>
      </c>
      <c r="H127" s="12">
        <v>1237.5</v>
      </c>
      <c r="I127" s="13">
        <v>10.351488541666667</v>
      </c>
      <c r="J127" s="14">
        <v>133.03125000000003</v>
      </c>
    </row>
    <row r="128" spans="3:10" ht="15.75" customHeight="1">
      <c r="C128" s="15">
        <v>3</v>
      </c>
      <c r="D128" s="16">
        <v>0.17</v>
      </c>
      <c r="E128" s="16">
        <v>1</v>
      </c>
      <c r="F128" s="16">
        <v>0.58499999999999996</v>
      </c>
      <c r="G128" s="17">
        <v>96.292916666666656</v>
      </c>
      <c r="H128" s="17">
        <v>1237.5</v>
      </c>
      <c r="I128" s="18">
        <v>56.331356249999992</v>
      </c>
      <c r="J128" s="19">
        <v>723.9375</v>
      </c>
    </row>
    <row r="129" spans="3:10" ht="15.75" customHeight="1">
      <c r="H129" s="20" t="s">
        <v>11</v>
      </c>
      <c r="I129" s="21">
        <v>68.849435416666665</v>
      </c>
      <c r="J129" s="22">
        <v>884.8125</v>
      </c>
    </row>
    <row r="130" spans="3:10" ht="15.75" customHeight="1"/>
    <row r="131" spans="3:10" ht="15.75" customHeight="1">
      <c r="C131" s="554" t="s">
        <v>12</v>
      </c>
      <c r="D131" s="555"/>
      <c r="E131" s="555"/>
      <c r="F131" s="556"/>
      <c r="G131" s="23">
        <v>866.6362499999999</v>
      </c>
      <c r="H131" s="24" t="s">
        <v>13</v>
      </c>
    </row>
    <row r="132" spans="3:10" ht="15.75" customHeight="1">
      <c r="G132" s="25">
        <v>11137.5</v>
      </c>
      <c r="H132" s="24" t="s">
        <v>14</v>
      </c>
    </row>
    <row r="133" spans="3:10" ht="15.75" customHeight="1">
      <c r="C133" s="3" t="s">
        <v>15</v>
      </c>
      <c r="D133" s="2"/>
      <c r="E133" s="2">
        <v>9</v>
      </c>
    </row>
    <row r="134" spans="3:10" ht="15.75" customHeight="1"/>
    <row r="135" spans="3:10" ht="15.75" customHeight="1">
      <c r="C135" s="146" t="s">
        <v>16</v>
      </c>
      <c r="D135" s="147"/>
      <c r="E135" s="148">
        <v>935.48568541666657</v>
      </c>
      <c r="F135" s="24" t="s">
        <v>13</v>
      </c>
    </row>
    <row r="136" spans="3:10" ht="15.75" customHeight="1">
      <c r="D136" s="149"/>
      <c r="E136" s="150">
        <v>12022.3125</v>
      </c>
      <c r="F136" s="151" t="s">
        <v>14</v>
      </c>
    </row>
    <row r="137" spans="3:10" ht="15.75" customHeight="1"/>
    <row r="138" spans="3:10" ht="15.75" customHeight="1">
      <c r="C138" s="146" t="s">
        <v>17</v>
      </c>
      <c r="D138" s="152"/>
      <c r="E138" s="153">
        <v>1155.5149999999999</v>
      </c>
      <c r="F138" s="24" t="s">
        <v>13</v>
      </c>
    </row>
    <row r="139" spans="3:10" ht="15.75" customHeight="1">
      <c r="D139" s="27"/>
      <c r="E139" s="154">
        <v>14850</v>
      </c>
      <c r="F139" s="151" t="s">
        <v>14</v>
      </c>
    </row>
    <row r="140" spans="3:10" ht="15.75" customHeight="1"/>
    <row r="141" spans="3:10" ht="15.75" customHeight="1"/>
    <row r="142" spans="3:10" ht="15.75" customHeight="1"/>
    <row r="143" spans="3:10" ht="15.75" customHeight="1">
      <c r="C143" s="565" t="s">
        <v>25</v>
      </c>
      <c r="D143" s="558"/>
      <c r="E143" s="558"/>
      <c r="F143" s="558"/>
      <c r="G143" s="558"/>
      <c r="H143" s="559"/>
      <c r="I143" s="13">
        <v>101.60523483656486</v>
      </c>
      <c r="J143" s="28" t="s">
        <v>13</v>
      </c>
    </row>
    <row r="144" spans="3:10" ht="15.75" customHeight="1">
      <c r="C144" s="566" t="s">
        <v>27</v>
      </c>
      <c r="D144" s="558"/>
      <c r="E144" s="558"/>
      <c r="F144" s="558"/>
      <c r="G144" s="558"/>
      <c r="H144" s="559"/>
      <c r="I144" s="12">
        <v>1072.791630964394</v>
      </c>
      <c r="J144" s="28" t="s">
        <v>13</v>
      </c>
    </row>
    <row r="145" spans="3:12" ht="15.75" customHeight="1">
      <c r="C145" s="565" t="s">
        <v>28</v>
      </c>
      <c r="D145" s="558"/>
      <c r="E145" s="558"/>
      <c r="F145" s="558"/>
      <c r="G145" s="558"/>
      <c r="H145" s="559"/>
      <c r="I145" s="13">
        <v>1174.3968658009589</v>
      </c>
      <c r="J145" s="28" t="s">
        <v>13</v>
      </c>
    </row>
    <row r="146" spans="3:12" ht="15.75" customHeight="1">
      <c r="C146" s="565" t="s">
        <v>30</v>
      </c>
      <c r="D146" s="558"/>
      <c r="E146" s="558"/>
      <c r="F146" s="558"/>
      <c r="G146" s="558"/>
      <c r="H146" s="559"/>
      <c r="I146" s="13">
        <v>935.48568541666657</v>
      </c>
      <c r="J146" s="28" t="s">
        <v>13</v>
      </c>
    </row>
    <row r="147" spans="3:12" ht="15.75" customHeight="1">
      <c r="C147" s="565" t="s">
        <v>31</v>
      </c>
      <c r="D147" s="558"/>
      <c r="E147" s="558"/>
      <c r="F147" s="558"/>
      <c r="G147" s="558"/>
      <c r="H147" s="559"/>
      <c r="I147" s="13">
        <v>238.91118038429238</v>
      </c>
      <c r="J147" s="28" t="s">
        <v>13</v>
      </c>
    </row>
    <row r="148" spans="3:12" ht="15.75" customHeight="1"/>
    <row r="149" spans="3:12" ht="15.75" customHeight="1">
      <c r="C149" s="565" t="s">
        <v>33</v>
      </c>
      <c r="D149" s="558"/>
      <c r="E149" s="558"/>
      <c r="F149" s="558"/>
      <c r="G149" s="558"/>
      <c r="H149" s="559"/>
      <c r="I149" s="13">
        <v>20.769657534246573</v>
      </c>
      <c r="J149" s="28" t="s">
        <v>13</v>
      </c>
      <c r="K149" s="30"/>
      <c r="L149" s="27"/>
    </row>
    <row r="150" spans="3:12" ht="15.75" customHeight="1"/>
    <row r="151" spans="3:12" ht="15.75" customHeight="1">
      <c r="C151" s="607" t="s">
        <v>34</v>
      </c>
      <c r="D151" s="569"/>
      <c r="E151" s="569"/>
      <c r="F151" s="569"/>
    </row>
    <row r="152" spans="3:12" ht="15.75" customHeight="1">
      <c r="C152" s="608" t="s">
        <v>35</v>
      </c>
      <c r="D152" s="558"/>
      <c r="E152" s="558"/>
      <c r="F152" s="558"/>
      <c r="G152" s="558"/>
      <c r="H152" s="559"/>
      <c r="I152" s="13">
        <v>16.778410270671756</v>
      </c>
      <c r="J152" s="28" t="s">
        <v>13</v>
      </c>
    </row>
    <row r="153" spans="3:12" ht="15.75" customHeight="1">
      <c r="C153" s="608" t="s">
        <v>36</v>
      </c>
      <c r="D153" s="558"/>
      <c r="E153" s="558"/>
      <c r="F153" s="558"/>
      <c r="G153" s="558"/>
      <c r="H153" s="559"/>
      <c r="I153" s="13">
        <v>3.9912472635748166</v>
      </c>
      <c r="J153" s="28" t="s">
        <v>13</v>
      </c>
    </row>
    <row r="154" spans="3:12" ht="15.75" customHeight="1">
      <c r="C154" s="608" t="s">
        <v>37</v>
      </c>
      <c r="D154" s="558"/>
      <c r="E154" s="558"/>
      <c r="F154" s="558"/>
      <c r="G154" s="558"/>
      <c r="H154" s="559"/>
      <c r="I154" s="28">
        <v>0</v>
      </c>
      <c r="J154" s="28" t="s">
        <v>13</v>
      </c>
    </row>
    <row r="155" spans="3:12" ht="15.75" customHeight="1">
      <c r="C155" s="616" t="s">
        <v>38</v>
      </c>
      <c r="D155" s="558"/>
      <c r="E155" s="558"/>
      <c r="F155" s="558"/>
      <c r="G155" s="558"/>
      <c r="H155" s="559"/>
      <c r="I155" s="13">
        <v>20.769657534246573</v>
      </c>
      <c r="J155" s="28" t="s">
        <v>13</v>
      </c>
    </row>
    <row r="156" spans="3:12" ht="15.75" customHeight="1"/>
    <row r="157" spans="3:12" ht="15.75" customHeight="1">
      <c r="C157" s="141" t="s">
        <v>39</v>
      </c>
    </row>
    <row r="158" spans="3:12" ht="15.75" customHeight="1">
      <c r="C158" s="608" t="s">
        <v>40</v>
      </c>
      <c r="D158" s="558"/>
      <c r="E158" s="558"/>
      <c r="F158" s="558"/>
      <c r="G158" s="558"/>
      <c r="H158" s="559"/>
      <c r="I158" s="13">
        <v>1174.3968658009589</v>
      </c>
      <c r="J158" s="28" t="s">
        <v>13</v>
      </c>
    </row>
    <row r="159" spans="3:12" ht="15.75" customHeight="1">
      <c r="C159" s="608" t="s">
        <v>41</v>
      </c>
      <c r="D159" s="558"/>
      <c r="E159" s="558"/>
      <c r="F159" s="558"/>
      <c r="G159" s="558"/>
      <c r="H159" s="559"/>
      <c r="I159" s="13">
        <v>20.769657534246573</v>
      </c>
      <c r="J159" s="28" t="s">
        <v>13</v>
      </c>
    </row>
    <row r="160" spans="3:12" ht="15.75" customHeight="1">
      <c r="C160" s="608" t="s">
        <v>42</v>
      </c>
      <c r="D160" s="558"/>
      <c r="E160" s="558"/>
      <c r="F160" s="558"/>
      <c r="G160" s="558"/>
      <c r="H160" s="559"/>
      <c r="I160" s="13">
        <v>1195.1665233352055</v>
      </c>
      <c r="J160" s="28" t="s">
        <v>13</v>
      </c>
    </row>
    <row r="161" spans="1:11" ht="15.75" customHeight="1"/>
    <row r="162" spans="1:11" ht="15.75" customHeight="1">
      <c r="C162" s="141" t="s">
        <v>43</v>
      </c>
    </row>
    <row r="163" spans="1:11" ht="15.75" customHeight="1">
      <c r="C163" s="608" t="s">
        <v>44</v>
      </c>
      <c r="D163" s="558"/>
      <c r="E163" s="558"/>
      <c r="F163" s="558"/>
      <c r="G163" s="558"/>
      <c r="H163" s="559"/>
      <c r="I163" s="13">
        <v>1430.3888412858589</v>
      </c>
      <c r="J163" s="28" t="s">
        <v>13</v>
      </c>
    </row>
    <row r="164" spans="1:11" ht="15.75" customHeight="1">
      <c r="C164" s="608" t="s">
        <v>45</v>
      </c>
      <c r="D164" s="558"/>
      <c r="E164" s="558"/>
      <c r="F164" s="558"/>
      <c r="G164" s="558"/>
      <c r="H164" s="559"/>
      <c r="I164" s="13">
        <v>1155.5149999999999</v>
      </c>
      <c r="J164" s="28" t="s">
        <v>13</v>
      </c>
    </row>
    <row r="165" spans="1:11" ht="15.75" customHeight="1">
      <c r="C165" s="608" t="s">
        <v>46</v>
      </c>
      <c r="D165" s="558"/>
      <c r="E165" s="558"/>
      <c r="F165" s="558"/>
      <c r="G165" s="558"/>
      <c r="H165" s="559"/>
      <c r="I165" s="13">
        <v>274.87384128585904</v>
      </c>
      <c r="J165" s="28" t="s">
        <v>13</v>
      </c>
    </row>
    <row r="166" spans="1:11" ht="15.75" customHeight="1"/>
    <row r="167" spans="1:11" ht="15.75" customHeight="1"/>
    <row r="168" spans="1:11" ht="15.75" customHeight="1">
      <c r="C168" t="s">
        <v>26</v>
      </c>
      <c r="F168">
        <v>1227.4768427823801</v>
      </c>
      <c r="H168" t="s">
        <v>302</v>
      </c>
      <c r="K168" s="155">
        <v>2149785.7542596851</v>
      </c>
    </row>
    <row r="169" spans="1:11" ht="15.75" customHeight="1">
      <c r="H169" t="s">
        <v>303</v>
      </c>
      <c r="K169" s="155">
        <v>36375.68737082211</v>
      </c>
    </row>
    <row r="170" spans="1:11" ht="15.75" customHeight="1">
      <c r="C170" t="s">
        <v>29</v>
      </c>
      <c r="F170" s="156">
        <v>16.377899709949098</v>
      </c>
      <c r="H170" t="s">
        <v>304</v>
      </c>
      <c r="K170" s="155">
        <v>28684.024214528185</v>
      </c>
    </row>
    <row r="171" spans="1:11" ht="15.75" customHeight="1"/>
    <row r="172" spans="1:11" ht="15.75" customHeight="1">
      <c r="C172" s="157" t="s">
        <v>305</v>
      </c>
      <c r="D172" s="158"/>
      <c r="E172" s="158"/>
      <c r="F172" s="159">
        <v>2093197.9132168619</v>
      </c>
      <c r="G172" s="156" t="s">
        <v>306</v>
      </c>
    </row>
    <row r="173" spans="1:11" ht="15.75" customHeight="1">
      <c r="G173" s="160" t="s">
        <v>307</v>
      </c>
    </row>
    <row r="174" spans="1:11" ht="15.75" customHeight="1"/>
    <row r="175" spans="1:11" ht="15.75" customHeight="1">
      <c r="A175" s="137" t="s">
        <v>308</v>
      </c>
    </row>
    <row r="176" spans="1:11" ht="15.75" customHeight="1"/>
    <row r="177" spans="2:12" ht="15.75" customHeight="1"/>
    <row r="178" spans="2:12" ht="15.75" customHeight="1">
      <c r="B178" s="97"/>
      <c r="C178" s="97"/>
      <c r="D178" s="97"/>
      <c r="E178" s="97"/>
      <c r="F178" s="618" t="s">
        <v>309</v>
      </c>
      <c r="G178" s="614"/>
      <c r="H178" s="615"/>
    </row>
    <row r="179" spans="2:12" ht="15.75" customHeight="1">
      <c r="B179" s="97"/>
      <c r="C179" s="101" t="s">
        <v>310</v>
      </c>
      <c r="D179" s="86" t="s">
        <v>311</v>
      </c>
      <c r="E179" s="83">
        <v>107.46</v>
      </c>
      <c r="F179" s="83" t="s">
        <v>312</v>
      </c>
      <c r="G179" s="83">
        <v>18912.96</v>
      </c>
      <c r="H179" s="161">
        <v>30771.230656</v>
      </c>
    </row>
    <row r="180" spans="2:12" ht="15.75" customHeight="1">
      <c r="B180" s="97"/>
      <c r="C180" s="97"/>
      <c r="D180" s="91" t="s">
        <v>313</v>
      </c>
      <c r="E180" s="89">
        <v>124.68</v>
      </c>
      <c r="F180" s="89" t="s">
        <v>312</v>
      </c>
      <c r="G180" s="89">
        <v>21943.68</v>
      </c>
      <c r="H180" s="162">
        <v>34772.690271999993</v>
      </c>
      <c r="J180" s="163" t="s">
        <v>314</v>
      </c>
      <c r="L180" s="155">
        <v>84.807506083434674</v>
      </c>
    </row>
    <row r="181" spans="2:12" ht="15.75" customHeight="1">
      <c r="B181" s="97"/>
      <c r="C181" s="97"/>
      <c r="D181" s="91" t="s">
        <v>315</v>
      </c>
      <c r="E181" s="89">
        <v>21496</v>
      </c>
      <c r="F181" s="89"/>
      <c r="G181" s="89">
        <v>21496</v>
      </c>
      <c r="H181" s="162">
        <v>31289.098367999999</v>
      </c>
      <c r="J181" s="163" t="s">
        <v>316</v>
      </c>
      <c r="L181" s="155">
        <v>93.441102984761358</v>
      </c>
    </row>
    <row r="182" spans="2:12" ht="15.75" customHeight="1">
      <c r="B182" s="97"/>
      <c r="C182" s="97"/>
      <c r="D182" s="91" t="s">
        <v>317</v>
      </c>
      <c r="E182" s="89">
        <v>21496</v>
      </c>
      <c r="F182" s="89"/>
      <c r="G182" s="89">
        <v>21496</v>
      </c>
      <c r="H182" s="162">
        <v>31289.098367999999</v>
      </c>
      <c r="J182" s="163"/>
    </row>
    <row r="183" spans="2:12" ht="15.75" customHeight="1">
      <c r="B183" s="97"/>
      <c r="C183" s="97"/>
      <c r="D183" s="91" t="s">
        <v>318</v>
      </c>
      <c r="E183" s="89">
        <v>21496</v>
      </c>
      <c r="F183" s="89"/>
      <c r="G183" s="89">
        <v>21496</v>
      </c>
      <c r="H183" s="162">
        <v>31289.098367999999</v>
      </c>
      <c r="J183" s="163" t="s">
        <v>319</v>
      </c>
      <c r="L183" s="155">
        <v>711.46756555017885</v>
      </c>
    </row>
    <row r="184" spans="2:12" ht="15.75" customHeight="1">
      <c r="B184" s="97"/>
      <c r="C184" s="97"/>
      <c r="D184" s="91" t="s">
        <v>320</v>
      </c>
      <c r="E184" s="89">
        <v>21496</v>
      </c>
      <c r="F184" s="89"/>
      <c r="G184" s="89">
        <v>21496</v>
      </c>
      <c r="H184" s="162">
        <v>31289.098367999999</v>
      </c>
      <c r="J184" s="163" t="s">
        <v>321</v>
      </c>
      <c r="L184" s="155">
        <v>783.89658101120858</v>
      </c>
    </row>
    <row r="185" spans="2:12" ht="15.75" customHeight="1">
      <c r="B185" s="628" t="s">
        <v>322</v>
      </c>
      <c r="C185" s="559"/>
      <c r="D185" s="91" t="s">
        <v>323</v>
      </c>
      <c r="E185" s="89">
        <v>23049</v>
      </c>
      <c r="F185" s="89"/>
      <c r="G185" s="89">
        <v>23049</v>
      </c>
      <c r="H185" s="162">
        <v>33347.289268</v>
      </c>
    </row>
    <row r="186" spans="2:12" ht="15.75" customHeight="1">
      <c r="B186" s="164">
        <v>0.8</v>
      </c>
      <c r="C186" s="165" t="s">
        <v>324</v>
      </c>
      <c r="D186" s="91" t="s">
        <v>325</v>
      </c>
      <c r="E186" s="89">
        <v>30000</v>
      </c>
      <c r="F186" s="89" t="s">
        <v>326</v>
      </c>
      <c r="G186" s="89"/>
      <c r="H186" s="162">
        <v>30000</v>
      </c>
    </row>
    <row r="187" spans="2:12" ht="15.75" customHeight="1">
      <c r="B187" s="166">
        <v>0.1</v>
      </c>
      <c r="C187" s="165" t="s">
        <v>327</v>
      </c>
      <c r="D187" s="91" t="s">
        <v>328</v>
      </c>
      <c r="E187" s="89">
        <v>140.27000000000001</v>
      </c>
      <c r="F187" s="89" t="s">
        <v>312</v>
      </c>
      <c r="G187" s="89">
        <v>24687.52</v>
      </c>
      <c r="H187" s="162">
        <v>35518.819824000006</v>
      </c>
    </row>
    <row r="188" spans="2:12" ht="15.75" customHeight="1">
      <c r="B188" s="166">
        <v>0.1</v>
      </c>
      <c r="C188" s="165" t="s">
        <v>329</v>
      </c>
      <c r="D188" s="91" t="s">
        <v>330</v>
      </c>
      <c r="E188" s="89">
        <v>26920</v>
      </c>
      <c r="F188" s="89"/>
      <c r="G188" s="89">
        <v>26920</v>
      </c>
      <c r="H188" s="162">
        <v>38477.525567999997</v>
      </c>
      <c r="J188" t="s">
        <v>331</v>
      </c>
      <c r="L188" s="155">
        <v>2263546.1226240001</v>
      </c>
    </row>
    <row r="189" spans="2:12" ht="15.75" customHeight="1">
      <c r="B189" s="97"/>
      <c r="C189" s="97"/>
      <c r="D189" s="91" t="s">
        <v>332</v>
      </c>
      <c r="E189" s="89">
        <v>26920</v>
      </c>
      <c r="F189" s="89"/>
      <c r="G189" s="89">
        <v>26920</v>
      </c>
      <c r="H189" s="162">
        <v>38477.525567999997</v>
      </c>
      <c r="J189" t="s">
        <v>333</v>
      </c>
      <c r="L189" s="155">
        <v>1958.9067408246542</v>
      </c>
    </row>
    <row r="190" spans="2:12" ht="15.75" customHeight="1">
      <c r="B190" s="97"/>
      <c r="C190" s="97"/>
      <c r="D190" s="91" t="s">
        <v>334</v>
      </c>
      <c r="E190" s="89">
        <v>40000</v>
      </c>
      <c r="F190" s="89"/>
      <c r="G190" s="89">
        <v>40000</v>
      </c>
      <c r="H190" s="162">
        <v>55812.449567999996</v>
      </c>
    </row>
    <row r="191" spans="2:12" ht="15.75" customHeight="1">
      <c r="B191" s="97"/>
      <c r="C191" s="97"/>
      <c r="D191" s="96" t="s">
        <v>335</v>
      </c>
      <c r="E191" s="94"/>
      <c r="F191" s="94"/>
      <c r="G191" s="94"/>
      <c r="H191" s="95"/>
      <c r="J191" s="167" t="s">
        <v>336</v>
      </c>
      <c r="L191" s="155">
        <v>2037191.5103616002</v>
      </c>
    </row>
    <row r="192" spans="2:12" ht="15.75" customHeight="1">
      <c r="B192" s="97"/>
      <c r="C192" s="97"/>
      <c r="D192" s="168" t="s">
        <v>337</v>
      </c>
      <c r="E192" s="613"/>
      <c r="F192" s="614"/>
      <c r="G192" s="615"/>
      <c r="H192" s="169">
        <v>422333.92419599992</v>
      </c>
      <c r="J192" t="s">
        <v>338</v>
      </c>
      <c r="L192" s="155">
        <v>1832529.2151076801</v>
      </c>
    </row>
    <row r="193" spans="1:12" ht="15.75" customHeight="1"/>
    <row r="194" spans="1:12" ht="15.75" customHeight="1">
      <c r="J194" t="s">
        <v>339</v>
      </c>
      <c r="L194" s="155">
        <v>20342.911074227588</v>
      </c>
    </row>
    <row r="195" spans="1:12" ht="15.75" customHeight="1">
      <c r="A195" s="137" t="s">
        <v>340</v>
      </c>
    </row>
    <row r="196" spans="1:12" ht="15.75" customHeight="1">
      <c r="J196" t="s">
        <v>341</v>
      </c>
      <c r="L196" s="155">
        <v>184319.38417969254</v>
      </c>
    </row>
    <row r="197" spans="1:12" ht="15.75" customHeight="1"/>
    <row r="198" spans="1:12" ht="15.75" customHeight="1">
      <c r="C198" s="609" t="s">
        <v>340</v>
      </c>
      <c r="D198" s="610"/>
      <c r="E198" s="611"/>
    </row>
    <row r="199" spans="1:12" ht="15.75" customHeight="1">
      <c r="C199" s="612"/>
      <c r="D199" s="562"/>
      <c r="E199" s="563"/>
    </row>
    <row r="200" spans="1:12" ht="15.75" customHeight="1">
      <c r="C200" s="89" t="s">
        <v>342</v>
      </c>
      <c r="D200" s="164">
        <v>0.01</v>
      </c>
      <c r="E200" s="89" t="s">
        <v>343</v>
      </c>
    </row>
    <row r="201" spans="1:12" ht="15.75" customHeight="1">
      <c r="C201" s="89" t="s">
        <v>344</v>
      </c>
      <c r="D201" s="164">
        <v>1.4999999999999999E-2</v>
      </c>
      <c r="E201" s="89" t="s">
        <v>345</v>
      </c>
    </row>
    <row r="202" spans="1:12" ht="15.75" customHeight="1">
      <c r="C202" s="89" t="s">
        <v>346</v>
      </c>
      <c r="D202" s="164">
        <v>0.02</v>
      </c>
      <c r="E202" s="89" t="s">
        <v>347</v>
      </c>
    </row>
    <row r="203" spans="1:12" ht="15.75" customHeight="1">
      <c r="C203" s="89" t="s">
        <v>348</v>
      </c>
      <c r="D203" s="164">
        <v>2.5000000000000001E-2</v>
      </c>
      <c r="E203" s="89" t="s">
        <v>349</v>
      </c>
    </row>
    <row r="204" spans="1:12" ht="15.75" customHeight="1">
      <c r="C204" s="606"/>
      <c r="D204" s="558"/>
      <c r="E204" s="559"/>
    </row>
    <row r="205" spans="1:12" ht="15.75" customHeight="1">
      <c r="C205" s="605" t="s">
        <v>350</v>
      </c>
      <c r="D205" s="164">
        <v>0.11</v>
      </c>
      <c r="E205" s="89" t="s">
        <v>351</v>
      </c>
    </row>
    <row r="206" spans="1:12" ht="15.75" customHeight="1">
      <c r="C206" s="575"/>
      <c r="D206" s="164">
        <v>0.05</v>
      </c>
      <c r="E206" s="89" t="s">
        <v>352</v>
      </c>
    </row>
    <row r="207" spans="1:12" ht="15.75" customHeight="1">
      <c r="C207" s="606"/>
      <c r="D207" s="558"/>
      <c r="E207" s="559"/>
    </row>
    <row r="208" spans="1:12" ht="15.75" customHeight="1">
      <c r="C208" s="89"/>
      <c r="D208" s="164">
        <v>0.85</v>
      </c>
      <c r="E208" s="89" t="s">
        <v>353</v>
      </c>
    </row>
    <row r="209" spans="1:10" ht="15.75" customHeight="1"/>
    <row r="210" spans="1:10" ht="15.75" customHeight="1">
      <c r="B210" s="141"/>
    </row>
    <row r="211" spans="1:10" ht="15.75" customHeight="1">
      <c r="C211" s="130" t="s">
        <v>342</v>
      </c>
      <c r="D211" s="170">
        <v>234596.36593379994</v>
      </c>
      <c r="F211" s="617" t="s">
        <v>354</v>
      </c>
      <c r="G211" s="572"/>
      <c r="H211" s="171">
        <v>356458.03233419999</v>
      </c>
      <c r="J211" s="172" t="s">
        <v>355</v>
      </c>
    </row>
    <row r="212" spans="1:10" ht="15.75" customHeight="1">
      <c r="C212" s="130" t="s">
        <v>344</v>
      </c>
      <c r="D212" s="170">
        <v>9714.4259999999995</v>
      </c>
      <c r="F212" t="s">
        <v>356</v>
      </c>
      <c r="H212" s="155">
        <v>308.48278899041122</v>
      </c>
      <c r="J212" s="173">
        <v>278655.36042134126</v>
      </c>
    </row>
    <row r="213" spans="1:10" ht="15.75" customHeight="1">
      <c r="C213" s="130" t="s">
        <v>357</v>
      </c>
      <c r="D213" s="170">
        <v>53108.678700000004</v>
      </c>
      <c r="F213" t="s">
        <v>358</v>
      </c>
      <c r="H213" s="155">
        <v>2587.9253975610918</v>
      </c>
    </row>
    <row r="214" spans="1:10" ht="15.75" customHeight="1">
      <c r="C214" s="130" t="s">
        <v>348</v>
      </c>
      <c r="D214" s="170">
        <v>59038.561700400001</v>
      </c>
    </row>
    <row r="215" spans="1:10" ht="15.75" customHeight="1">
      <c r="F215" s="141" t="s">
        <v>300</v>
      </c>
    </row>
    <row r="216" spans="1:10" ht="15.75" customHeight="1">
      <c r="F216" t="s">
        <v>359</v>
      </c>
      <c r="H216" s="155">
        <v>288581.23329793976</v>
      </c>
    </row>
    <row r="217" spans="1:10" ht="15.75" customHeight="1">
      <c r="F217" t="s">
        <v>358</v>
      </c>
      <c r="H217" s="155">
        <v>2587.9253975610918</v>
      </c>
    </row>
    <row r="218" spans="1:10" ht="15.75" customHeight="1">
      <c r="F218" t="s">
        <v>360</v>
      </c>
      <c r="H218" s="155">
        <v>65288.873638699137</v>
      </c>
    </row>
    <row r="219" spans="1:10" ht="15.75" customHeight="1"/>
    <row r="220" spans="1:10" ht="15.75" customHeight="1"/>
    <row r="221" spans="1:10" ht="15.75" customHeight="1">
      <c r="C221" s="174"/>
    </row>
    <row r="222" spans="1:10" ht="15.75" customHeight="1">
      <c r="A222" s="175" t="s">
        <v>361</v>
      </c>
      <c r="C222" s="174"/>
    </row>
    <row r="223" spans="1:10" ht="15.75" customHeight="1">
      <c r="C223" s="174"/>
    </row>
    <row r="224" spans="1:10" ht="15.75" customHeight="1">
      <c r="C224" s="176" t="s">
        <v>362</v>
      </c>
      <c r="D224" s="89">
        <v>3000</v>
      </c>
      <c r="E224" s="89" t="s">
        <v>363</v>
      </c>
    </row>
    <row r="225" spans="1:8" ht="15.75" customHeight="1">
      <c r="C225" s="176" t="s">
        <v>364</v>
      </c>
      <c r="D225" s="89">
        <v>5</v>
      </c>
      <c r="E225" s="89"/>
    </row>
    <row r="226" spans="1:8" ht="15.75" customHeight="1">
      <c r="C226" s="176" t="s">
        <v>365</v>
      </c>
      <c r="D226" s="89">
        <v>10</v>
      </c>
      <c r="E226" s="89"/>
    </row>
    <row r="227" spans="1:8" ht="15.75" customHeight="1">
      <c r="C227" s="176" t="s">
        <v>366</v>
      </c>
      <c r="D227" s="89">
        <v>200</v>
      </c>
      <c r="E227" s="89" t="s">
        <v>367</v>
      </c>
    </row>
    <row r="228" spans="1:8" ht="15.75" customHeight="1">
      <c r="C228" s="176" t="s">
        <v>368</v>
      </c>
      <c r="D228" s="89">
        <v>50</v>
      </c>
      <c r="E228" s="89"/>
    </row>
    <row r="229" spans="1:8" ht="15.75" customHeight="1">
      <c r="C229" s="176" t="s">
        <v>369</v>
      </c>
      <c r="D229" s="89">
        <v>50000</v>
      </c>
      <c r="E229" s="89"/>
    </row>
    <row r="230" spans="1:8" ht="15.75" customHeight="1">
      <c r="C230" s="174"/>
    </row>
    <row r="231" spans="1:8" ht="15.75" customHeight="1">
      <c r="C231" s="174"/>
    </row>
    <row r="232" spans="1:8" ht="15.75" customHeight="1">
      <c r="A232" s="627" t="s">
        <v>370</v>
      </c>
      <c r="B232" s="625"/>
      <c r="C232" s="625"/>
      <c r="D232" s="572"/>
    </row>
    <row r="233" spans="1:8" ht="15.75" customHeight="1">
      <c r="C233" s="174"/>
    </row>
    <row r="234" spans="1:8" ht="15.75" customHeight="1">
      <c r="B234" s="29"/>
      <c r="C234" s="29"/>
      <c r="D234" s="29"/>
      <c r="E234" s="177"/>
      <c r="F234" s="177"/>
      <c r="G234" s="177"/>
      <c r="H234" s="177"/>
    </row>
    <row r="235" spans="1:8" ht="15.75" customHeight="1">
      <c r="B235" s="177"/>
      <c r="C235" s="177"/>
      <c r="D235" s="178"/>
      <c r="E235" s="179" t="s">
        <v>371</v>
      </c>
      <c r="F235" s="180"/>
      <c r="G235" s="179" t="s">
        <v>372</v>
      </c>
      <c r="H235" s="180"/>
    </row>
    <row r="236" spans="1:8" ht="15.75" customHeight="1">
      <c r="B236" s="181" t="s">
        <v>373</v>
      </c>
      <c r="C236" s="182" t="s">
        <v>374</v>
      </c>
      <c r="D236" s="180" t="s">
        <v>375</v>
      </c>
      <c r="E236" s="183"/>
      <c r="F236" s="178"/>
      <c r="G236" s="183"/>
      <c r="H236" s="178"/>
    </row>
    <row r="237" spans="1:8" ht="15.75" customHeight="1">
      <c r="B237" s="184" t="s">
        <v>376</v>
      </c>
      <c r="C237" s="185" t="s">
        <v>14</v>
      </c>
      <c r="D237" s="186"/>
      <c r="E237" s="187">
        <v>11880</v>
      </c>
      <c r="F237" s="188"/>
      <c r="G237" s="187">
        <v>14850</v>
      </c>
      <c r="H237" s="189"/>
    </row>
    <row r="238" spans="1:8" ht="15.75" customHeight="1">
      <c r="B238" s="184" t="s">
        <v>377</v>
      </c>
      <c r="C238" s="185" t="s">
        <v>14</v>
      </c>
      <c r="D238" s="186"/>
      <c r="E238" s="190">
        <v>142.5</v>
      </c>
      <c r="F238" s="191"/>
      <c r="G238" s="190">
        <v>142.5</v>
      </c>
      <c r="H238" s="192"/>
    </row>
    <row r="239" spans="1:8" ht="15.75" customHeight="1">
      <c r="B239" s="184" t="s">
        <v>378</v>
      </c>
      <c r="C239" s="185" t="s">
        <v>14</v>
      </c>
      <c r="D239" s="186"/>
      <c r="E239" s="187">
        <v>12022</v>
      </c>
      <c r="F239" s="188"/>
      <c r="G239" s="190">
        <v>14850</v>
      </c>
      <c r="H239" s="189"/>
    </row>
    <row r="240" spans="1:8" ht="15.75" customHeight="1">
      <c r="B240" s="184" t="s">
        <v>379</v>
      </c>
      <c r="C240" s="185" t="s">
        <v>380</v>
      </c>
      <c r="D240" s="186"/>
      <c r="E240" s="193">
        <v>238.91</v>
      </c>
      <c r="F240" s="194"/>
      <c r="G240" s="193">
        <v>274.88</v>
      </c>
      <c r="H240" s="195"/>
    </row>
    <row r="241" spans="1:13" ht="15.75" customHeight="1">
      <c r="B241" s="184" t="s">
        <v>381</v>
      </c>
      <c r="C241" s="185" t="s">
        <v>380</v>
      </c>
      <c r="D241" s="186"/>
      <c r="E241" s="193">
        <v>20.77</v>
      </c>
      <c r="F241" s="194"/>
      <c r="G241" s="196">
        <v>20.77</v>
      </c>
      <c r="H241" s="195"/>
    </row>
    <row r="242" spans="1:13" ht="15.75" customHeight="1">
      <c r="B242" s="184" t="s">
        <v>382</v>
      </c>
      <c r="C242" s="185" t="s">
        <v>380</v>
      </c>
      <c r="D242" s="197"/>
      <c r="E242" s="193">
        <v>1195.17</v>
      </c>
      <c r="F242" s="194"/>
      <c r="G242" s="196">
        <v>1430.39</v>
      </c>
      <c r="H242" s="195"/>
      <c r="J242">
        <v>177949.98552863329</v>
      </c>
    </row>
    <row r="243" spans="1:13" ht="15.75" customHeight="1">
      <c r="B243" s="184" t="s">
        <v>383</v>
      </c>
      <c r="C243" s="185" t="s">
        <v>380</v>
      </c>
      <c r="D243" s="190">
        <v>102</v>
      </c>
      <c r="E243" s="198">
        <v>758.09249999999997</v>
      </c>
      <c r="F243" s="193"/>
      <c r="G243" s="198">
        <v>758.09249999999997</v>
      </c>
      <c r="H243" s="195"/>
    </row>
    <row r="244" spans="1:13" ht="15.75" customHeight="1">
      <c r="B244" s="199" t="s">
        <v>384</v>
      </c>
      <c r="C244" s="200" t="s">
        <v>380</v>
      </c>
      <c r="D244" s="201">
        <v>102</v>
      </c>
      <c r="E244" s="202">
        <v>1851.65</v>
      </c>
      <c r="F244" s="203"/>
      <c r="G244" s="204">
        <v>1430.39</v>
      </c>
      <c r="H244" s="205"/>
    </row>
    <row r="245" spans="1:13" ht="15.75" customHeight="1"/>
    <row r="246" spans="1:13" ht="15.75" customHeight="1"/>
    <row r="247" spans="1:13" ht="15.75" customHeight="1">
      <c r="A247" s="627" t="s">
        <v>385</v>
      </c>
      <c r="B247" s="625"/>
      <c r="C247" s="625"/>
      <c r="D247" s="572"/>
    </row>
    <row r="248" spans="1:13" ht="15.75" customHeight="1"/>
    <row r="249" spans="1:13" ht="15.75" customHeight="1"/>
    <row r="250" spans="1:13" ht="15.75" customHeight="1">
      <c r="A250" s="29"/>
      <c r="B250" s="27" t="s">
        <v>386</v>
      </c>
      <c r="C250" s="27"/>
      <c r="D250" s="27"/>
      <c r="E250" s="30" t="s">
        <v>387</v>
      </c>
      <c r="F250" s="206" t="s">
        <v>388</v>
      </c>
      <c r="G250" s="206"/>
      <c r="H250" s="29"/>
      <c r="I250" s="29"/>
      <c r="J250" s="29"/>
      <c r="K250" s="207"/>
      <c r="L250" s="29"/>
      <c r="M250" s="29"/>
    </row>
    <row r="251" spans="1:13" ht="15.75" customHeight="1">
      <c r="A251" s="29"/>
      <c r="B251" s="29"/>
      <c r="C251" s="177"/>
      <c r="D251" s="177"/>
      <c r="E251" s="177"/>
      <c r="F251" s="177"/>
      <c r="G251" s="177"/>
      <c r="H251" s="177"/>
      <c r="I251" s="29"/>
      <c r="J251" s="29"/>
      <c r="K251" s="29"/>
      <c r="L251" s="29"/>
      <c r="M251" s="29"/>
    </row>
    <row r="252" spans="1:13" ht="15.75" customHeight="1">
      <c r="A252" s="29"/>
      <c r="B252" s="208"/>
      <c r="C252" s="179" t="s">
        <v>389</v>
      </c>
      <c r="D252" s="179" t="s">
        <v>390</v>
      </c>
      <c r="E252" s="179" t="s">
        <v>391</v>
      </c>
      <c r="F252" s="179"/>
      <c r="G252" s="179"/>
      <c r="H252" s="180"/>
      <c r="I252" s="29"/>
      <c r="J252" s="29"/>
      <c r="K252" s="29"/>
      <c r="L252" s="29"/>
      <c r="M252" s="29"/>
    </row>
    <row r="253" spans="1:13" ht="15.75" customHeight="1">
      <c r="A253" s="29"/>
      <c r="B253" s="208"/>
      <c r="C253" s="185" t="s">
        <v>392</v>
      </c>
      <c r="D253" s="193">
        <v>379.05</v>
      </c>
      <c r="E253" s="209"/>
      <c r="F253" s="209"/>
      <c r="G253" s="209"/>
      <c r="H253" s="209"/>
      <c r="I253" s="210">
        <v>4873</v>
      </c>
      <c r="J253" s="29"/>
      <c r="K253" s="29"/>
      <c r="L253" s="29"/>
      <c r="M253" s="29"/>
    </row>
    <row r="254" spans="1:13" ht="15.75" customHeight="1">
      <c r="A254" s="29"/>
      <c r="B254" s="208"/>
      <c r="C254" s="185" t="s">
        <v>393</v>
      </c>
      <c r="D254" s="193">
        <v>252.7</v>
      </c>
      <c r="E254" s="209"/>
      <c r="F254" s="209"/>
      <c r="G254" s="209"/>
      <c r="H254" s="209"/>
      <c r="I254" s="210">
        <v>3249</v>
      </c>
      <c r="J254" s="29"/>
      <c r="K254" s="29"/>
      <c r="L254" s="29"/>
      <c r="M254" s="29"/>
    </row>
    <row r="255" spans="1:13" ht="15.75" customHeight="1">
      <c r="A255" s="29"/>
      <c r="B255" s="208"/>
      <c r="C255" s="185" t="s">
        <v>394</v>
      </c>
      <c r="D255" s="193">
        <v>126.35</v>
      </c>
      <c r="E255" s="209"/>
      <c r="F255" s="209"/>
      <c r="G255" s="209"/>
      <c r="H255" s="209"/>
      <c r="I255" s="210">
        <v>1624</v>
      </c>
      <c r="J255" s="29"/>
      <c r="K255" s="29"/>
      <c r="L255" s="29"/>
      <c r="M255" s="29"/>
    </row>
    <row r="256" spans="1:13" ht="15.75" customHeight="1">
      <c r="A256" s="29"/>
      <c r="B256" s="208"/>
      <c r="C256" s="185" t="s">
        <v>395</v>
      </c>
      <c r="D256" s="211">
        <v>758.09249999999997</v>
      </c>
      <c r="E256" s="212">
        <v>758.09249999999997</v>
      </c>
      <c r="F256" s="190" t="s">
        <v>13</v>
      </c>
      <c r="G256" s="193"/>
      <c r="H256" s="213"/>
      <c r="I256" s="210">
        <v>9747</v>
      </c>
      <c r="J256" s="29"/>
      <c r="K256" s="29"/>
      <c r="L256" s="214" t="s">
        <v>396</v>
      </c>
      <c r="M256" s="29"/>
    </row>
    <row r="257" spans="1:13" ht="15.75" customHeight="1">
      <c r="A257" s="29"/>
      <c r="B257" s="208"/>
      <c r="C257" s="185" t="s">
        <v>397</v>
      </c>
      <c r="D257" s="193">
        <v>1389.84</v>
      </c>
      <c r="E257" s="212">
        <v>758.09249999999997</v>
      </c>
      <c r="F257" s="190" t="s">
        <v>13</v>
      </c>
      <c r="G257" s="193"/>
      <c r="H257" s="213"/>
      <c r="I257" s="210">
        <v>17869</v>
      </c>
      <c r="J257" s="29"/>
      <c r="K257" s="29"/>
      <c r="L257" s="29"/>
      <c r="M257" s="29"/>
    </row>
    <row r="258" spans="1:13" ht="15.75" customHeight="1">
      <c r="A258" s="29"/>
      <c r="B258" s="208"/>
      <c r="C258" s="185" t="s">
        <v>398</v>
      </c>
      <c r="D258" s="193">
        <v>1263.49</v>
      </c>
      <c r="E258" s="209"/>
      <c r="F258" s="209"/>
      <c r="G258" s="209"/>
      <c r="H258" s="209"/>
      <c r="I258" s="210">
        <v>16244</v>
      </c>
      <c r="J258" s="29"/>
      <c r="K258" s="29"/>
      <c r="L258" s="29"/>
      <c r="M258" s="29"/>
    </row>
    <row r="259" spans="1:13" ht="15.75" customHeight="1">
      <c r="A259" s="29"/>
      <c r="B259" s="208"/>
      <c r="C259" s="185" t="s">
        <v>399</v>
      </c>
      <c r="D259" s="193">
        <v>1137.1400000000001</v>
      </c>
      <c r="E259" s="209"/>
      <c r="F259" s="209"/>
      <c r="G259" s="209"/>
      <c r="H259" s="209"/>
      <c r="I259" s="210">
        <v>14620</v>
      </c>
      <c r="J259" s="29"/>
      <c r="K259" s="29"/>
      <c r="L259" s="29"/>
      <c r="M259" s="29"/>
    </row>
    <row r="260" spans="1:13" ht="15.75" customHeight="1">
      <c r="A260" s="29"/>
      <c r="B260" s="208"/>
      <c r="C260" s="185" t="s">
        <v>400</v>
      </c>
      <c r="D260" s="193">
        <v>1010.79</v>
      </c>
      <c r="E260" s="209"/>
      <c r="F260" s="209"/>
      <c r="G260" s="209"/>
      <c r="H260" s="209"/>
      <c r="I260" s="210">
        <v>12996</v>
      </c>
      <c r="J260" s="29"/>
      <c r="K260" s="29"/>
      <c r="L260" s="29"/>
      <c r="M260" s="29"/>
    </row>
    <row r="261" spans="1:13" ht="15.75" customHeight="1">
      <c r="A261" s="29"/>
      <c r="B261" s="208"/>
      <c r="C261" s="185" t="s">
        <v>401</v>
      </c>
      <c r="D261" s="193">
        <v>884.44</v>
      </c>
      <c r="E261" s="209"/>
      <c r="F261" s="209"/>
      <c r="G261" s="209"/>
      <c r="H261" s="209"/>
      <c r="I261" s="210">
        <v>11371</v>
      </c>
      <c r="J261" s="29"/>
      <c r="K261" s="29"/>
      <c r="L261" s="29"/>
      <c r="M261" s="29"/>
    </row>
    <row r="262" spans="1:13" ht="15.75" customHeight="1">
      <c r="A262" s="29"/>
      <c r="B262" s="208"/>
      <c r="C262" s="185" t="s">
        <v>402</v>
      </c>
      <c r="D262" s="193">
        <v>758.09</v>
      </c>
      <c r="E262" s="209"/>
      <c r="F262" s="209"/>
      <c r="G262" s="209"/>
      <c r="H262" s="209"/>
      <c r="I262" s="210">
        <v>9747</v>
      </c>
      <c r="J262" s="29"/>
      <c r="K262" s="29"/>
      <c r="L262" s="29"/>
      <c r="M262" s="29"/>
    </row>
    <row r="263" spans="1:13" ht="15.75" customHeight="1">
      <c r="A263" s="29"/>
      <c r="B263" s="208"/>
      <c r="C263" s="185" t="s">
        <v>403</v>
      </c>
      <c r="D263" s="193">
        <v>631.74</v>
      </c>
      <c r="E263" s="209"/>
      <c r="F263" s="209"/>
      <c r="G263" s="209"/>
      <c r="H263" s="209"/>
      <c r="I263" s="210">
        <v>8122</v>
      </c>
      <c r="J263" s="29"/>
      <c r="K263" s="29"/>
      <c r="L263" s="29"/>
      <c r="M263" s="29"/>
    </row>
    <row r="264" spans="1:13" ht="15.75" customHeight="1">
      <c r="A264" s="29"/>
      <c r="B264" s="208"/>
      <c r="C264" s="200" t="s">
        <v>404</v>
      </c>
      <c r="D264" s="202">
        <v>505.4</v>
      </c>
      <c r="E264" s="209"/>
      <c r="F264" s="209"/>
      <c r="G264" s="209"/>
      <c r="H264" s="209"/>
      <c r="I264" s="210">
        <v>6498</v>
      </c>
      <c r="J264" s="29"/>
      <c r="K264" s="29"/>
      <c r="L264" s="29"/>
      <c r="M264" s="29"/>
    </row>
    <row r="265" spans="1:13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</row>
    <row r="266" spans="1:13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</row>
    <row r="267" spans="1:13" ht="15.75" customHeight="1">
      <c r="A267" s="29"/>
      <c r="B267" s="29" t="s">
        <v>405</v>
      </c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</row>
    <row r="268" spans="1:13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</row>
    <row r="269" spans="1:13" ht="15.75" customHeight="1">
      <c r="A269" s="29"/>
      <c r="B269" s="29"/>
      <c r="C269" s="215"/>
      <c r="D269" s="215"/>
      <c r="E269" s="215"/>
      <c r="F269" s="215"/>
      <c r="G269" s="215"/>
      <c r="H269" s="215"/>
      <c r="I269" s="29"/>
      <c r="J269" s="29"/>
      <c r="K269" s="29"/>
      <c r="L269" s="29"/>
      <c r="M269" s="29"/>
    </row>
    <row r="270" spans="1:13" ht="15.75" customHeight="1">
      <c r="A270" s="29"/>
      <c r="B270" s="216"/>
      <c r="C270" s="217" t="s">
        <v>406</v>
      </c>
      <c r="D270" s="218"/>
      <c r="E270" s="193">
        <v>9097.1224999999995</v>
      </c>
      <c r="F270" s="219" t="s">
        <v>13</v>
      </c>
      <c r="G270" s="193"/>
      <c r="H270" s="219"/>
      <c r="I270" s="29"/>
      <c r="J270" s="29"/>
      <c r="K270" s="29"/>
      <c r="L270" s="29"/>
      <c r="M270" s="29"/>
    </row>
    <row r="271" spans="1:13" ht="15.75" customHeight="1">
      <c r="A271" s="29"/>
      <c r="B271" s="216"/>
      <c r="C271" s="217" t="s">
        <v>407</v>
      </c>
      <c r="D271" s="218"/>
      <c r="E271" s="211">
        <v>758.09354166666662</v>
      </c>
      <c r="F271" s="219" t="s">
        <v>13</v>
      </c>
      <c r="G271" s="193"/>
      <c r="H271" s="219"/>
      <c r="I271" s="220" t="s">
        <v>408</v>
      </c>
      <c r="J271" s="29" t="s">
        <v>409</v>
      </c>
      <c r="K271" s="29"/>
      <c r="L271" s="29"/>
      <c r="M271" s="29"/>
    </row>
    <row r="272" spans="1:13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</row>
    <row r="273" spans="1:13" ht="15.75" customHeight="1">
      <c r="A273" s="29"/>
      <c r="B273" s="29"/>
      <c r="C273" s="29" t="s">
        <v>410</v>
      </c>
      <c r="D273" s="29"/>
      <c r="E273" s="29"/>
      <c r="F273" s="29"/>
      <c r="G273" s="29"/>
      <c r="H273" s="29"/>
      <c r="I273" s="29"/>
      <c r="J273" s="29"/>
      <c r="K273" s="29"/>
      <c r="L273" s="29"/>
      <c r="M273" s="29"/>
    </row>
    <row r="274" spans="1:13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</row>
    <row r="275" spans="1:13" ht="15.75" customHeight="1"/>
    <row r="276" spans="1:13" ht="15.75" customHeight="1"/>
    <row r="277" spans="1:13" ht="15.75" customHeight="1"/>
    <row r="278" spans="1:13" ht="15.75" customHeight="1">
      <c r="A278" s="627" t="s">
        <v>411</v>
      </c>
      <c r="B278" s="625"/>
      <c r="C278" s="625"/>
      <c r="D278" s="572"/>
    </row>
    <row r="279" spans="1:13" ht="15.75" customHeight="1"/>
    <row r="280" spans="1:13" ht="15.75" customHeight="1"/>
    <row r="281" spans="1:13" ht="15.75" customHeight="1">
      <c r="A281" t="s">
        <v>412</v>
      </c>
      <c r="D281" s="221">
        <v>12022</v>
      </c>
      <c r="F281" t="s">
        <v>413</v>
      </c>
    </row>
    <row r="282" spans="1:13" ht="15.75" customHeight="1">
      <c r="F282" t="s">
        <v>414</v>
      </c>
    </row>
    <row r="283" spans="1:13" ht="15.75" customHeight="1">
      <c r="A283" t="s">
        <v>415</v>
      </c>
      <c r="D283">
        <v>14850</v>
      </c>
      <c r="F283" t="s">
        <v>416</v>
      </c>
    </row>
    <row r="284" spans="1:13" ht="15.75" customHeight="1">
      <c r="F284" t="s">
        <v>357</v>
      </c>
      <c r="G284" s="222">
        <v>356458.03233419999</v>
      </c>
    </row>
    <row r="285" spans="1:13" ht="15.75" customHeight="1">
      <c r="A285" t="s">
        <v>417</v>
      </c>
      <c r="D285">
        <v>142.5</v>
      </c>
      <c r="F285" t="s">
        <v>236</v>
      </c>
      <c r="G285" s="223">
        <v>97591.646013417514</v>
      </c>
    </row>
    <row r="286" spans="1:13" ht="15.75" customHeight="1">
      <c r="F286" t="s">
        <v>418</v>
      </c>
    </row>
    <row r="287" spans="1:13" ht="15.75" customHeight="1"/>
    <row r="288" spans="1:13" ht="15.75" customHeight="1"/>
    <row r="289" spans="1:6" ht="15.75" customHeight="1">
      <c r="A289" t="s">
        <v>419</v>
      </c>
      <c r="D289" s="224">
        <v>758.09249999999997</v>
      </c>
    </row>
    <row r="290" spans="1:6" ht="15.75" customHeight="1"/>
    <row r="291" spans="1:6" ht="15.75" customHeight="1">
      <c r="A291" t="s">
        <v>420</v>
      </c>
      <c r="D291" s="225">
        <v>758.09354166666662</v>
      </c>
    </row>
    <row r="292" spans="1:6" ht="15.75" customHeight="1"/>
    <row r="293" spans="1:6" ht="15.75" customHeight="1">
      <c r="A293" t="s">
        <v>421</v>
      </c>
      <c r="D293" s="155">
        <v>1751.3859971375618</v>
      </c>
    </row>
    <row r="294" spans="1:6" ht="15.75" customHeight="1"/>
    <row r="295" spans="1:6" ht="15.75" customHeight="1">
      <c r="A295" t="s">
        <v>422</v>
      </c>
      <c r="D295" s="226">
        <v>101.60523483656486</v>
      </c>
    </row>
    <row r="296" spans="1:6" ht="15.75" customHeight="1"/>
    <row r="297" spans="1:6" ht="15.75" customHeight="1"/>
    <row r="298" spans="1:6" ht="15.75" customHeight="1">
      <c r="A298" t="s">
        <v>423</v>
      </c>
    </row>
    <row r="299" spans="1:6" ht="15.75" customHeight="1">
      <c r="A299" t="s">
        <v>424</v>
      </c>
    </row>
    <row r="300" spans="1:6" ht="15.75" customHeight="1"/>
    <row r="301" spans="1:6" ht="15.75" customHeight="1">
      <c r="A301" s="227"/>
      <c r="B301" s="228" t="s">
        <v>39</v>
      </c>
      <c r="C301" s="228" t="s">
        <v>425</v>
      </c>
      <c r="D301" s="228" t="s">
        <v>426</v>
      </c>
      <c r="E301" s="228" t="s">
        <v>427</v>
      </c>
      <c r="F301" s="228" t="s">
        <v>428</v>
      </c>
    </row>
    <row r="302" spans="1:6" ht="15.75" customHeight="1">
      <c r="A302" s="227" t="s">
        <v>429</v>
      </c>
      <c r="B302" s="229">
        <v>5048.4142142591072</v>
      </c>
      <c r="C302" s="229">
        <v>5277.7991959800102</v>
      </c>
      <c r="D302" s="229">
        <v>5277.7991959800102</v>
      </c>
      <c r="E302" s="229">
        <v>5277.7991959800102</v>
      </c>
      <c r="F302" s="229">
        <v>5277.7991959800102</v>
      </c>
    </row>
    <row r="303" spans="1:6" ht="15.75" customHeight="1">
      <c r="A303" s="227" t="s">
        <v>430</v>
      </c>
      <c r="B303" s="229">
        <v>718.332507606126</v>
      </c>
      <c r="C303" s="229">
        <v>713.10188216019651</v>
      </c>
      <c r="D303" s="229">
        <v>713.10188216019651</v>
      </c>
      <c r="E303" s="229">
        <v>713.10188216019651</v>
      </c>
      <c r="F303" s="229">
        <v>713.10188216019651</v>
      </c>
    </row>
    <row r="304" spans="1:6" ht="15.75" customHeight="1">
      <c r="A304" s="227" t="s">
        <v>431</v>
      </c>
      <c r="B304" s="229">
        <v>253.98485767459729</v>
      </c>
      <c r="C304" s="229">
        <v>257.39938030314499</v>
      </c>
      <c r="D304" s="229">
        <v>257.39938030314499</v>
      </c>
      <c r="E304" s="229">
        <v>257.39938030314499</v>
      </c>
      <c r="F304" s="229">
        <v>257.39938030314499</v>
      </c>
    </row>
    <row r="305" spans="1:6" ht="15.75" customHeight="1">
      <c r="A305" s="227" t="s">
        <v>432</v>
      </c>
      <c r="B305" s="229">
        <v>0</v>
      </c>
      <c r="C305" s="229">
        <v>0</v>
      </c>
      <c r="D305" s="229">
        <v>0</v>
      </c>
      <c r="E305" s="229">
        <v>0</v>
      </c>
      <c r="F305" s="229">
        <v>0</v>
      </c>
    </row>
    <row r="306" spans="1:6" ht="15.75" customHeight="1">
      <c r="A306" s="227" t="s">
        <v>433</v>
      </c>
      <c r="B306" s="229">
        <v>0</v>
      </c>
      <c r="C306" s="229">
        <v>0</v>
      </c>
      <c r="D306" s="229">
        <v>0</v>
      </c>
      <c r="E306" s="229">
        <v>0</v>
      </c>
      <c r="F306" s="229">
        <v>0</v>
      </c>
    </row>
    <row r="307" spans="1:6" ht="15.75" customHeight="1">
      <c r="A307" s="228" t="s">
        <v>177</v>
      </c>
      <c r="B307" s="230">
        <v>6020.7315795398299</v>
      </c>
      <c r="C307" s="230">
        <v>6248.300458443352</v>
      </c>
      <c r="D307" s="230">
        <v>6248.300458443352</v>
      </c>
      <c r="E307" s="230">
        <v>6248.300458443352</v>
      </c>
      <c r="F307" s="230">
        <v>6248.300458443352</v>
      </c>
    </row>
    <row r="308" spans="1:6" ht="15.75" customHeight="1">
      <c r="A308" s="227" t="s">
        <v>434</v>
      </c>
      <c r="B308" s="229">
        <v>6020.7315795398299</v>
      </c>
      <c r="C308" s="229">
        <v>227.56887890352209</v>
      </c>
      <c r="D308" s="229">
        <v>0</v>
      </c>
      <c r="E308" s="229">
        <v>0</v>
      </c>
      <c r="F308" s="229">
        <v>0</v>
      </c>
    </row>
    <row r="309" spans="1:6" ht="15.75" customHeight="1"/>
    <row r="310" spans="1:6" ht="15.75" customHeight="1"/>
    <row r="311" spans="1:6" ht="15.75" customHeight="1"/>
    <row r="312" spans="1:6" ht="15.75" customHeight="1"/>
    <row r="313" spans="1:6" ht="15.75" customHeight="1"/>
    <row r="314" spans="1:6" ht="15.75" customHeight="1"/>
    <row r="315" spans="1:6" ht="15.75" customHeight="1"/>
    <row r="316" spans="1:6" ht="15.75" customHeight="1"/>
    <row r="317" spans="1:6" ht="15.75" customHeight="1"/>
    <row r="318" spans="1:6" ht="15.75" customHeight="1"/>
    <row r="319" spans="1:6" ht="15.75" customHeight="1"/>
    <row r="320" spans="1: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</sheetData>
  <mergeCells count="56">
    <mergeCell ref="C119:G119"/>
    <mergeCell ref="C121:E121"/>
    <mergeCell ref="A278:D278"/>
    <mergeCell ref="A247:D247"/>
    <mergeCell ref="A232:D232"/>
    <mergeCell ref="B185:C185"/>
    <mergeCell ref="A1:B1"/>
    <mergeCell ref="D4:D5"/>
    <mergeCell ref="C4:C5"/>
    <mergeCell ref="B4:B5"/>
    <mergeCell ref="E4:E5"/>
    <mergeCell ref="F211:G211"/>
    <mergeCell ref="C207:E207"/>
    <mergeCell ref="F178:H178"/>
    <mergeCell ref="C160:H160"/>
    <mergeCell ref="E10:E11"/>
    <mergeCell ref="D10:D11"/>
    <mergeCell ref="C118:G118"/>
    <mergeCell ref="C99:I100"/>
    <mergeCell ref="A95:D95"/>
    <mergeCell ref="A83:D83"/>
    <mergeCell ref="C15:C16"/>
    <mergeCell ref="B15:B16"/>
    <mergeCell ref="G10:G11"/>
    <mergeCell ref="F10:F11"/>
    <mergeCell ref="E15:E16"/>
    <mergeCell ref="D15:D16"/>
    <mergeCell ref="C158:H158"/>
    <mergeCell ref="C165:H165"/>
    <mergeCell ref="C147:H147"/>
    <mergeCell ref="C149:H149"/>
    <mergeCell ref="C146:H146"/>
    <mergeCell ref="C131:F131"/>
    <mergeCell ref="C145:H145"/>
    <mergeCell ref="C144:H144"/>
    <mergeCell ref="C143:H143"/>
    <mergeCell ref="C205:C206"/>
    <mergeCell ref="C204:E204"/>
    <mergeCell ref="C151:F151"/>
    <mergeCell ref="C154:H154"/>
    <mergeCell ref="C153:H153"/>
    <mergeCell ref="C152:H152"/>
    <mergeCell ref="C164:H164"/>
    <mergeCell ref="C163:H163"/>
    <mergeCell ref="C198:E199"/>
    <mergeCell ref="E192:G192"/>
    <mergeCell ref="C155:H155"/>
    <mergeCell ref="C159:H159"/>
    <mergeCell ref="A20:B20"/>
    <mergeCell ref="B44:G44"/>
    <mergeCell ref="G4:G5"/>
    <mergeCell ref="F4:F5"/>
    <mergeCell ref="C10:C11"/>
    <mergeCell ref="B10:B11"/>
    <mergeCell ref="G15:G16"/>
    <mergeCell ref="F15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  <pageSetUpPr fitToPage="1"/>
  </sheetPr>
  <dimension ref="B4:M256"/>
  <sheetViews>
    <sheetView showGridLines="0" workbookViewId="0"/>
  </sheetViews>
  <sheetFormatPr defaultColWidth="14.44140625" defaultRowHeight="15" customHeight="1"/>
  <cols>
    <col min="1" max="1" width="14.44140625" customWidth="1"/>
    <col min="2" max="2" width="10.6640625" customWidth="1"/>
    <col min="3" max="3" width="24.44140625" customWidth="1"/>
    <col min="4" max="4" width="14.33203125" customWidth="1"/>
    <col min="5" max="5" width="53.6640625" customWidth="1"/>
    <col min="6" max="6" width="16.33203125" customWidth="1"/>
    <col min="7" max="7" width="18" customWidth="1"/>
    <col min="8" max="8" width="3.44140625" customWidth="1"/>
    <col min="9" max="9" width="19.5546875" customWidth="1"/>
    <col min="10" max="10" width="31.33203125" customWidth="1"/>
    <col min="11" max="11" width="8.109375" customWidth="1"/>
    <col min="12" max="12" width="20.44140625" customWidth="1"/>
    <col min="13" max="13" width="4.88671875" customWidth="1"/>
  </cols>
  <sheetData>
    <row r="4" spans="2:13" ht="13.2">
      <c r="B4" s="160" t="s">
        <v>435</v>
      </c>
      <c r="C4" t="s">
        <v>436</v>
      </c>
      <c r="D4" t="s">
        <v>437</v>
      </c>
      <c r="E4" t="s">
        <v>438</v>
      </c>
      <c r="F4" t="s">
        <v>439</v>
      </c>
      <c r="G4" t="s">
        <v>440</v>
      </c>
      <c r="I4" s="231" t="s">
        <v>441</v>
      </c>
    </row>
    <row r="5" spans="2:13" ht="13.2">
      <c r="C5" t="s">
        <v>168</v>
      </c>
      <c r="D5">
        <v>5000</v>
      </c>
      <c r="E5">
        <v>1</v>
      </c>
      <c r="F5">
        <v>5000</v>
      </c>
      <c r="G5" s="232"/>
    </row>
    <row r="6" spans="2:13" ht="13.2">
      <c r="C6" t="s">
        <v>152</v>
      </c>
      <c r="D6">
        <v>1800</v>
      </c>
      <c r="E6">
        <v>1</v>
      </c>
      <c r="F6" s="56">
        <v>1800</v>
      </c>
      <c r="G6" s="232"/>
    </row>
    <row r="7" spans="2:13" ht="13.2">
      <c r="C7" t="s">
        <v>442</v>
      </c>
      <c r="D7">
        <v>1500</v>
      </c>
      <c r="E7">
        <v>1</v>
      </c>
      <c r="F7">
        <v>1500</v>
      </c>
      <c r="G7" s="232"/>
    </row>
    <row r="8" spans="2:13" ht="13.2">
      <c r="C8" t="s">
        <v>443</v>
      </c>
      <c r="D8">
        <v>800</v>
      </c>
      <c r="E8">
        <v>1</v>
      </c>
      <c r="F8" s="56">
        <v>800</v>
      </c>
      <c r="G8" s="232"/>
    </row>
    <row r="9" spans="2:13" ht="13.2">
      <c r="C9" t="s">
        <v>159</v>
      </c>
      <c r="D9">
        <v>1400</v>
      </c>
      <c r="E9">
        <v>1</v>
      </c>
      <c r="F9" s="56">
        <v>1400</v>
      </c>
      <c r="G9" s="232"/>
    </row>
    <row r="10" spans="2:13" ht="13.2">
      <c r="C10" t="s">
        <v>444</v>
      </c>
      <c r="D10">
        <v>175</v>
      </c>
      <c r="E10">
        <v>2</v>
      </c>
      <c r="F10">
        <v>700</v>
      </c>
      <c r="G10" s="232"/>
    </row>
    <row r="11" spans="2:13" ht="13.2">
      <c r="C11" t="s">
        <v>445</v>
      </c>
      <c r="D11">
        <v>500</v>
      </c>
      <c r="E11">
        <v>3</v>
      </c>
      <c r="F11">
        <v>1500</v>
      </c>
      <c r="G11" s="232"/>
    </row>
    <row r="12" spans="2:13" ht="17.399999999999999">
      <c r="C12" t="s">
        <v>166</v>
      </c>
      <c r="D12">
        <v>300</v>
      </c>
      <c r="E12">
        <v>1</v>
      </c>
      <c r="F12">
        <v>300</v>
      </c>
      <c r="G12" s="232"/>
      <c r="H12" s="233"/>
      <c r="I12" s="629"/>
      <c r="J12" s="581"/>
      <c r="K12" s="581"/>
      <c r="L12" s="581"/>
      <c r="M12" s="582"/>
    </row>
    <row r="13" spans="2:13" ht="17.399999999999999">
      <c r="C13" t="s">
        <v>446</v>
      </c>
      <c r="D13">
        <v>1500</v>
      </c>
      <c r="E13">
        <v>1</v>
      </c>
      <c r="F13">
        <v>1500</v>
      </c>
      <c r="G13" s="232"/>
      <c r="H13" s="233"/>
      <c r="I13" s="583"/>
      <c r="J13" s="569"/>
      <c r="K13" s="569"/>
      <c r="L13" s="569"/>
      <c r="M13" s="584"/>
    </row>
    <row r="14" spans="2:13" ht="17.399999999999999">
      <c r="C14" t="s">
        <v>447</v>
      </c>
      <c r="D14">
        <v>600</v>
      </c>
      <c r="E14">
        <v>1</v>
      </c>
      <c r="F14">
        <v>600</v>
      </c>
      <c r="G14" s="232"/>
      <c r="H14" s="233"/>
      <c r="I14" s="583"/>
      <c r="J14" s="569"/>
      <c r="K14" s="569"/>
      <c r="L14" s="569"/>
      <c r="M14" s="584"/>
    </row>
    <row r="15" spans="2:13" ht="17.399999999999999">
      <c r="C15" t="s">
        <v>448</v>
      </c>
      <c r="D15">
        <v>210</v>
      </c>
      <c r="E15">
        <v>9</v>
      </c>
      <c r="F15">
        <v>17010</v>
      </c>
      <c r="G15" s="232"/>
      <c r="H15" s="233"/>
      <c r="I15" s="583"/>
      <c r="J15" s="569"/>
      <c r="K15" s="569"/>
      <c r="L15" s="569"/>
      <c r="M15" s="584"/>
    </row>
    <row r="16" spans="2:13" ht="17.399999999999999">
      <c r="C16" t="s">
        <v>200</v>
      </c>
      <c r="D16">
        <v>10</v>
      </c>
      <c r="E16">
        <v>7</v>
      </c>
      <c r="F16">
        <v>490</v>
      </c>
      <c r="G16" s="232"/>
      <c r="H16" s="233"/>
      <c r="I16" s="583"/>
      <c r="J16" s="569"/>
      <c r="K16" s="569"/>
      <c r="L16" s="569"/>
      <c r="M16" s="584"/>
    </row>
    <row r="17" spans="3:13" ht="17.399999999999999">
      <c r="C17" t="s">
        <v>204</v>
      </c>
      <c r="D17">
        <v>300</v>
      </c>
      <c r="E17">
        <v>4</v>
      </c>
      <c r="F17">
        <v>4800</v>
      </c>
      <c r="G17" s="232"/>
      <c r="H17" s="233"/>
      <c r="I17" s="583"/>
      <c r="J17" s="569"/>
      <c r="K17" s="569"/>
      <c r="L17" s="569"/>
      <c r="M17" s="584"/>
    </row>
    <row r="18" spans="3:13" ht="17.399999999999999">
      <c r="C18" t="s">
        <v>206</v>
      </c>
      <c r="D18">
        <v>200</v>
      </c>
      <c r="E18">
        <v>1</v>
      </c>
      <c r="F18">
        <v>200</v>
      </c>
      <c r="G18" s="232"/>
      <c r="H18" s="233"/>
      <c r="I18" s="585"/>
      <c r="J18" s="586"/>
      <c r="K18" s="586"/>
      <c r="L18" s="586"/>
      <c r="M18" s="587"/>
    </row>
    <row r="19" spans="3:13" ht="13.2">
      <c r="C19" t="s">
        <v>449</v>
      </c>
      <c r="D19">
        <v>2</v>
      </c>
      <c r="E19">
        <v>7</v>
      </c>
      <c r="F19">
        <v>98</v>
      </c>
      <c r="G19" s="232"/>
    </row>
    <row r="20" spans="3:13" ht="13.2">
      <c r="C20" t="s">
        <v>212</v>
      </c>
      <c r="D20">
        <v>80</v>
      </c>
      <c r="E20">
        <v>15</v>
      </c>
      <c r="F20">
        <v>18000</v>
      </c>
      <c r="G20" s="232"/>
    </row>
    <row r="21" spans="3:13" ht="15.75" customHeight="1">
      <c r="C21" t="s">
        <v>450</v>
      </c>
      <c r="D21">
        <v>2800</v>
      </c>
      <c r="E21">
        <v>5</v>
      </c>
      <c r="F21">
        <v>70000</v>
      </c>
      <c r="G21" s="232"/>
    </row>
    <row r="22" spans="3:13" ht="15.75" customHeight="1">
      <c r="C22" t="s">
        <v>220</v>
      </c>
      <c r="D22">
        <v>700</v>
      </c>
      <c r="E22">
        <v>2</v>
      </c>
      <c r="F22">
        <v>2800</v>
      </c>
      <c r="G22" s="232"/>
    </row>
    <row r="23" spans="3:13" ht="15.75" customHeight="1">
      <c r="C23" t="s">
        <v>223</v>
      </c>
      <c r="D23">
        <v>450</v>
      </c>
      <c r="E23">
        <v>1</v>
      </c>
      <c r="F23">
        <v>450</v>
      </c>
      <c r="G23" s="232"/>
      <c r="J23" t="s">
        <v>451</v>
      </c>
      <c r="K23" s="234">
        <v>8.0000000000000004E-4</v>
      </c>
      <c r="L23" t="s">
        <v>452</v>
      </c>
      <c r="M23" s="235">
        <v>0.9</v>
      </c>
    </row>
    <row r="24" spans="3:13" ht="15.75" customHeight="1">
      <c r="C24" t="s">
        <v>242</v>
      </c>
      <c r="D24">
        <v>6</v>
      </c>
      <c r="E24">
        <v>20</v>
      </c>
      <c r="F24">
        <v>2400</v>
      </c>
      <c r="G24" s="232"/>
      <c r="J24" t="s">
        <v>453</v>
      </c>
      <c r="K24" s="234">
        <v>2.9999999999999997E-4</v>
      </c>
      <c r="L24" t="s">
        <v>452</v>
      </c>
      <c r="M24" s="235">
        <v>0.9</v>
      </c>
    </row>
    <row r="25" spans="3:13" ht="15.75" customHeight="1">
      <c r="C25" t="s">
        <v>250</v>
      </c>
      <c r="D25">
        <v>7</v>
      </c>
      <c r="E25">
        <v>2</v>
      </c>
      <c r="F25">
        <v>28</v>
      </c>
      <c r="G25" s="232"/>
    </row>
    <row r="26" spans="3:13" ht="15.75" customHeight="1">
      <c r="E26" t="s">
        <v>454</v>
      </c>
      <c r="F26">
        <v>131376</v>
      </c>
    </row>
    <row r="27" spans="3:13" ht="15.75" customHeight="1">
      <c r="E27" t="s">
        <v>455</v>
      </c>
      <c r="F27" s="236">
        <v>131.376</v>
      </c>
      <c r="J27" t="s">
        <v>456</v>
      </c>
      <c r="K27" s="232">
        <v>2.75E-2</v>
      </c>
    </row>
    <row r="28" spans="3:13" ht="15.75" customHeight="1">
      <c r="E28" t="s">
        <v>457</v>
      </c>
      <c r="F28">
        <v>2890.2719999999999</v>
      </c>
    </row>
    <row r="29" spans="3:13" ht="15.75" customHeight="1"/>
    <row r="30" spans="3:13" ht="15.75" customHeight="1">
      <c r="E30" t="s">
        <v>458</v>
      </c>
      <c r="F30">
        <v>316</v>
      </c>
    </row>
    <row r="31" spans="3:13" ht="15.75" customHeight="1">
      <c r="E31" t="s">
        <v>459</v>
      </c>
      <c r="F31">
        <v>3.7959999999999998</v>
      </c>
      <c r="G31" s="163" t="s">
        <v>460</v>
      </c>
    </row>
    <row r="32" spans="3:13" ht="15.75" customHeight="1">
      <c r="E32" t="s">
        <v>461</v>
      </c>
      <c r="F32">
        <v>498.70329599999997</v>
      </c>
      <c r="G32" s="232"/>
    </row>
    <row r="33" spans="2:7" ht="15.75" customHeight="1">
      <c r="E33" s="237" t="s">
        <v>462</v>
      </c>
      <c r="F33" s="237">
        <v>11287.472511999998</v>
      </c>
    </row>
    <row r="34" spans="2:7" ht="15.75" customHeight="1">
      <c r="E34" t="s">
        <v>452</v>
      </c>
      <c r="F34" s="235">
        <v>0.96</v>
      </c>
    </row>
    <row r="35" spans="2:7" ht="15.75" customHeight="1"/>
    <row r="36" spans="2:7" ht="15.75" customHeight="1">
      <c r="D36" s="227" t="s">
        <v>463</v>
      </c>
      <c r="E36" s="227" t="s">
        <v>464</v>
      </c>
      <c r="F36" s="227" t="s">
        <v>104</v>
      </c>
      <c r="G36" s="227" t="s">
        <v>465</v>
      </c>
    </row>
    <row r="37" spans="2:7" ht="15.75" customHeight="1">
      <c r="B37" s="160" t="s">
        <v>466</v>
      </c>
      <c r="C37" t="s">
        <v>467</v>
      </c>
      <c r="D37" s="227" t="s">
        <v>238</v>
      </c>
      <c r="E37" s="227">
        <v>30</v>
      </c>
      <c r="F37" s="227">
        <v>2</v>
      </c>
      <c r="G37" s="238">
        <v>60</v>
      </c>
    </row>
    <row r="38" spans="2:7" ht="15.75" customHeight="1">
      <c r="D38" s="227" t="s">
        <v>468</v>
      </c>
      <c r="E38" s="227">
        <v>30</v>
      </c>
      <c r="F38" s="227">
        <v>2</v>
      </c>
      <c r="G38" s="238">
        <v>60</v>
      </c>
    </row>
    <row r="39" spans="2:7" ht="15.75" customHeight="1">
      <c r="D39" s="227" t="s">
        <v>469</v>
      </c>
      <c r="E39" s="227">
        <v>11</v>
      </c>
      <c r="F39" s="227">
        <v>1</v>
      </c>
      <c r="G39" s="238">
        <v>11</v>
      </c>
    </row>
    <row r="40" spans="2:7" ht="15.75" customHeight="1">
      <c r="D40" s="227" t="s">
        <v>470</v>
      </c>
      <c r="E40" s="227">
        <v>4</v>
      </c>
      <c r="F40" s="227">
        <v>1</v>
      </c>
      <c r="G40" s="238">
        <v>4</v>
      </c>
    </row>
    <row r="41" spans="2:7" ht="15.75" customHeight="1">
      <c r="D41" s="227" t="s">
        <v>471</v>
      </c>
      <c r="E41" s="227">
        <v>2</v>
      </c>
      <c r="F41" s="227">
        <v>1</v>
      </c>
      <c r="G41" s="238">
        <v>2</v>
      </c>
    </row>
    <row r="42" spans="2:7" ht="15.75" customHeight="1">
      <c r="F42" s="239" t="s">
        <v>472</v>
      </c>
      <c r="G42" s="240">
        <v>137</v>
      </c>
    </row>
    <row r="43" spans="2:7" ht="15.75" customHeight="1">
      <c r="E43" s="241" t="s">
        <v>473</v>
      </c>
    </row>
    <row r="44" spans="2:7" ht="15.75" customHeight="1"/>
    <row r="45" spans="2:7" ht="15.75" customHeight="1">
      <c r="F45" t="s">
        <v>474</v>
      </c>
      <c r="G45" s="53">
        <v>230</v>
      </c>
    </row>
    <row r="46" spans="2:7" ht="15.75" customHeight="1">
      <c r="F46" t="s">
        <v>475</v>
      </c>
      <c r="G46" s="53">
        <v>20.359000000000002</v>
      </c>
    </row>
    <row r="47" spans="2:7" ht="15.75" customHeight="1">
      <c r="F47" t="s">
        <v>476</v>
      </c>
      <c r="G47" s="242">
        <v>2789.1830000000004</v>
      </c>
    </row>
    <row r="48" spans="2:7" ht="15.75" customHeight="1">
      <c r="F48" s="237" t="s">
        <v>477</v>
      </c>
      <c r="G48" s="243">
        <v>3019.1830000000004</v>
      </c>
    </row>
    <row r="49" spans="2:6" ht="15.75" customHeight="1"/>
    <row r="50" spans="2:6" ht="15.75" customHeight="1">
      <c r="B50" s="160" t="s">
        <v>478</v>
      </c>
      <c r="C50" t="s">
        <v>479</v>
      </c>
      <c r="D50">
        <v>250</v>
      </c>
    </row>
    <row r="51" spans="2:6" ht="15.75" customHeight="1">
      <c r="C51" t="s">
        <v>480</v>
      </c>
      <c r="D51">
        <v>6.3019999999999996</v>
      </c>
    </row>
    <row r="52" spans="2:6" ht="15.75" customHeight="1">
      <c r="C52" s="237" t="s">
        <v>481</v>
      </c>
      <c r="D52" s="237">
        <v>754.16</v>
      </c>
    </row>
    <row r="53" spans="2:6" ht="15.75" customHeight="1"/>
    <row r="54" spans="2:6" ht="15.75" customHeight="1"/>
    <row r="55" spans="2:6" ht="15.75" customHeight="1">
      <c r="E55" t="s">
        <v>482</v>
      </c>
    </row>
    <row r="56" spans="2:6" ht="15.75" customHeight="1">
      <c r="E56" t="s">
        <v>305</v>
      </c>
      <c r="F56" s="223">
        <v>104025.34667059197</v>
      </c>
    </row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</sheetData>
  <mergeCells count="1">
    <mergeCell ref="I12:M18"/>
  </mergeCells>
  <hyperlinks>
    <hyperlink ref="E43" r:id="rId1" xr:uid="{00000000-0004-0000-0400-000000000000}"/>
  </hyperlink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48"/>
  <sheetViews>
    <sheetView showGridLines="0" workbookViewId="0"/>
  </sheetViews>
  <sheetFormatPr defaultColWidth="14.44140625" defaultRowHeight="15" customHeight="1"/>
  <cols>
    <col min="1" max="1" width="42.109375" customWidth="1"/>
    <col min="2" max="2" width="22.88671875" customWidth="1"/>
    <col min="3" max="3" width="11" customWidth="1"/>
    <col min="4" max="4" width="17.33203125" customWidth="1"/>
    <col min="5" max="5" width="11" customWidth="1"/>
    <col min="6" max="6" width="6.88671875" customWidth="1"/>
    <col min="7" max="12" width="11" customWidth="1"/>
    <col min="13" max="13" width="17" customWidth="1"/>
    <col min="14" max="17" width="11" customWidth="1"/>
  </cols>
  <sheetData>
    <row r="1" spans="1:13" ht="14.25" customHeight="1">
      <c r="A1" s="244" t="s">
        <v>483</v>
      </c>
      <c r="E1" s="245">
        <v>10</v>
      </c>
    </row>
    <row r="2" spans="1:13" ht="15.75" customHeight="1">
      <c r="G2" s="639" t="s">
        <v>484</v>
      </c>
      <c r="H2" s="640"/>
      <c r="I2" s="640"/>
      <c r="J2" s="640"/>
      <c r="K2" s="640"/>
      <c r="L2" s="640"/>
      <c r="M2" s="641"/>
    </row>
    <row r="3" spans="1:13" ht="14.25" customHeight="1">
      <c r="A3" s="246" t="s">
        <v>485</v>
      </c>
      <c r="B3" s="247">
        <v>0.21</v>
      </c>
      <c r="G3" s="642" t="s">
        <v>486</v>
      </c>
      <c r="H3" s="631"/>
      <c r="I3" s="631"/>
      <c r="J3" s="631"/>
      <c r="K3" s="631"/>
      <c r="L3" s="631"/>
      <c r="M3" s="632"/>
    </row>
    <row r="4" spans="1:13" ht="14.25" customHeight="1">
      <c r="A4" s="246" t="s">
        <v>487</v>
      </c>
      <c r="B4" s="247">
        <v>0.35</v>
      </c>
      <c r="G4" s="643"/>
      <c r="H4" s="569"/>
      <c r="I4" s="569"/>
      <c r="J4" s="569"/>
      <c r="K4" s="569"/>
      <c r="L4" s="569"/>
      <c r="M4" s="644"/>
    </row>
    <row r="5" spans="1:13" ht="14.25" customHeight="1">
      <c r="A5" s="246" t="s">
        <v>488</v>
      </c>
      <c r="B5" s="247">
        <v>0.08</v>
      </c>
      <c r="C5" t="s">
        <v>489</v>
      </c>
      <c r="G5" s="643"/>
      <c r="H5" s="569"/>
      <c r="I5" s="569"/>
      <c r="J5" s="569"/>
      <c r="K5" s="569"/>
      <c r="L5" s="569"/>
      <c r="M5" s="644"/>
    </row>
    <row r="6" spans="1:13" ht="14.25" customHeight="1">
      <c r="G6" s="633"/>
      <c r="H6" s="634"/>
      <c r="I6" s="634"/>
      <c r="J6" s="634"/>
      <c r="K6" s="634"/>
      <c r="L6" s="634"/>
      <c r="M6" s="635"/>
    </row>
    <row r="7" spans="1:13" ht="14.25" customHeight="1">
      <c r="A7" s="246" t="s">
        <v>490</v>
      </c>
      <c r="B7" t="s">
        <v>491</v>
      </c>
      <c r="G7" s="630" t="s">
        <v>492</v>
      </c>
      <c r="H7" s="631"/>
      <c r="I7" s="631"/>
      <c r="J7" s="631"/>
      <c r="K7" s="631"/>
      <c r="L7" s="631"/>
      <c r="M7" s="632"/>
    </row>
    <row r="8" spans="1:13" ht="14.25" customHeight="1">
      <c r="A8" s="248" t="s">
        <v>493</v>
      </c>
      <c r="B8" s="249">
        <v>30</v>
      </c>
      <c r="C8" t="s">
        <v>494</v>
      </c>
      <c r="G8" s="633"/>
      <c r="H8" s="634"/>
      <c r="I8" s="634"/>
      <c r="J8" s="634"/>
      <c r="K8" s="634"/>
      <c r="L8" s="634"/>
      <c r="M8" s="635"/>
    </row>
    <row r="9" spans="1:13" ht="14.25" customHeight="1">
      <c r="A9" s="248" t="s">
        <v>495</v>
      </c>
      <c r="B9" s="249">
        <v>10</v>
      </c>
      <c r="C9" t="s">
        <v>494</v>
      </c>
      <c r="G9" s="645" t="s">
        <v>496</v>
      </c>
      <c r="H9" s="640"/>
      <c r="I9" s="640"/>
      <c r="J9" s="640"/>
      <c r="K9" s="640"/>
      <c r="L9" s="640"/>
      <c r="M9" s="641"/>
    </row>
    <row r="10" spans="1:13" ht="14.25" customHeight="1">
      <c r="A10" s="248" t="s">
        <v>497</v>
      </c>
      <c r="B10" s="249">
        <v>10</v>
      </c>
      <c r="C10" t="s">
        <v>494</v>
      </c>
      <c r="G10" s="630" t="s">
        <v>498</v>
      </c>
      <c r="H10" s="631"/>
      <c r="I10" s="631"/>
      <c r="J10" s="631"/>
      <c r="K10" s="631"/>
      <c r="L10" s="631"/>
      <c r="M10" s="632"/>
    </row>
    <row r="11" spans="1:13" ht="14.25" customHeight="1">
      <c r="A11" s="248" t="s">
        <v>499</v>
      </c>
      <c r="B11" s="249">
        <v>5</v>
      </c>
      <c r="C11" t="s">
        <v>494</v>
      </c>
      <c r="G11" s="633"/>
      <c r="H11" s="634"/>
      <c r="I11" s="634"/>
      <c r="J11" s="634"/>
      <c r="K11" s="634"/>
      <c r="L11" s="634"/>
      <c r="M11" s="635"/>
    </row>
    <row r="12" spans="1:13" ht="14.25" customHeight="1">
      <c r="A12" s="248" t="s">
        <v>500</v>
      </c>
      <c r="B12" s="249">
        <v>5</v>
      </c>
      <c r="C12" t="s">
        <v>494</v>
      </c>
      <c r="G12" s="630" t="s">
        <v>501</v>
      </c>
      <c r="H12" s="631"/>
      <c r="I12" s="631"/>
      <c r="J12" s="631"/>
      <c r="K12" s="631"/>
      <c r="L12" s="631"/>
      <c r="M12" s="632"/>
    </row>
    <row r="13" spans="1:13" ht="14.25" customHeight="1">
      <c r="A13" s="248" t="s">
        <v>502</v>
      </c>
      <c r="B13" s="249">
        <v>3</v>
      </c>
      <c r="C13" t="s">
        <v>494</v>
      </c>
      <c r="G13" s="633"/>
      <c r="H13" s="634"/>
      <c r="I13" s="634"/>
      <c r="J13" s="634"/>
      <c r="K13" s="634"/>
      <c r="L13" s="634"/>
      <c r="M13" s="635"/>
    </row>
    <row r="14" spans="1:13" ht="12.75" customHeight="1">
      <c r="A14" s="248" t="s">
        <v>503</v>
      </c>
      <c r="B14" s="249">
        <v>5</v>
      </c>
      <c r="C14" t="s">
        <v>494</v>
      </c>
    </row>
    <row r="15" spans="1:13" ht="14.25" customHeight="1">
      <c r="A15" s="248" t="s">
        <v>504</v>
      </c>
      <c r="B15" s="250">
        <v>0.09</v>
      </c>
    </row>
    <row r="16" spans="1:13" ht="12.75" customHeight="1"/>
    <row r="17" spans="1:7" ht="14.25" customHeight="1">
      <c r="A17" s="246" t="s">
        <v>505</v>
      </c>
      <c r="B17" s="251" t="s">
        <v>506</v>
      </c>
      <c r="C17" s="252"/>
      <c r="D17" s="252"/>
      <c r="E17" s="252"/>
      <c r="F17" s="252"/>
      <c r="G17" s="253"/>
    </row>
    <row r="18" spans="1:7" ht="14.25" customHeight="1"/>
    <row r="19" spans="1:7" ht="12.75" customHeight="1">
      <c r="A19" s="246" t="s">
        <v>507</v>
      </c>
      <c r="B19" s="254">
        <f>AVERAGE('Conformación de Datos'!C6:G6)</f>
        <v>14256</v>
      </c>
      <c r="C19" t="s">
        <v>508</v>
      </c>
    </row>
    <row r="20" spans="1:7" ht="14.25" customHeight="1">
      <c r="A20" s="246" t="s">
        <v>509</v>
      </c>
      <c r="B20" s="255">
        <f>'Conformación de Datos'!C12</f>
        <v>1427.2727272727273</v>
      </c>
      <c r="C20" t="s">
        <v>510</v>
      </c>
    </row>
    <row r="21" spans="1:7" ht="12.75" customHeight="1"/>
    <row r="22" spans="1:7" ht="12.75" customHeight="1">
      <c r="A22" s="246" t="s">
        <v>511</v>
      </c>
    </row>
    <row r="23" spans="1:7" ht="12.75" customHeight="1">
      <c r="A23" s="246" t="s">
        <v>512</v>
      </c>
      <c r="B23" s="256">
        <v>6</v>
      </c>
      <c r="C23" t="s">
        <v>513</v>
      </c>
    </row>
    <row r="24" spans="1:7" ht="12.75" customHeight="1">
      <c r="A24" s="246" t="s">
        <v>514</v>
      </c>
      <c r="B24" s="256">
        <v>3</v>
      </c>
      <c r="C24" t="s">
        <v>513</v>
      </c>
    </row>
    <row r="25" spans="1:7" ht="12.75" customHeight="1">
      <c r="A25" s="246" t="s">
        <v>515</v>
      </c>
      <c r="B25" s="256">
        <v>4</v>
      </c>
      <c r="C25" t="s">
        <v>513</v>
      </c>
    </row>
    <row r="26" spans="1:7" ht="12.75" customHeight="1">
      <c r="B26" s="53"/>
    </row>
    <row r="27" spans="1:7" ht="12.75" customHeight="1">
      <c r="A27" s="246" t="s">
        <v>516</v>
      </c>
      <c r="B27" s="256">
        <f>15*60</f>
        <v>900</v>
      </c>
      <c r="C27" t="s">
        <v>517</v>
      </c>
    </row>
    <row r="28" spans="1:7" ht="14.25" customHeight="1">
      <c r="A28" s="246" t="s">
        <v>518</v>
      </c>
      <c r="B28" s="256">
        <v>19</v>
      </c>
      <c r="C28" t="s">
        <v>519</v>
      </c>
    </row>
    <row r="29" spans="1:7" ht="12.75" customHeight="1">
      <c r="A29" s="246" t="s">
        <v>520</v>
      </c>
      <c r="B29" s="256">
        <v>3</v>
      </c>
      <c r="C29" t="s">
        <v>519</v>
      </c>
    </row>
    <row r="30" spans="1:7" ht="12.75" customHeight="1">
      <c r="B30" s="53"/>
    </row>
    <row r="31" spans="1:7" ht="12.75" customHeight="1">
      <c r="B31" s="53"/>
    </row>
    <row r="32" spans="1:7" ht="14.25" customHeight="1">
      <c r="A32" s="246" t="s">
        <v>521</v>
      </c>
      <c r="B32" s="256">
        <v>41</v>
      </c>
      <c r="C32" t="s">
        <v>522</v>
      </c>
      <c r="D32" s="256">
        <v>1</v>
      </c>
      <c r="E32" t="s">
        <v>523</v>
      </c>
    </row>
    <row r="33" spans="1:7" ht="12.75" customHeight="1">
      <c r="A33" s="141"/>
      <c r="B33" s="53"/>
    </row>
    <row r="34" spans="1:7" ht="14.25" customHeight="1">
      <c r="A34" s="141"/>
    </row>
    <row r="35" spans="1:7" ht="12.75" customHeight="1">
      <c r="A35" s="246" t="s">
        <v>524</v>
      </c>
      <c r="B35" s="257"/>
      <c r="C35" t="s">
        <v>525</v>
      </c>
      <c r="G35" s="258" t="s">
        <v>526</v>
      </c>
    </row>
    <row r="36" spans="1:7" ht="12.75" customHeight="1">
      <c r="A36" s="246" t="s">
        <v>527</v>
      </c>
      <c r="B36" s="636"/>
      <c r="C36" s="637"/>
      <c r="D36" s="638"/>
    </row>
    <row r="37" spans="1:7" ht="12.75" customHeight="1">
      <c r="A37" s="246" t="s">
        <v>528</v>
      </c>
      <c r="B37" s="259"/>
    </row>
    <row r="38" spans="1:7" ht="14.25" customHeight="1">
      <c r="A38" s="246"/>
    </row>
    <row r="39" spans="1:7" ht="12.75" customHeight="1">
      <c r="A39" s="246" t="s">
        <v>529</v>
      </c>
      <c r="B39" s="260"/>
    </row>
    <row r="40" spans="1:7" ht="12.75" customHeight="1">
      <c r="A40" s="246" t="s">
        <v>530</v>
      </c>
      <c r="B40" s="260"/>
    </row>
    <row r="41" spans="1:7" ht="12.75" customHeight="1">
      <c r="A41" s="246" t="s">
        <v>531</v>
      </c>
      <c r="B41" s="260"/>
      <c r="C41" t="s">
        <v>525</v>
      </c>
    </row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4.2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spans="17:17" ht="12.75" customHeight="1"/>
    <row r="242" spans="17:17" ht="12.75" customHeight="1"/>
    <row r="243" spans="17:17" ht="12.75" customHeight="1"/>
    <row r="244" spans="17:17" ht="12.75" customHeight="1"/>
    <row r="245" spans="17:17" ht="12.75" customHeight="1"/>
    <row r="246" spans="17:17" ht="12.75" customHeight="1"/>
    <row r="247" spans="17:17" ht="12.75" customHeight="1"/>
    <row r="248" spans="17:17" ht="12.75" customHeight="1">
      <c r="Q248" s="258" t="s">
        <v>532</v>
      </c>
    </row>
    <row r="249" spans="17:17" ht="12.75" customHeight="1"/>
    <row r="250" spans="17:17" ht="12.75" customHeight="1"/>
    <row r="251" spans="17:17" ht="12.75" customHeight="1"/>
    <row r="252" spans="17:17" ht="12.75" customHeight="1"/>
    <row r="253" spans="17:17" ht="12.75" customHeight="1"/>
    <row r="254" spans="17:17" ht="12.75" customHeight="1"/>
    <row r="255" spans="17:17" ht="12.75" customHeight="1"/>
    <row r="256" spans="17:17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</sheetData>
  <mergeCells count="7">
    <mergeCell ref="G12:M13"/>
    <mergeCell ref="B36:D36"/>
    <mergeCell ref="G2:M2"/>
    <mergeCell ref="G3:M6"/>
    <mergeCell ref="G7:M8"/>
    <mergeCell ref="G9:M9"/>
    <mergeCell ref="G10:M11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264"/>
  <sheetViews>
    <sheetView showGridLines="0" workbookViewId="0"/>
  </sheetViews>
  <sheetFormatPr defaultColWidth="14.44140625" defaultRowHeight="15" customHeight="1"/>
  <cols>
    <col min="1" max="1" width="45.33203125" customWidth="1"/>
    <col min="2" max="3" width="14.6640625" customWidth="1"/>
    <col min="4" max="4" width="19.33203125" customWidth="1"/>
    <col min="5" max="5" width="19.109375" customWidth="1"/>
    <col min="6" max="6" width="14.6640625" customWidth="1"/>
    <col min="7" max="7" width="16.5546875" customWidth="1"/>
    <col min="8" max="8" width="11.33203125" customWidth="1"/>
    <col min="9" max="25" width="9" customWidth="1"/>
  </cols>
  <sheetData>
    <row r="1" spans="1:25" ht="14.25" customHeight="1">
      <c r="A1" s="244" t="s">
        <v>533</v>
      </c>
      <c r="E1" s="245">
        <f>InfoInicial!E1</f>
        <v>10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</row>
    <row r="2" spans="1:25" ht="13.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</row>
    <row r="3" spans="1:25" ht="16.5" customHeight="1">
      <c r="A3" s="261" t="s">
        <v>534</v>
      </c>
      <c r="B3" s="646" t="s">
        <v>535</v>
      </c>
      <c r="C3" s="647"/>
      <c r="D3" s="646" t="s">
        <v>536</v>
      </c>
      <c r="E3" s="648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5" ht="16.5" customHeight="1">
      <c r="A4" s="262"/>
      <c r="B4" s="263" t="s">
        <v>537</v>
      </c>
      <c r="C4" s="263" t="s">
        <v>39</v>
      </c>
      <c r="D4" s="263" t="s">
        <v>537</v>
      </c>
      <c r="E4" s="264" t="s">
        <v>39</v>
      </c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5" ht="13.5" customHeight="1">
      <c r="A5" s="265"/>
      <c r="B5" s="266"/>
      <c r="C5" s="266"/>
      <c r="D5" s="266"/>
      <c r="E5" s="266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6" spans="1:25" ht="12.75" customHeight="1">
      <c r="A6" s="267" t="s">
        <v>538</v>
      </c>
      <c r="B6" s="268"/>
      <c r="C6" s="268"/>
      <c r="D6" s="268"/>
      <c r="E6" s="268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</row>
    <row r="7" spans="1:25" ht="12.75" customHeight="1">
      <c r="A7" s="269" t="s">
        <v>539</v>
      </c>
      <c r="B7" s="270">
        <f>'Conformación de Datos'!D38</f>
        <v>7502726</v>
      </c>
      <c r="C7" s="271"/>
      <c r="D7" s="271"/>
      <c r="E7" s="27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1:25" ht="12.75" customHeight="1">
      <c r="A8" s="269" t="s">
        <v>540</v>
      </c>
      <c r="B8" s="270">
        <f>'Conformación de Datos'!E41</f>
        <v>8897274</v>
      </c>
      <c r="C8" s="271"/>
      <c r="D8" s="271"/>
      <c r="E8" s="27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</row>
    <row r="9" spans="1:25" ht="12.75" customHeight="1">
      <c r="A9" s="269" t="s">
        <v>541</v>
      </c>
      <c r="B9" s="271">
        <f>0.8*B8</f>
        <v>7117819.2000000002</v>
      </c>
      <c r="C9" s="271"/>
      <c r="D9" s="271"/>
      <c r="E9" s="27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</row>
    <row r="10" spans="1:25" ht="12.75" customHeight="1">
      <c r="A10" s="269" t="s">
        <v>542</v>
      </c>
      <c r="B10" s="271"/>
      <c r="C10" s="271"/>
      <c r="D10" s="271"/>
      <c r="E10" s="27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</row>
    <row r="11" spans="1:25" ht="12.75" customHeight="1">
      <c r="A11" s="269" t="s">
        <v>543</v>
      </c>
      <c r="B11" s="271"/>
      <c r="C11" s="271"/>
      <c r="D11" s="271">
        <f>('Conformación de Datos'!D25+'Conformación de Datos'!D25*0.05)*InfoInicial!B32</f>
        <v>34440</v>
      </c>
      <c r="E11" s="27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2" spans="1:25" ht="12.75" customHeight="1">
      <c r="A12" s="269" t="s">
        <v>544</v>
      </c>
      <c r="B12" s="271">
        <f>'Conformación de Datos'!E34</f>
        <v>554000</v>
      </c>
      <c r="C12" s="271"/>
      <c r="D12" s="271"/>
      <c r="E12" s="27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</row>
    <row r="13" spans="1:25" ht="12.75" customHeight="1">
      <c r="A13" s="272" t="s">
        <v>545</v>
      </c>
      <c r="B13" s="271">
        <f>D11*0.11</f>
        <v>3788.4</v>
      </c>
      <c r="C13" s="271"/>
      <c r="D13" s="271"/>
      <c r="E13" s="27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</row>
    <row r="14" spans="1:25" ht="12.75" customHeight="1">
      <c r="A14" s="269" t="s">
        <v>546</v>
      </c>
      <c r="B14" s="273">
        <f>B12*0.1</f>
        <v>55400</v>
      </c>
      <c r="C14" s="271"/>
      <c r="D14" s="271"/>
      <c r="E14" s="271"/>
      <c r="F14" s="156" t="s">
        <v>547</v>
      </c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</row>
    <row r="15" spans="1:25" ht="12.75" customHeight="1">
      <c r="A15" s="269" t="s">
        <v>344</v>
      </c>
      <c r="B15" s="271">
        <f>'Conformación de Datos'!K34</f>
        <v>162500</v>
      </c>
      <c r="C15" s="271"/>
      <c r="D15" s="271"/>
      <c r="E15" s="27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</row>
    <row r="16" spans="1:25" ht="12.75" customHeight="1">
      <c r="A16" s="269" t="s">
        <v>548</v>
      </c>
      <c r="B16" s="271" t="s">
        <v>235</v>
      </c>
      <c r="C16" s="271"/>
      <c r="D16" s="271"/>
      <c r="E16" s="27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</row>
    <row r="17" spans="1:25" ht="12.75" customHeight="1">
      <c r="A17" s="269" t="s">
        <v>549</v>
      </c>
      <c r="B17" s="271">
        <f>'Conformación de Datos'!G81</f>
        <v>1144687.32</v>
      </c>
      <c r="C17" s="271"/>
      <c r="D17" s="271"/>
      <c r="E17" s="27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</row>
    <row r="18" spans="1:25" ht="12.75" customHeight="1">
      <c r="A18" s="269" t="s">
        <v>550</v>
      </c>
      <c r="B18" s="271" t="s">
        <v>235</v>
      </c>
      <c r="C18" s="271"/>
      <c r="D18" s="271"/>
      <c r="E18" s="27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</row>
    <row r="19" spans="1:25" ht="12.75" customHeight="1">
      <c r="A19" s="269" t="s">
        <v>504</v>
      </c>
      <c r="B19" s="273">
        <f>SUM(B7:B18)*0.09</f>
        <v>2289437.5427999999</v>
      </c>
      <c r="C19" s="271"/>
      <c r="D19" s="271"/>
      <c r="E19" s="271"/>
      <c r="F19" s="156" t="s">
        <v>551</v>
      </c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</row>
    <row r="20" spans="1:25" ht="12.75" customHeight="1">
      <c r="A20" s="269"/>
      <c r="B20" s="271"/>
      <c r="C20" s="271"/>
      <c r="D20" s="271"/>
      <c r="E20" s="271"/>
      <c r="F20" s="160" t="s">
        <v>552</v>
      </c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</row>
    <row r="21" spans="1:25" ht="12.75" customHeight="1">
      <c r="A21" s="267" t="s">
        <v>553</v>
      </c>
      <c r="B21" s="271">
        <f t="shared" ref="B21:E21" si="0">SUM(B7:B19)</f>
        <v>27727632.462799996</v>
      </c>
      <c r="C21" s="271">
        <f t="shared" si="0"/>
        <v>0</v>
      </c>
      <c r="D21" s="271">
        <f t="shared" si="0"/>
        <v>34440</v>
      </c>
      <c r="E21" s="271">
        <f t="shared" si="0"/>
        <v>0</v>
      </c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</row>
    <row r="22" spans="1:25" ht="12.75" customHeight="1">
      <c r="A22" s="269"/>
      <c r="B22" s="271"/>
      <c r="C22" s="271"/>
      <c r="D22" s="271"/>
      <c r="E22" s="27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</row>
    <row r="23" spans="1:25" ht="12.75" customHeight="1">
      <c r="A23" s="267" t="s">
        <v>554</v>
      </c>
      <c r="B23" s="271"/>
      <c r="C23" s="271"/>
      <c r="D23" s="271"/>
      <c r="E23" s="27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</row>
    <row r="24" spans="1:25" ht="12.75" customHeight="1">
      <c r="A24" s="269" t="s">
        <v>555</v>
      </c>
      <c r="B24" s="271">
        <f>SUM(B7:D19)*0.0004</f>
        <v>11104.828985119999</v>
      </c>
      <c r="C24" s="271"/>
      <c r="D24" s="271"/>
      <c r="E24" s="27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</row>
    <row r="25" spans="1:25" ht="12.75" customHeight="1">
      <c r="A25" s="269" t="s">
        <v>556</v>
      </c>
      <c r="B25" s="271">
        <f>'Conformación de Datos'!C85</f>
        <v>16160</v>
      </c>
      <c r="C25" s="271"/>
      <c r="D25" s="271"/>
      <c r="E25" s="27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</row>
    <row r="26" spans="1:25" ht="12.75" customHeight="1">
      <c r="A26" s="269" t="s">
        <v>557</v>
      </c>
      <c r="B26" s="271">
        <f>SUM(B7:D19)*0.0006</f>
        <v>16657.243477679996</v>
      </c>
      <c r="C26" s="271"/>
      <c r="D26" s="271"/>
      <c r="E26" s="27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</row>
    <row r="27" spans="1:25" ht="12.75" customHeight="1">
      <c r="A27" s="272" t="s">
        <v>558</v>
      </c>
      <c r="B27" s="271"/>
      <c r="C27" s="273">
        <f>'Conformación de Datos'!J212</f>
        <v>278655.36042134126</v>
      </c>
      <c r="D27" s="271"/>
      <c r="E27" s="271"/>
      <c r="F27" s="156" t="s">
        <v>559</v>
      </c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</row>
    <row r="28" spans="1:25" ht="12.75" customHeight="1">
      <c r="A28" s="272" t="s">
        <v>560</v>
      </c>
      <c r="B28" s="271" t="s">
        <v>235</v>
      </c>
      <c r="C28" s="271"/>
      <c r="D28" s="271"/>
      <c r="E28" s="271"/>
      <c r="F28" s="160" t="s">
        <v>552</v>
      </c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</row>
    <row r="29" spans="1:25" ht="12.75" customHeight="1">
      <c r="A29" s="272" t="s">
        <v>561</v>
      </c>
      <c r="B29" s="271" t="s">
        <v>235</v>
      </c>
      <c r="C29" s="271"/>
      <c r="D29" s="271"/>
      <c r="E29" s="27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</row>
    <row r="30" spans="1:25" ht="12.75" customHeight="1">
      <c r="A30" s="269" t="s">
        <v>504</v>
      </c>
      <c r="B30" s="273">
        <f>SUM(B24:B28)*0.09</f>
        <v>3952.9865216519993</v>
      </c>
      <c r="C30" s="271"/>
      <c r="D30" s="271"/>
      <c r="E30" s="271"/>
      <c r="F30" s="156" t="s">
        <v>562</v>
      </c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</row>
    <row r="31" spans="1:25" ht="12.75" customHeight="1">
      <c r="A31" s="269"/>
      <c r="B31" s="271"/>
      <c r="C31" s="271"/>
      <c r="D31" s="271"/>
      <c r="E31" s="271"/>
      <c r="F31" s="160" t="s">
        <v>552</v>
      </c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</row>
    <row r="32" spans="1:25" ht="12.75" customHeight="1">
      <c r="A32" s="267" t="s">
        <v>563</v>
      </c>
      <c r="B32" s="271">
        <f t="shared" ref="B32:E32" si="1">SUM(B24:B31)</f>
        <v>47875.058984451993</v>
      </c>
      <c r="C32" s="271">
        <f t="shared" si="1"/>
        <v>278655.36042134126</v>
      </c>
      <c r="D32" s="271">
        <f t="shared" si="1"/>
        <v>0</v>
      </c>
      <c r="E32" s="271">
        <f t="shared" si="1"/>
        <v>0</v>
      </c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</row>
    <row r="33" spans="1:25" ht="12.75" customHeight="1">
      <c r="A33" s="269"/>
      <c r="B33" s="271"/>
      <c r="C33" s="271"/>
      <c r="D33" s="271"/>
      <c r="E33" s="27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</row>
    <row r="34" spans="1:25" ht="12.75" customHeight="1">
      <c r="A34" s="267" t="s">
        <v>564</v>
      </c>
      <c r="B34" s="271">
        <f t="shared" ref="B34:E34" si="2">+B32+B21</f>
        <v>27775507.521784447</v>
      </c>
      <c r="C34" s="271">
        <f t="shared" si="2"/>
        <v>278655.36042134126</v>
      </c>
      <c r="D34" s="271">
        <f t="shared" si="2"/>
        <v>34440</v>
      </c>
      <c r="E34" s="271">
        <f t="shared" si="2"/>
        <v>0</v>
      </c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</row>
    <row r="35" spans="1:25" ht="12.75" customHeight="1">
      <c r="A35" s="267" t="s">
        <v>565</v>
      </c>
      <c r="B35" s="271">
        <f>B34*InfoInicial!B3</f>
        <v>5832856.579574734</v>
      </c>
      <c r="C35" s="271">
        <f>C34*InfoInicial!B3</f>
        <v>58517.625688481661</v>
      </c>
      <c r="D35" s="271"/>
      <c r="E35" s="27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</row>
    <row r="36" spans="1:25" ht="12.75" customHeight="1">
      <c r="A36" s="269"/>
      <c r="B36" s="271"/>
      <c r="C36" s="271"/>
      <c r="D36" s="271"/>
      <c r="E36" s="27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</row>
    <row r="37" spans="1:25" ht="13.5" customHeight="1">
      <c r="A37" s="274" t="s">
        <v>566</v>
      </c>
      <c r="B37" s="275">
        <f t="shared" ref="B37:E37" si="3">B35+B32+B21</f>
        <v>33608364.101359181</v>
      </c>
      <c r="C37" s="275">
        <f t="shared" si="3"/>
        <v>337172.98610982293</v>
      </c>
      <c r="D37" s="275">
        <f t="shared" si="3"/>
        <v>34440</v>
      </c>
      <c r="E37" s="275">
        <f t="shared" si="3"/>
        <v>0</v>
      </c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</row>
    <row r="38" spans="1:25" ht="13.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</row>
    <row r="39" spans="1:25" ht="13.5" customHeight="1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46" t="s">
        <v>490</v>
      </c>
      <c r="M39" t="s">
        <v>491</v>
      </c>
      <c r="P39" s="231"/>
      <c r="Q39" s="231"/>
      <c r="R39" s="231"/>
      <c r="S39" s="231"/>
      <c r="T39" s="231"/>
      <c r="U39" s="231"/>
      <c r="V39" s="231"/>
      <c r="W39" s="231"/>
      <c r="X39" s="231"/>
      <c r="Y39" s="231"/>
    </row>
    <row r="40" spans="1:25" ht="13.5" customHeight="1">
      <c r="A40" s="276" t="s">
        <v>567</v>
      </c>
      <c r="B40" s="277" t="s">
        <v>568</v>
      </c>
      <c r="C40" s="277" t="s">
        <v>569</v>
      </c>
      <c r="D40" s="646" t="s">
        <v>570</v>
      </c>
      <c r="E40" s="649"/>
      <c r="F40" s="647"/>
      <c r="G40" s="278" t="s">
        <v>571</v>
      </c>
      <c r="H40" s="231"/>
      <c r="I40" s="231"/>
      <c r="J40" s="231"/>
      <c r="K40" s="231"/>
      <c r="L40" s="248" t="s">
        <v>493</v>
      </c>
      <c r="M40" s="249">
        <v>30</v>
      </c>
      <c r="N40" t="s">
        <v>494</v>
      </c>
      <c r="P40" s="231"/>
      <c r="Q40" s="231"/>
      <c r="R40" s="231"/>
      <c r="S40" s="231"/>
      <c r="T40" s="231"/>
      <c r="U40" s="231"/>
      <c r="V40" s="231"/>
      <c r="W40" s="231"/>
      <c r="X40" s="231"/>
      <c r="Y40" s="231"/>
    </row>
    <row r="41" spans="1:25" ht="13.5" customHeight="1">
      <c r="A41" s="279"/>
      <c r="B41" s="263" t="s">
        <v>572</v>
      </c>
      <c r="C41" s="263"/>
      <c r="D41" s="263" t="s">
        <v>573</v>
      </c>
      <c r="E41" s="263" t="s">
        <v>574</v>
      </c>
      <c r="F41" s="263"/>
      <c r="G41" s="280"/>
      <c r="H41" s="231"/>
      <c r="I41" s="231"/>
      <c r="J41" s="231"/>
      <c r="K41" s="231"/>
      <c r="L41" s="248" t="s">
        <v>495</v>
      </c>
      <c r="M41" s="249">
        <v>10</v>
      </c>
      <c r="N41" t="s">
        <v>494</v>
      </c>
      <c r="P41" s="231"/>
      <c r="Q41" s="231"/>
      <c r="R41" s="231"/>
      <c r="S41" s="231"/>
      <c r="T41" s="231"/>
      <c r="U41" s="231"/>
      <c r="V41" s="231"/>
      <c r="W41" s="231"/>
      <c r="X41" s="231"/>
      <c r="Y41" s="231"/>
    </row>
    <row r="42" spans="1:25" ht="13.5" customHeight="1">
      <c r="A42" s="281" t="s">
        <v>575</v>
      </c>
      <c r="B42" s="282"/>
      <c r="C42" s="282"/>
      <c r="D42" s="282"/>
      <c r="E42" s="282"/>
      <c r="F42" s="283"/>
      <c r="G42" s="284"/>
      <c r="H42" s="231"/>
      <c r="I42" s="231"/>
      <c r="J42" s="231"/>
      <c r="K42" s="231"/>
      <c r="L42" s="248" t="s">
        <v>497</v>
      </c>
      <c r="M42" s="249">
        <v>10</v>
      </c>
      <c r="N42" t="s">
        <v>494</v>
      </c>
      <c r="P42" s="231"/>
      <c r="Q42" s="231"/>
      <c r="R42" s="231"/>
      <c r="S42" s="231"/>
      <c r="T42" s="231"/>
      <c r="U42" s="231"/>
      <c r="V42" s="231"/>
      <c r="W42" s="231"/>
      <c r="X42" s="231"/>
      <c r="Y42" s="231"/>
    </row>
    <row r="43" spans="1:25" ht="12.75" customHeight="1">
      <c r="A43" s="285"/>
      <c r="B43" s="286"/>
      <c r="C43" s="286"/>
      <c r="D43" s="286"/>
      <c r="E43" s="286"/>
      <c r="F43" s="287"/>
      <c r="G43" s="288"/>
      <c r="H43" s="231"/>
      <c r="I43" s="231"/>
      <c r="J43" s="231"/>
      <c r="K43" s="231"/>
      <c r="L43" s="248" t="s">
        <v>499</v>
      </c>
      <c r="M43" s="249">
        <v>5</v>
      </c>
      <c r="N43" t="s">
        <v>494</v>
      </c>
      <c r="P43" s="231"/>
      <c r="Q43" s="231"/>
      <c r="R43" s="231"/>
      <c r="S43" s="231"/>
      <c r="T43" s="231"/>
      <c r="U43" s="231"/>
      <c r="V43" s="231"/>
      <c r="W43" s="231"/>
      <c r="X43" s="231"/>
      <c r="Y43" s="231"/>
    </row>
    <row r="44" spans="1:25" ht="12.75" customHeight="1">
      <c r="A44" s="269" t="s">
        <v>539</v>
      </c>
      <c r="B44" s="271">
        <f t="shared" ref="B44:B46" si="4">SUM(B7:E7)</f>
        <v>7502726</v>
      </c>
      <c r="C44" s="289"/>
      <c r="D44" s="271">
        <f t="shared" ref="D44:D51" si="5">ROUND(B44*C44,1)</f>
        <v>0</v>
      </c>
      <c r="E44" s="271">
        <f t="shared" ref="E44:E51" si="6">ROUND(B44*C44,1)</f>
        <v>0</v>
      </c>
      <c r="F44" s="271"/>
      <c r="G44" s="290">
        <f t="shared" ref="G44:G51" si="7">B44-D44*3-E44*2</f>
        <v>7502726</v>
      </c>
      <c r="H44" s="231"/>
      <c r="I44" s="231"/>
      <c r="J44" s="231"/>
      <c r="K44" s="231"/>
      <c r="L44" s="248" t="s">
        <v>500</v>
      </c>
      <c r="M44" s="249">
        <v>5</v>
      </c>
      <c r="N44" t="s">
        <v>494</v>
      </c>
      <c r="P44" s="231"/>
      <c r="Q44" s="231"/>
      <c r="R44" s="231"/>
      <c r="S44" s="231"/>
      <c r="T44" s="231"/>
      <c r="U44" s="231"/>
      <c r="V44" s="231"/>
      <c r="W44" s="231"/>
      <c r="X44" s="231"/>
      <c r="Y44" s="231"/>
    </row>
    <row r="45" spans="1:25" ht="12.75" customHeight="1">
      <c r="A45" s="269" t="s">
        <v>540</v>
      </c>
      <c r="B45" s="271">
        <f t="shared" si="4"/>
        <v>8897274</v>
      </c>
      <c r="C45" s="289">
        <v>0.05</v>
      </c>
      <c r="D45" s="271">
        <f t="shared" si="5"/>
        <v>444863.7</v>
      </c>
      <c r="E45" s="271">
        <f t="shared" si="6"/>
        <v>444863.7</v>
      </c>
      <c r="F45" s="271"/>
      <c r="G45" s="290">
        <f t="shared" si="7"/>
        <v>6672955.5</v>
      </c>
      <c r="H45" s="231"/>
      <c r="I45" s="231"/>
      <c r="J45" s="231"/>
      <c r="K45" s="231"/>
      <c r="L45" s="248" t="s">
        <v>502</v>
      </c>
      <c r="M45" s="249">
        <v>3</v>
      </c>
      <c r="N45" t="s">
        <v>494</v>
      </c>
      <c r="P45" s="231"/>
      <c r="Q45" s="231"/>
      <c r="R45" s="231"/>
      <c r="S45" s="231"/>
      <c r="T45" s="231"/>
      <c r="U45" s="231"/>
      <c r="V45" s="231"/>
      <c r="W45" s="231"/>
      <c r="X45" s="231"/>
      <c r="Y45" s="231"/>
    </row>
    <row r="46" spans="1:25" ht="12.75" customHeight="1">
      <c r="A46" s="269" t="s">
        <v>541</v>
      </c>
      <c r="B46" s="271">
        <f t="shared" si="4"/>
        <v>7117819.2000000002</v>
      </c>
      <c r="C46" s="289">
        <f t="shared" ref="C46:C47" si="8">1/10</f>
        <v>0.1</v>
      </c>
      <c r="D46" s="271">
        <f t="shared" si="5"/>
        <v>711781.9</v>
      </c>
      <c r="E46" s="271">
        <f t="shared" si="6"/>
        <v>711781.9</v>
      </c>
      <c r="F46" s="271"/>
      <c r="G46" s="290">
        <f t="shared" si="7"/>
        <v>3558909.7</v>
      </c>
      <c r="H46" s="231"/>
      <c r="I46" s="231"/>
      <c r="J46" s="231"/>
      <c r="K46" s="231"/>
      <c r="L46" s="248" t="s">
        <v>503</v>
      </c>
      <c r="M46" s="249">
        <v>5</v>
      </c>
      <c r="N46" t="s">
        <v>494</v>
      </c>
      <c r="P46" s="231"/>
      <c r="Q46" s="231"/>
      <c r="R46" s="231"/>
      <c r="S46" s="231"/>
      <c r="T46" s="231"/>
      <c r="U46" s="231"/>
      <c r="V46" s="231"/>
      <c r="W46" s="231"/>
      <c r="X46" s="231"/>
      <c r="Y46" s="231"/>
    </row>
    <row r="47" spans="1:25" ht="12.75" customHeight="1">
      <c r="A47" s="272" t="s">
        <v>542</v>
      </c>
      <c r="B47" s="271">
        <f>SUM(B11:E14)</f>
        <v>647628.4</v>
      </c>
      <c r="C47" s="289">
        <f t="shared" si="8"/>
        <v>0.1</v>
      </c>
      <c r="D47" s="271">
        <f t="shared" si="5"/>
        <v>64762.8</v>
      </c>
      <c r="E47" s="271">
        <f t="shared" si="6"/>
        <v>64762.8</v>
      </c>
      <c r="F47" s="271"/>
      <c r="G47" s="290">
        <f t="shared" si="7"/>
        <v>323814.40000000002</v>
      </c>
      <c r="H47" s="231"/>
      <c r="I47" s="231"/>
      <c r="J47" s="231"/>
      <c r="K47" s="231"/>
      <c r="L47" s="248" t="s">
        <v>504</v>
      </c>
      <c r="M47" s="250">
        <v>0.09</v>
      </c>
      <c r="P47" s="231"/>
      <c r="Q47" s="231"/>
      <c r="R47" s="231"/>
      <c r="S47" s="231"/>
      <c r="T47" s="231"/>
      <c r="U47" s="231"/>
      <c r="V47" s="231"/>
      <c r="W47" s="231"/>
      <c r="X47" s="231"/>
      <c r="Y47" s="231"/>
    </row>
    <row r="48" spans="1:25" ht="12.75" customHeight="1">
      <c r="A48" s="272" t="s">
        <v>548</v>
      </c>
      <c r="B48" s="271">
        <f t="shared" ref="B48:B49" si="9">SUM(B16:E16)</f>
        <v>0</v>
      </c>
      <c r="C48" s="289">
        <f t="shared" ref="C48:C49" si="10">1/5</f>
        <v>0.2</v>
      </c>
      <c r="D48" s="271">
        <f t="shared" si="5"/>
        <v>0</v>
      </c>
      <c r="E48" s="271">
        <f t="shared" si="6"/>
        <v>0</v>
      </c>
      <c r="F48" s="271"/>
      <c r="G48" s="290">
        <f t="shared" si="7"/>
        <v>0</v>
      </c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</row>
    <row r="49" spans="1:25" ht="12.75" customHeight="1">
      <c r="A49" s="272" t="s">
        <v>549</v>
      </c>
      <c r="B49" s="271">
        <f t="shared" si="9"/>
        <v>1144687.32</v>
      </c>
      <c r="C49" s="289">
        <f t="shared" si="10"/>
        <v>0.2</v>
      </c>
      <c r="D49" s="271">
        <f t="shared" si="5"/>
        <v>228937.5</v>
      </c>
      <c r="E49" s="271">
        <f t="shared" si="6"/>
        <v>228937.5</v>
      </c>
      <c r="F49" s="271"/>
      <c r="G49" s="290">
        <f t="shared" si="7"/>
        <v>-0.17999999993480742</v>
      </c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</row>
    <row r="50" spans="1:25" ht="12.75" customHeight="1">
      <c r="A50" s="272" t="s">
        <v>504</v>
      </c>
      <c r="B50" s="271">
        <f>SUM(B19:E19)</f>
        <v>2289437.5427999999</v>
      </c>
      <c r="C50" s="291">
        <v>0.2</v>
      </c>
      <c r="D50" s="271">
        <f t="shared" si="5"/>
        <v>457887.5</v>
      </c>
      <c r="E50" s="271">
        <f t="shared" si="6"/>
        <v>457887.5</v>
      </c>
      <c r="F50" s="271"/>
      <c r="G50" s="290">
        <f t="shared" si="7"/>
        <v>4.2799999937415123E-2</v>
      </c>
      <c r="H50" s="231"/>
      <c r="I50" s="231"/>
      <c r="J50" s="231"/>
      <c r="K50" s="231"/>
      <c r="L50" s="248" t="s">
        <v>576</v>
      </c>
      <c r="M50" s="232">
        <v>0.9</v>
      </c>
      <c r="N50" s="231"/>
      <c r="O50" s="156" t="s">
        <v>577</v>
      </c>
      <c r="P50" s="231"/>
      <c r="Q50" s="231"/>
      <c r="R50" s="231"/>
      <c r="S50" s="231"/>
      <c r="T50" s="231"/>
      <c r="U50" s="231"/>
      <c r="V50" s="231"/>
      <c r="W50" s="231"/>
      <c r="X50" s="231"/>
      <c r="Y50" s="231"/>
    </row>
    <row r="51" spans="1:25" ht="12.75" customHeight="1">
      <c r="A51" s="272" t="s">
        <v>344</v>
      </c>
      <c r="B51" s="271">
        <f>SUM(B15:E15)</f>
        <v>162500</v>
      </c>
      <c r="C51" s="289">
        <f>1/5</f>
        <v>0.2</v>
      </c>
      <c r="D51" s="271">
        <f t="shared" si="5"/>
        <v>32500</v>
      </c>
      <c r="E51" s="271">
        <f t="shared" si="6"/>
        <v>32500</v>
      </c>
      <c r="F51" s="271"/>
      <c r="G51" s="290">
        <f t="shared" si="7"/>
        <v>0</v>
      </c>
      <c r="H51" s="231"/>
      <c r="I51" s="231"/>
      <c r="J51" s="231"/>
      <c r="K51" s="231"/>
      <c r="L51" s="248" t="s">
        <v>578</v>
      </c>
      <c r="M51" s="232">
        <v>1</v>
      </c>
      <c r="N51" s="231"/>
      <c r="O51" s="160" t="s">
        <v>579</v>
      </c>
      <c r="P51" s="231"/>
      <c r="Q51" s="231"/>
      <c r="R51" s="231"/>
      <c r="S51" s="231"/>
      <c r="T51" s="231"/>
      <c r="U51" s="231"/>
      <c r="V51" s="231"/>
      <c r="W51" s="231"/>
      <c r="X51" s="231"/>
      <c r="Y51" s="231"/>
    </row>
    <row r="52" spans="1:25" ht="12.75" customHeight="1">
      <c r="A52" s="292" t="s">
        <v>580</v>
      </c>
      <c r="B52" s="271">
        <f>SUM(B44:B51)</f>
        <v>27762072.462799996</v>
      </c>
      <c r="C52" s="271"/>
      <c r="D52" s="271">
        <f t="shared" ref="D52:G52" si="11">SUM(D44:D51)</f>
        <v>1940733.4000000001</v>
      </c>
      <c r="E52" s="271">
        <f t="shared" si="11"/>
        <v>1940733.4000000001</v>
      </c>
      <c r="F52" s="271">
        <f t="shared" si="11"/>
        <v>0</v>
      </c>
      <c r="G52" s="271">
        <f t="shared" si="11"/>
        <v>18058405.462799996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</row>
    <row r="53" spans="1:25" ht="12.75" customHeight="1">
      <c r="A53" s="267"/>
      <c r="B53" s="293"/>
      <c r="C53" s="289"/>
      <c r="D53" s="271"/>
      <c r="E53" s="271"/>
      <c r="F53" s="294"/>
      <c r="G53" s="295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</row>
    <row r="54" spans="1:25" ht="12.75" customHeight="1">
      <c r="A54" s="292" t="s">
        <v>581</v>
      </c>
      <c r="B54" s="271">
        <f>SUM(B32:E32)</f>
        <v>326530.41940579325</v>
      </c>
      <c r="C54" s="289">
        <f>1/5</f>
        <v>0.2</v>
      </c>
      <c r="D54" s="271">
        <f>B54*C54</f>
        <v>65306.083881158651</v>
      </c>
      <c r="E54" s="271">
        <f>B54*C54</f>
        <v>65306.083881158651</v>
      </c>
      <c r="F54" s="271"/>
      <c r="G54" s="290">
        <f>B54-D54*3-E54*2</f>
        <v>0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</row>
    <row r="55" spans="1:25" ht="12.75" customHeight="1">
      <c r="A55" s="292"/>
      <c r="B55" s="271"/>
      <c r="C55" s="271"/>
      <c r="D55" s="271"/>
      <c r="E55" s="271"/>
      <c r="F55" s="271"/>
      <c r="G55" s="290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</row>
    <row r="56" spans="1:25" ht="12.75" customHeight="1">
      <c r="A56" s="267"/>
      <c r="B56" s="268"/>
      <c r="C56" s="268"/>
      <c r="D56" s="296"/>
      <c r="E56" s="297"/>
      <c r="F56" s="298"/>
      <c r="G56" s="299"/>
      <c r="H56" s="300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</row>
    <row r="57" spans="1:25" ht="13.5" customHeight="1">
      <c r="A57" s="274" t="s">
        <v>582</v>
      </c>
      <c r="B57" s="275">
        <f>B52+B54</f>
        <v>28088602.882205788</v>
      </c>
      <c r="C57" s="275">
        <f>C52</f>
        <v>0</v>
      </c>
      <c r="D57" s="275">
        <f t="shared" ref="D57:E57" si="12">D52+D54</f>
        <v>2006039.4838811588</v>
      </c>
      <c r="E57" s="275">
        <f t="shared" si="12"/>
        <v>2006039.4838811588</v>
      </c>
      <c r="F57" s="275">
        <f t="shared" ref="F57:G57" si="13">F52</f>
        <v>0</v>
      </c>
      <c r="G57" s="275">
        <f t="shared" si="13"/>
        <v>18058405.462799996</v>
      </c>
      <c r="H57" s="30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</row>
    <row r="58" spans="1:25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</row>
    <row r="59" spans="1:25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</row>
    <row r="60" spans="1:25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</row>
    <row r="61" spans="1:25" ht="12.75" customHeight="1">
      <c r="A61" s="231" t="s">
        <v>583</v>
      </c>
      <c r="B61" s="231">
        <f>E57/'Conformación de Datos'!I164</f>
        <v>1736.0566361156359</v>
      </c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</row>
    <row r="62" spans="1:25" ht="12.75" customHeight="1">
      <c r="A62" s="231" t="s">
        <v>584</v>
      </c>
      <c r="B62" s="231">
        <f>D57/('Conformación de Datos'!I146+('Conformación de Datos'!I152/2))</f>
        <v>2125.3234978080359</v>
      </c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</row>
    <row r="63" spans="1:25" ht="12.75" customHeight="1">
      <c r="A63" s="231"/>
      <c r="B63" s="231"/>
      <c r="C63" s="231"/>
      <c r="D63" s="223">
        <f>'E-Inv AF y Am'!C57</f>
        <v>0</v>
      </c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</row>
    <row r="64" spans="1:25" ht="12.75" customHeight="1">
      <c r="A64" s="231"/>
      <c r="B64" s="231">
        <f>'Conformación de Datos'!I152/2</f>
        <v>8.3892051353358781</v>
      </c>
      <c r="C64" s="231"/>
      <c r="D64" s="223">
        <f>'E-Inv AF y Am'!C57</f>
        <v>0</v>
      </c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</row>
    <row r="65" spans="1:25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</row>
    <row r="66" spans="1:25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</row>
    <row r="67" spans="1:25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</row>
    <row r="68" spans="1:25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</row>
    <row r="69" spans="1:25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</row>
    <row r="70" spans="1:25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</row>
    <row r="71" spans="1:25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</row>
    <row r="72" spans="1:25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</row>
    <row r="73" spans="1:25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</row>
    <row r="74" spans="1:25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</row>
    <row r="75" spans="1:25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</row>
    <row r="76" spans="1:25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</row>
    <row r="77" spans="1:25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</row>
    <row r="78" spans="1:25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</row>
    <row r="79" spans="1:25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</row>
    <row r="80" spans="1:25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</row>
    <row r="81" spans="1:25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</row>
    <row r="82" spans="1:25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</row>
    <row r="83" spans="1:25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</row>
    <row r="84" spans="1:25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</row>
    <row r="85" spans="1:25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</row>
    <row r="86" spans="1:25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</row>
    <row r="87" spans="1:25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</row>
    <row r="88" spans="1:25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</row>
    <row r="89" spans="1:25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</row>
    <row r="90" spans="1:25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</row>
    <row r="91" spans="1:25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</row>
    <row r="92" spans="1:25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</row>
    <row r="93" spans="1:25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</row>
    <row r="94" spans="1:25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</row>
    <row r="95" spans="1:25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</row>
    <row r="96" spans="1:25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</row>
    <row r="97" spans="1:25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</row>
    <row r="98" spans="1:25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</row>
    <row r="99" spans="1:25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</row>
    <row r="100" spans="1:25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</row>
    <row r="101" spans="1:25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</row>
    <row r="102" spans="1:25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</row>
    <row r="103" spans="1:25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</row>
    <row r="104" spans="1:25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</row>
    <row r="105" spans="1:25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</row>
    <row r="106" spans="1:25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</row>
    <row r="107" spans="1:25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</row>
    <row r="108" spans="1:25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</row>
    <row r="109" spans="1:25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</row>
    <row r="110" spans="1:25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</row>
    <row r="111" spans="1:25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</row>
    <row r="112" spans="1:25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</row>
    <row r="113" spans="1:25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</row>
    <row r="114" spans="1:25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</row>
    <row r="115" spans="1:25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</row>
    <row r="116" spans="1:25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</row>
    <row r="117" spans="1:25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</row>
    <row r="118" spans="1:25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</row>
    <row r="119" spans="1:25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</row>
    <row r="120" spans="1:25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</row>
    <row r="121" spans="1:25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</row>
    <row r="122" spans="1:25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</row>
    <row r="123" spans="1:25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</row>
    <row r="124" spans="1:25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</row>
    <row r="125" spans="1:25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</row>
    <row r="126" spans="1:25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</row>
    <row r="127" spans="1:25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</row>
    <row r="128" spans="1:25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</row>
    <row r="129" spans="1:25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</row>
    <row r="130" spans="1:25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</row>
    <row r="131" spans="1:25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</row>
    <row r="132" spans="1:25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</row>
    <row r="133" spans="1:25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</row>
    <row r="134" spans="1:25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</row>
    <row r="135" spans="1:25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</row>
    <row r="136" spans="1:25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</row>
    <row r="137" spans="1:25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</row>
    <row r="138" spans="1:25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</row>
    <row r="139" spans="1:25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</row>
    <row r="140" spans="1:25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</row>
    <row r="141" spans="1:25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</row>
    <row r="142" spans="1:25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</row>
    <row r="143" spans="1:25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</row>
    <row r="144" spans="1:25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</row>
    <row r="145" spans="1:25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</row>
    <row r="146" spans="1:25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</row>
    <row r="147" spans="1:25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</row>
    <row r="148" spans="1:25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</row>
    <row r="149" spans="1:25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</row>
    <row r="150" spans="1:25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</row>
    <row r="151" spans="1:25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</row>
    <row r="152" spans="1:25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</row>
    <row r="153" spans="1:25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</row>
    <row r="154" spans="1:25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</row>
    <row r="155" spans="1:25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</row>
    <row r="156" spans="1:25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</row>
    <row r="157" spans="1:25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</row>
    <row r="158" spans="1:25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</row>
    <row r="159" spans="1:25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</row>
    <row r="160" spans="1:25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</row>
    <row r="161" spans="1:25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</row>
    <row r="162" spans="1:25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</row>
    <row r="163" spans="1:25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</row>
    <row r="164" spans="1:25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</row>
    <row r="165" spans="1:25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</row>
    <row r="166" spans="1:25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</row>
    <row r="167" spans="1:25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</row>
    <row r="168" spans="1:25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</row>
    <row r="169" spans="1:25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</row>
    <row r="170" spans="1:25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</row>
    <row r="171" spans="1:25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</row>
    <row r="172" spans="1:25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</row>
    <row r="173" spans="1:25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</row>
    <row r="174" spans="1:25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</row>
    <row r="175" spans="1:25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</row>
    <row r="176" spans="1:25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</row>
    <row r="177" spans="1:25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</row>
    <row r="178" spans="1:25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</row>
    <row r="179" spans="1:25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</row>
    <row r="180" spans="1:25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</row>
    <row r="181" spans="1:25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</row>
    <row r="182" spans="1:25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</row>
    <row r="183" spans="1:25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</row>
    <row r="184" spans="1:25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</row>
    <row r="185" spans="1:25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</row>
    <row r="186" spans="1:25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</row>
    <row r="187" spans="1:25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</row>
    <row r="188" spans="1:25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</row>
    <row r="189" spans="1:25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</row>
    <row r="190" spans="1:25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</row>
    <row r="191" spans="1:25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</row>
    <row r="192" spans="1:25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</row>
    <row r="193" spans="1:25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</row>
    <row r="194" spans="1:25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</row>
    <row r="195" spans="1:25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</row>
    <row r="196" spans="1:25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</row>
    <row r="197" spans="1:25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</row>
    <row r="198" spans="1:25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</row>
    <row r="199" spans="1:25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</row>
    <row r="200" spans="1:25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</row>
    <row r="201" spans="1:25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</row>
    <row r="202" spans="1:25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</row>
    <row r="203" spans="1:25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</row>
    <row r="204" spans="1:25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</row>
    <row r="205" spans="1:25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</row>
    <row r="206" spans="1:25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</row>
    <row r="207" spans="1:25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</row>
    <row r="208" spans="1:25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</row>
    <row r="209" spans="1:25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</row>
    <row r="210" spans="1:25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</row>
    <row r="211" spans="1:25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</row>
    <row r="212" spans="1:25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</row>
    <row r="213" spans="1:25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</row>
    <row r="214" spans="1:25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</row>
    <row r="215" spans="1:25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</row>
    <row r="216" spans="1:25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</row>
    <row r="217" spans="1:25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</row>
    <row r="218" spans="1:25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</row>
    <row r="219" spans="1:25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</row>
    <row r="220" spans="1:25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</row>
    <row r="221" spans="1:25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</row>
    <row r="222" spans="1:25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</row>
    <row r="223" spans="1:25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</row>
    <row r="224" spans="1:25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</row>
    <row r="225" spans="1:25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</row>
    <row r="226" spans="1:25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</row>
    <row r="227" spans="1:25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</row>
    <row r="228" spans="1:25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</row>
    <row r="229" spans="1:25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</row>
    <row r="230" spans="1:25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</row>
    <row r="231" spans="1:25" ht="12.7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</row>
    <row r="232" spans="1:25" ht="12.7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</row>
    <row r="233" spans="1:25" ht="12.7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</row>
    <row r="234" spans="1:25" ht="12.7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</row>
    <row r="235" spans="1:25" ht="12.7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</row>
    <row r="236" spans="1:25" ht="12.7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</row>
    <row r="237" spans="1:25" ht="12.7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</row>
    <row r="238" spans="1:25" ht="12.7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</row>
    <row r="239" spans="1:25" ht="12.75" customHeight="1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</row>
    <row r="240" spans="1:25" ht="12.75" customHeight="1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</row>
    <row r="241" spans="1:25" ht="12.75" customHeight="1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</row>
    <row r="242" spans="1:25" ht="12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</row>
    <row r="243" spans="1:25" ht="12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</row>
    <row r="244" spans="1:25" ht="12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</row>
    <row r="245" spans="1:25" ht="12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</row>
    <row r="246" spans="1:25" ht="12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</row>
    <row r="247" spans="1:25" ht="12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</row>
    <row r="248" spans="1:25" ht="12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</row>
    <row r="249" spans="1:25" ht="12.75" customHeight="1">
      <c r="A249" s="231"/>
      <c r="B249" s="231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  <c r="X249" s="231"/>
      <c r="Y249" s="231"/>
    </row>
    <row r="250" spans="1:25" ht="12.75" customHeight="1">
      <c r="A250" s="231"/>
      <c r="B250" s="231"/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1"/>
    </row>
    <row r="251" spans="1:25" ht="12.75" customHeight="1">
      <c r="A251" s="231"/>
      <c r="B251" s="231"/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1"/>
    </row>
    <row r="252" spans="1:25" ht="12.75" customHeight="1">
      <c r="A252" s="231"/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1"/>
      <c r="Y252" s="231"/>
    </row>
    <row r="253" spans="1:25" ht="12.75" customHeight="1">
      <c r="A253" s="231"/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1"/>
      <c r="Y253" s="231"/>
    </row>
    <row r="254" spans="1:25" ht="12.75" customHeight="1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1"/>
      <c r="Y254" s="231"/>
    </row>
    <row r="255" spans="1:25" ht="12.75" customHeight="1">
      <c r="A255" s="231"/>
      <c r="B255" s="231"/>
      <c r="C255" s="231"/>
      <c r="D255" s="231"/>
      <c r="E255" s="231"/>
      <c r="F255" s="231"/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  <c r="X255" s="231"/>
      <c r="Y255" s="231"/>
    </row>
    <row r="256" spans="1:25" ht="12.75" customHeight="1">
      <c r="A256" s="231"/>
      <c r="B256" s="231"/>
      <c r="C256" s="231"/>
      <c r="D256" s="231"/>
      <c r="E256" s="231"/>
      <c r="F256" s="231"/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  <c r="X256" s="231"/>
      <c r="Y256" s="231"/>
    </row>
    <row r="257" spans="1:25" ht="12.75" customHeight="1">
      <c r="A257" s="231"/>
      <c r="B257" s="231"/>
      <c r="C257" s="231"/>
      <c r="D257" s="231"/>
      <c r="E257" s="231"/>
      <c r="F257" s="231"/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  <c r="X257" s="231"/>
      <c r="Y257" s="231"/>
    </row>
    <row r="258" spans="1:25" ht="12.75" customHeight="1">
      <c r="A258" s="231"/>
      <c r="B258" s="231"/>
      <c r="C258" s="231"/>
      <c r="D258" s="231"/>
      <c r="E258" s="231"/>
      <c r="F258" s="231"/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  <c r="X258" s="231"/>
      <c r="Y258" s="231"/>
    </row>
    <row r="259" spans="1:25" ht="12.75" customHeight="1">
      <c r="A259" s="231"/>
      <c r="B259" s="231"/>
      <c r="C259" s="231"/>
      <c r="D259" s="231"/>
      <c r="E259" s="231"/>
      <c r="F259" s="231"/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  <c r="X259" s="231"/>
      <c r="Y259" s="231"/>
    </row>
    <row r="260" spans="1:25" ht="12.75" customHeight="1">
      <c r="A260" s="231"/>
      <c r="B260" s="231"/>
      <c r="C260" s="231"/>
      <c r="D260" s="231"/>
      <c r="E260" s="231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  <c r="X260" s="231"/>
      <c r="Y260" s="231"/>
    </row>
    <row r="261" spans="1:25" ht="12.75" customHeight="1">
      <c r="A261" s="231"/>
      <c r="B261" s="231"/>
      <c r="C261" s="231"/>
      <c r="D261" s="231"/>
      <c r="E261" s="231"/>
      <c r="F261" s="231"/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  <c r="X261" s="231"/>
      <c r="Y261" s="231"/>
    </row>
    <row r="262" spans="1:25" ht="12.75" customHeight="1">
      <c r="A262" s="231"/>
      <c r="B262" s="231"/>
      <c r="C262" s="231"/>
      <c r="D262" s="231"/>
      <c r="E262" s="231"/>
      <c r="F262" s="231"/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  <c r="X262" s="231"/>
      <c r="Y262" s="231"/>
    </row>
    <row r="263" spans="1:25" ht="12.75" customHeight="1">
      <c r="A263" s="231"/>
      <c r="B263" s="231"/>
      <c r="C263" s="231"/>
      <c r="D263" s="231"/>
      <c r="E263" s="231"/>
      <c r="F263" s="231"/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  <c r="X263" s="231"/>
      <c r="Y263" s="231"/>
    </row>
    <row r="264" spans="1:25" ht="12.75" customHeight="1">
      <c r="A264" s="231"/>
      <c r="B264" s="231"/>
      <c r="C264" s="231"/>
      <c r="D264" s="231"/>
      <c r="E264" s="231"/>
      <c r="F264" s="231"/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  <c r="X264" s="231"/>
      <c r="Y264" s="231"/>
    </row>
  </sheetData>
  <mergeCells count="3">
    <mergeCell ref="B3:C3"/>
    <mergeCell ref="D3:E3"/>
    <mergeCell ref="D40:F40"/>
  </mergeCells>
  <pageMargins left="0.7" right="0.7" top="0.75" bottom="0.75" header="0" footer="0"/>
  <pageSetup paperSize="9" fitToHeight="0" orientation="landscape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1C232"/>
    <outlinePr summaryBelow="0" summaryRight="0"/>
  </sheetPr>
  <dimension ref="A1:M232"/>
  <sheetViews>
    <sheetView showGridLines="0" workbookViewId="0"/>
  </sheetViews>
  <sheetFormatPr defaultColWidth="14.44140625" defaultRowHeight="15" customHeight="1"/>
  <cols>
    <col min="1" max="1" width="9.88671875" customWidth="1"/>
    <col min="2" max="2" width="19.6640625" customWidth="1"/>
    <col min="3" max="5" width="14.44140625" customWidth="1"/>
    <col min="6" max="6" width="18.109375" customWidth="1"/>
    <col min="7" max="7" width="15.33203125" customWidth="1"/>
  </cols>
  <sheetData>
    <row r="1" spans="1:13" ht="13.2">
      <c r="A1" s="244"/>
      <c r="B1" s="244" t="s">
        <v>483</v>
      </c>
      <c r="F1" s="231"/>
      <c r="G1" s="302">
        <f>InfoInicial!E1</f>
        <v>10</v>
      </c>
      <c r="H1" s="245"/>
      <c r="I1" s="231"/>
      <c r="J1" s="231"/>
    </row>
    <row r="2" spans="1:13" ht="15.6">
      <c r="A2" s="303"/>
      <c r="B2" s="304" t="s">
        <v>585</v>
      </c>
      <c r="C2" s="305"/>
      <c r="D2" s="305"/>
      <c r="E2" s="305"/>
      <c r="F2" s="305"/>
      <c r="G2" s="305"/>
      <c r="H2" s="306"/>
      <c r="I2" s="231"/>
      <c r="J2" s="231"/>
    </row>
    <row r="3" spans="1:13" ht="13.2">
      <c r="A3" s="307"/>
      <c r="B3" s="308" t="s">
        <v>586</v>
      </c>
      <c r="C3" s="650" t="s">
        <v>587</v>
      </c>
      <c r="D3" s="651"/>
      <c r="E3" s="650" t="s">
        <v>588</v>
      </c>
      <c r="F3" s="651"/>
      <c r="G3" s="650" t="s">
        <v>589</v>
      </c>
      <c r="H3" s="652"/>
      <c r="I3" s="231"/>
      <c r="J3" s="231"/>
    </row>
    <row r="4" spans="1:13" ht="13.2">
      <c r="A4" s="307"/>
      <c r="B4" s="308" t="s">
        <v>568</v>
      </c>
      <c r="C4" s="310" t="s">
        <v>590</v>
      </c>
      <c r="D4" s="310" t="s">
        <v>591</v>
      </c>
      <c r="E4" s="310" t="s">
        <v>590</v>
      </c>
      <c r="F4" s="310" t="s">
        <v>591</v>
      </c>
      <c r="G4" s="310" t="s">
        <v>590</v>
      </c>
      <c r="H4" s="311" t="s">
        <v>591</v>
      </c>
      <c r="I4" s="231"/>
      <c r="J4" s="231"/>
    </row>
    <row r="5" spans="1:13" ht="13.2">
      <c r="A5" s="312"/>
      <c r="B5" s="272" t="s">
        <v>592</v>
      </c>
      <c r="C5" s="297">
        <f>'E-Cal Inv.'!I8</f>
        <v>28088602.882205788</v>
      </c>
      <c r="D5" s="313">
        <f t="shared" ref="D5:D7" si="0">C5/$C$8</f>
        <v>0.74663668767116276</v>
      </c>
      <c r="E5" s="297">
        <f>('E-Inv AF y Am'!B47+'E-Inv AF y Am'!B51+'E-Inv AF y Am'!B46+'E-Inv AF y Am'!B45)</f>
        <v>16825221.600000001</v>
      </c>
      <c r="F5" s="313">
        <f>E5/C8</f>
        <v>0.44723932256223303</v>
      </c>
      <c r="G5" s="297">
        <f t="shared" ref="G5:G7" si="1">C5-E5</f>
        <v>11263381.282205787</v>
      </c>
      <c r="H5" s="314">
        <f>G5/C8</f>
        <v>0.29939736510892978</v>
      </c>
      <c r="I5" s="231"/>
      <c r="J5" s="231"/>
      <c r="K5" s="231"/>
    </row>
    <row r="6" spans="1:13" ht="13.2">
      <c r="A6" s="231"/>
      <c r="B6" s="269" t="s">
        <v>593</v>
      </c>
      <c r="C6" s="297">
        <f>'E-Cal Inv.'!I18</f>
        <v>3295484.6268051304</v>
      </c>
      <c r="D6" s="313">
        <f t="shared" si="0"/>
        <v>8.7598864790379927E-2</v>
      </c>
      <c r="E6" s="297">
        <f>'E-Cal Inv.'!I14+'E-Cal Inv.'!I15</f>
        <v>1536034.9474219717</v>
      </c>
      <c r="F6" s="313">
        <f>E6/C8</f>
        <v>4.0830085074000919E-2</v>
      </c>
      <c r="G6" s="297">
        <f t="shared" si="1"/>
        <v>1759449.6793831587</v>
      </c>
      <c r="H6" s="314">
        <f>G6/C8</f>
        <v>4.6768779716379008E-2</v>
      </c>
      <c r="I6" s="231"/>
      <c r="J6" s="231"/>
      <c r="K6" s="231"/>
    </row>
    <row r="7" spans="1:13" ht="13.2">
      <c r="A7" s="231"/>
      <c r="B7" s="269" t="s">
        <v>594</v>
      </c>
      <c r="C7" s="297">
        <f>'E-Cal Inv.'!I23</f>
        <v>6236087.5319679165</v>
      </c>
      <c r="D7" s="313">
        <f t="shared" si="0"/>
        <v>0.16576444753845729</v>
      </c>
      <c r="E7" s="297">
        <v>0</v>
      </c>
      <c r="F7" s="313">
        <f>E7/C8</f>
        <v>0</v>
      </c>
      <c r="G7" s="297">
        <f t="shared" si="1"/>
        <v>6236087.5319679165</v>
      </c>
      <c r="H7" s="314">
        <f>G7/C8</f>
        <v>0.16576444753845729</v>
      </c>
      <c r="I7" s="231"/>
      <c r="J7" s="231" t="s">
        <v>595</v>
      </c>
      <c r="K7" t="s">
        <v>596</v>
      </c>
      <c r="L7">
        <v>0.15</v>
      </c>
      <c r="M7" t="s">
        <v>597</v>
      </c>
    </row>
    <row r="8" spans="1:13" ht="13.2">
      <c r="A8" s="141"/>
      <c r="B8" s="279" t="s">
        <v>277</v>
      </c>
      <c r="C8" s="315">
        <f t="shared" ref="C8:E8" si="2">SUM(C5:C7)</f>
        <v>37620175.040978834</v>
      </c>
      <c r="D8" s="316">
        <f t="shared" si="2"/>
        <v>1</v>
      </c>
      <c r="E8" s="315">
        <f t="shared" si="2"/>
        <v>18361256.547421973</v>
      </c>
      <c r="F8" s="316">
        <f>E8/C8</f>
        <v>0.48806940763623397</v>
      </c>
      <c r="G8" s="315">
        <f t="shared" ref="G8:H8" si="3">SUM(G5:G7)</f>
        <v>19258918.493556861</v>
      </c>
      <c r="H8" s="317">
        <f t="shared" si="3"/>
        <v>0.51193059236376603</v>
      </c>
      <c r="I8" s="231"/>
      <c r="J8" s="231"/>
      <c r="K8" s="235"/>
      <c r="M8" t="s">
        <v>598</v>
      </c>
    </row>
    <row r="9" spans="1:13" ht="13.2">
      <c r="A9" s="141"/>
      <c r="B9" s="141"/>
      <c r="C9" s="301"/>
      <c r="D9" s="318"/>
      <c r="E9" s="301"/>
      <c r="F9" s="301"/>
      <c r="G9" s="301"/>
      <c r="H9" s="301"/>
      <c r="I9" s="231"/>
      <c r="J9" s="231" t="s">
        <v>599</v>
      </c>
    </row>
    <row r="11" spans="1:13" ht="13.8">
      <c r="B11" s="319" t="s">
        <v>600</v>
      </c>
      <c r="C11" s="319" t="s">
        <v>3</v>
      </c>
      <c r="D11" s="319" t="s">
        <v>601</v>
      </c>
      <c r="E11" s="319" t="s">
        <v>602</v>
      </c>
      <c r="F11" s="319" t="s">
        <v>603</v>
      </c>
      <c r="G11" s="319" t="s">
        <v>604</v>
      </c>
    </row>
    <row r="12" spans="1:13" ht="13.2">
      <c r="B12" s="227">
        <v>30</v>
      </c>
      <c r="C12" s="227">
        <v>6</v>
      </c>
      <c r="D12" s="227">
        <v>1</v>
      </c>
      <c r="E12" s="229">
        <f>$E$32</f>
        <v>663856.29451750347</v>
      </c>
      <c r="F12" s="229">
        <f>E12*L7/6</f>
        <v>16596.407362937585</v>
      </c>
      <c r="G12" s="227"/>
    </row>
    <row r="13" spans="1:13" ht="13.2">
      <c r="B13" s="227">
        <v>31</v>
      </c>
      <c r="C13" s="227">
        <v>12</v>
      </c>
      <c r="D13" s="227">
        <v>1</v>
      </c>
      <c r="E13" s="320">
        <f t="shared" ref="E13:E21" si="4">$E$6</f>
        <v>1536034.9474219717</v>
      </c>
      <c r="F13" s="229">
        <f t="shared" ref="F13:F21" si="5">E12*$L$7/2</f>
        <v>49789.222088812756</v>
      </c>
      <c r="G13" s="229">
        <f>F12+F13</f>
        <v>66385.629451750341</v>
      </c>
    </row>
    <row r="14" spans="1:13" ht="13.2">
      <c r="B14" s="227">
        <v>30</v>
      </c>
      <c r="C14" s="227">
        <v>6</v>
      </c>
      <c r="D14" s="227">
        <v>2</v>
      </c>
      <c r="E14" s="320">
        <f t="shared" si="4"/>
        <v>1536034.9474219717</v>
      </c>
      <c r="F14" s="227">
        <f t="shared" si="5"/>
        <v>115202.62105664787</v>
      </c>
      <c r="G14" s="227"/>
    </row>
    <row r="15" spans="1:13" ht="13.2">
      <c r="B15" s="227">
        <v>31</v>
      </c>
      <c r="C15" s="227">
        <v>12</v>
      </c>
      <c r="D15" s="227">
        <v>2</v>
      </c>
      <c r="E15" s="320">
        <f t="shared" si="4"/>
        <v>1536034.9474219717</v>
      </c>
      <c r="F15" s="227">
        <f t="shared" si="5"/>
        <v>115202.62105664787</v>
      </c>
      <c r="G15" s="227">
        <f>F14+F15</f>
        <v>230405.24211329574</v>
      </c>
    </row>
    <row r="16" spans="1:13" ht="13.2">
      <c r="B16" s="227">
        <v>30</v>
      </c>
      <c r="C16" s="227">
        <v>6</v>
      </c>
      <c r="D16" s="227">
        <v>3</v>
      </c>
      <c r="E16" s="320">
        <f t="shared" si="4"/>
        <v>1536034.9474219717</v>
      </c>
      <c r="F16" s="227">
        <f t="shared" si="5"/>
        <v>115202.62105664787</v>
      </c>
      <c r="G16" s="227"/>
    </row>
    <row r="17" spans="2:7" ht="13.2">
      <c r="B17" s="227">
        <v>31</v>
      </c>
      <c r="C17" s="227">
        <v>12</v>
      </c>
      <c r="D17" s="227">
        <v>3</v>
      </c>
      <c r="E17" s="320">
        <f t="shared" si="4"/>
        <v>1536034.9474219717</v>
      </c>
      <c r="F17" s="227">
        <f t="shared" si="5"/>
        <v>115202.62105664787</v>
      </c>
      <c r="G17" s="227">
        <f>F16+F17</f>
        <v>230405.24211329574</v>
      </c>
    </row>
    <row r="18" spans="2:7" ht="13.2">
      <c r="B18" s="227">
        <v>30</v>
      </c>
      <c r="C18" s="227">
        <v>6</v>
      </c>
      <c r="D18" s="227">
        <v>4</v>
      </c>
      <c r="E18" s="320">
        <f t="shared" si="4"/>
        <v>1536034.9474219717</v>
      </c>
      <c r="F18" s="227">
        <f t="shared" si="5"/>
        <v>115202.62105664787</v>
      </c>
      <c r="G18" s="227"/>
    </row>
    <row r="19" spans="2:7" ht="13.2">
      <c r="B19" s="227">
        <v>31</v>
      </c>
      <c r="C19" s="227">
        <v>12</v>
      </c>
      <c r="D19" s="227">
        <v>4</v>
      </c>
      <c r="E19" s="320">
        <f t="shared" si="4"/>
        <v>1536034.9474219717</v>
      </c>
      <c r="F19" s="227">
        <f t="shared" si="5"/>
        <v>115202.62105664787</v>
      </c>
      <c r="G19" s="227">
        <f>F18+F19</f>
        <v>230405.24211329574</v>
      </c>
    </row>
    <row r="20" spans="2:7" ht="13.2">
      <c r="B20" s="227">
        <v>30</v>
      </c>
      <c r="C20" s="227">
        <v>6</v>
      </c>
      <c r="D20" s="227">
        <v>5</v>
      </c>
      <c r="E20" s="320">
        <f t="shared" si="4"/>
        <v>1536034.9474219717</v>
      </c>
      <c r="F20" s="227">
        <f t="shared" si="5"/>
        <v>115202.62105664787</v>
      </c>
      <c r="G20" s="227"/>
    </row>
    <row r="21" spans="2:7" ht="15.75" customHeight="1">
      <c r="B21" s="227">
        <v>31</v>
      </c>
      <c r="C21" s="227">
        <v>12</v>
      </c>
      <c r="D21" s="227">
        <v>5</v>
      </c>
      <c r="E21" s="320">
        <f t="shared" si="4"/>
        <v>1536034.9474219717</v>
      </c>
      <c r="F21" s="227">
        <f t="shared" si="5"/>
        <v>115202.62105664787</v>
      </c>
      <c r="G21" s="227">
        <f>F20+F21</f>
        <v>230405.24211329574</v>
      </c>
    </row>
    <row r="22" spans="2:7" ht="15.75" customHeight="1"/>
    <row r="23" spans="2:7" ht="15.75" customHeight="1"/>
    <row r="24" spans="2:7" ht="15.75" customHeight="1"/>
    <row r="25" spans="2:7" ht="15.75" customHeight="1"/>
    <row r="26" spans="2:7" ht="15.75" customHeight="1"/>
    <row r="27" spans="2:7" ht="15.75" customHeight="1">
      <c r="B27" s="89" t="s">
        <v>605</v>
      </c>
      <c r="C27" s="89" t="s">
        <v>606</v>
      </c>
      <c r="D27" s="89" t="s">
        <v>607</v>
      </c>
      <c r="E27" s="89" t="s">
        <v>608</v>
      </c>
      <c r="F27" s="89" t="s">
        <v>609</v>
      </c>
      <c r="G27" s="89" t="s">
        <v>610</v>
      </c>
    </row>
    <row r="28" spans="2:7" ht="15.75" customHeight="1">
      <c r="B28" s="321" t="s">
        <v>395</v>
      </c>
      <c r="C28" s="322">
        <v>758.09249999999997</v>
      </c>
      <c r="D28" s="170">
        <f>$C$28*'Conformación de Datos'!$I$110</f>
        <v>1327712.5890350069</v>
      </c>
      <c r="E28" s="170">
        <f t="shared" ref="E28:E29" si="6">D28/2</f>
        <v>663856.29451750347</v>
      </c>
      <c r="F28" s="227" t="s">
        <v>402</v>
      </c>
      <c r="G28" s="170">
        <f t="shared" ref="G28:G29" si="7">$E$28*($L$7/12*6)</f>
        <v>49789.222088812756</v>
      </c>
    </row>
    <row r="29" spans="2:7" ht="15.75" customHeight="1">
      <c r="B29" s="321" t="s">
        <v>397</v>
      </c>
      <c r="C29" s="322">
        <v>758.09249999999997</v>
      </c>
      <c r="D29" s="170">
        <f>$C$28*'Conformación de Datos'!$I$110</f>
        <v>1327712.5890350069</v>
      </c>
      <c r="E29" s="170">
        <f t="shared" si="6"/>
        <v>663856.29451750347</v>
      </c>
      <c r="F29" s="227" t="s">
        <v>403</v>
      </c>
      <c r="G29" s="170">
        <f t="shared" si="7"/>
        <v>49789.222088812756</v>
      </c>
    </row>
    <row r="30" spans="2:7" ht="15.75" customHeight="1">
      <c r="D30" s="323">
        <f t="shared" ref="D30:E30" si="8">D28+D29</f>
        <v>2655425.1780700139</v>
      </c>
      <c r="E30" s="323">
        <f t="shared" si="8"/>
        <v>1327712.5890350069</v>
      </c>
      <c r="F30" s="141"/>
      <c r="G30" s="323">
        <f>G28+G29</f>
        <v>99578.444177625512</v>
      </c>
    </row>
    <row r="31" spans="2:7" ht="15.75" customHeight="1"/>
    <row r="32" spans="2:7" ht="15.75" customHeight="1">
      <c r="B32" t="s">
        <v>611</v>
      </c>
      <c r="E32" s="155">
        <f>G30/L7</f>
        <v>663856.29451750347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</sheetData>
  <mergeCells count="3">
    <mergeCell ref="C3:D3"/>
    <mergeCell ref="E3:F3"/>
    <mergeCell ref="G3:H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399"/>
  <sheetViews>
    <sheetView showGridLines="0" workbookViewId="0"/>
  </sheetViews>
  <sheetFormatPr defaultColWidth="14.44140625" defaultRowHeight="15" customHeight="1"/>
  <cols>
    <col min="1" max="1" width="40.88671875" customWidth="1"/>
    <col min="2" max="2" width="35.33203125" customWidth="1"/>
    <col min="3" max="6" width="14.6640625" customWidth="1"/>
    <col min="7" max="7" width="17.33203125" customWidth="1"/>
    <col min="8" max="10" width="9" customWidth="1"/>
    <col min="11" max="11" width="16.88671875" customWidth="1"/>
    <col min="12" max="12" width="40" customWidth="1"/>
    <col min="13" max="26" width="9" customWidth="1"/>
  </cols>
  <sheetData>
    <row r="1" spans="1:26" ht="12.75" customHeight="1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2.75" customHeigh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4.25" customHeight="1">
      <c r="A3" s="244" t="s">
        <v>483</v>
      </c>
      <c r="E3" s="245">
        <f>InfoInicial!E1</f>
        <v>10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6.5" customHeight="1">
      <c r="A4" s="324" t="s">
        <v>612</v>
      </c>
      <c r="B4" s="325"/>
      <c r="C4" s="325"/>
      <c r="D4" s="325"/>
      <c r="E4" s="325"/>
      <c r="F4" s="326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2.75" customHeight="1">
      <c r="A5" s="308"/>
      <c r="B5" s="310" t="s">
        <v>613</v>
      </c>
      <c r="C5" s="310"/>
      <c r="D5" s="310"/>
      <c r="E5" s="310"/>
      <c r="F5" s="31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3.5" customHeight="1">
      <c r="A6" s="308" t="s">
        <v>586</v>
      </c>
      <c r="B6" s="263" t="s">
        <v>39</v>
      </c>
      <c r="C6" s="263" t="s">
        <v>425</v>
      </c>
      <c r="D6" s="263" t="s">
        <v>426</v>
      </c>
      <c r="E6" s="263" t="s">
        <v>427</v>
      </c>
      <c r="F6" s="264" t="s">
        <v>428</v>
      </c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3.5" customHeight="1">
      <c r="A7" s="265" t="s">
        <v>614</v>
      </c>
      <c r="B7" s="327">
        <f>'Conformación de Datos'!F172</f>
        <v>2093197.9132168619</v>
      </c>
      <c r="C7" s="327">
        <f>'Conformación de Datos'!F112</f>
        <v>2655433.9350000001</v>
      </c>
      <c r="D7" s="327">
        <f>'Conformación de Datos'!I107</f>
        <v>2655433.9350000001</v>
      </c>
      <c r="E7" s="327">
        <f>'Conformación de Datos'!I107</f>
        <v>2655433.9350000001</v>
      </c>
      <c r="F7" s="327">
        <f>'Conformación de Datos'!I107</f>
        <v>2655433.9350000001</v>
      </c>
      <c r="G7" s="231" t="s">
        <v>615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2.75" customHeight="1">
      <c r="A8" s="269" t="s">
        <v>616</v>
      </c>
      <c r="B8" s="297">
        <f>0.9*C8</f>
        <v>2037191.5103616002</v>
      </c>
      <c r="C8" s="297">
        <f>((5*'Conformación de Datos'!$H$179)+(1*'Conformación de Datos'!$H$180))*12</f>
        <v>2263546.1226240001</v>
      </c>
      <c r="D8" s="297">
        <f>C8</f>
        <v>2263546.1226240001</v>
      </c>
      <c r="E8" s="297">
        <f>C8</f>
        <v>2263546.1226240001</v>
      </c>
      <c r="F8" s="297">
        <f>C8</f>
        <v>2263546.1226240001</v>
      </c>
      <c r="G8" s="231" t="s">
        <v>615</v>
      </c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2.75" customHeight="1">
      <c r="A9" s="269" t="s">
        <v>617</v>
      </c>
      <c r="B9" s="297"/>
      <c r="C9" s="297"/>
      <c r="D9" s="297"/>
      <c r="E9" s="297"/>
      <c r="F9" s="290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2.75" customHeight="1">
      <c r="A10" s="269" t="s">
        <v>618</v>
      </c>
      <c r="B10" s="297">
        <f>('E-Inv AF y Am'!$D$57)*'E-Inv AF y Am'!$M$50</f>
        <v>1805435.535493043</v>
      </c>
      <c r="C10" s="297">
        <f>('E-Inv AF y Am'!$D$57)*'E-Inv AF y Am'!$M$50</f>
        <v>1805435.535493043</v>
      </c>
      <c r="D10" s="297">
        <f>('E-Inv AF y Am'!$D$57)*'E-Inv AF y Am'!$M$50</f>
        <v>1805435.535493043</v>
      </c>
      <c r="E10" s="297">
        <f>('E-Inv AF y Am'!$D$57)*'E-Inv AF y Am'!$M$50</f>
        <v>1805435.535493043</v>
      </c>
      <c r="F10" s="297">
        <f>('E-Inv AF y Am'!$D$57)*'E-Inv AF y Am'!$M$50</f>
        <v>1805435.535493043</v>
      </c>
      <c r="G10" s="231" t="s">
        <v>619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269" t="s">
        <v>620</v>
      </c>
      <c r="B11" s="297">
        <f>(('Conformación de Datos'!H186*'Conformación de Datos'!B186)+'Conformación de Datos'!H187+'Conformación de Datos'!H189)*0.9</f>
        <v>88196.71085280001</v>
      </c>
      <c r="C11" s="297">
        <f>B11/0.9</f>
        <v>97996.345392000003</v>
      </c>
      <c r="D11" s="297">
        <f>C11</f>
        <v>97996.345392000003</v>
      </c>
      <c r="E11" s="297">
        <f>C11</f>
        <v>97996.345392000003</v>
      </c>
      <c r="F11" s="297">
        <f>C11</f>
        <v>97996.345392000003</v>
      </c>
      <c r="G11" s="231" t="s">
        <v>619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2.75" customHeight="1">
      <c r="A12" s="269" t="s">
        <v>621</v>
      </c>
      <c r="B12" s="297">
        <f>'Conformación de Datos'!H211</f>
        <v>356458.03233419999</v>
      </c>
      <c r="C12" s="297">
        <f>'Conformación de Datos'!$H$211</f>
        <v>356458.03233419999</v>
      </c>
      <c r="D12" s="297">
        <f>'Conformación de Datos'!$H$211</f>
        <v>356458.03233419999</v>
      </c>
      <c r="E12" s="297">
        <f>'Conformación de Datos'!$H$211</f>
        <v>356458.03233419999</v>
      </c>
      <c r="F12" s="297">
        <f>'Conformación de Datos'!$H$211</f>
        <v>356458.03233419999</v>
      </c>
      <c r="G12" s="231" t="s">
        <v>615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269" t="s">
        <v>622</v>
      </c>
      <c r="B13" s="297">
        <f>C13*0.8</f>
        <v>104025.34667059197</v>
      </c>
      <c r="C13" s="297">
        <f>'Energìa e Impuestos'!F33*'Energìa e Impuestos'!F34*12</f>
        <v>130031.68333823996</v>
      </c>
      <c r="D13" s="297">
        <f>'Energìa e Impuestos'!F33*'Energìa e Impuestos'!F34*12</f>
        <v>130031.68333823996</v>
      </c>
      <c r="E13" s="297">
        <f>'Energìa e Impuestos'!F33*'Energìa e Impuestos'!F34*12</f>
        <v>130031.68333823996</v>
      </c>
      <c r="F13" s="297">
        <f>'Energìa e Impuestos'!F33*'Energìa e Impuestos'!F34*12</f>
        <v>130031.68333823996</v>
      </c>
      <c r="G13" s="231" t="s">
        <v>615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269" t="s">
        <v>623</v>
      </c>
      <c r="B14" s="297" t="s">
        <v>235</v>
      </c>
      <c r="C14" s="297" t="s">
        <v>235</v>
      </c>
      <c r="D14" s="297" t="s">
        <v>235</v>
      </c>
      <c r="E14" s="297" t="s">
        <v>235</v>
      </c>
      <c r="F14" s="328" t="s">
        <v>235</v>
      </c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269" t="s">
        <v>624</v>
      </c>
      <c r="B15" s="297">
        <f>'Energìa e Impuestos'!K23*'Energìa e Impuestos'!M23*'E-Inv AF y Am'!B8+'Energìa e Impuestos'!K24*'Energìa e Impuestos'!M24*'E-Inv AF y Am'!B8</f>
        <v>8808.3012600000002</v>
      </c>
      <c r="C15" s="297">
        <f>'Energìa e Impuestos'!K23*'Energìa e Impuestos'!M23*'E-Inv AF y Am'!B8+'Energìa e Impuestos'!K24*'Energìa e Impuestos'!M24*'E-Inv AF y Am'!B8</f>
        <v>8808.3012600000002</v>
      </c>
      <c r="D15" s="297">
        <f>'Energìa e Impuestos'!K23*'Energìa e Impuestos'!M23*'E-Inv AF y Am'!B8+'Energìa e Impuestos'!K24*'Energìa e Impuestos'!M24*'E-Inv AF y Am'!B8</f>
        <v>8808.3012600000002</v>
      </c>
      <c r="E15" s="297">
        <f>'Energìa e Impuestos'!K23*'Energìa e Impuestos'!M23*'E-Inv AF y Am'!B8+'Energìa e Impuestos'!K24*'Energìa e Impuestos'!M24*'E-Inv AF y Am'!B8</f>
        <v>8808.3012600000002</v>
      </c>
      <c r="F15" s="297">
        <f>'Energìa e Impuestos'!K23*'Energìa e Impuestos'!M23*'E-Inv AF y Am'!B8+'Energìa e Impuestos'!K24*'Energìa e Impuestos'!M24*'E-Inv AF y Am'!B8</f>
        <v>8808.3012600000002</v>
      </c>
      <c r="G15" s="231" t="s">
        <v>619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269" t="s">
        <v>504</v>
      </c>
      <c r="B16" s="329">
        <f t="shared" ref="B16:F16" si="0">0.09*(SUM(B7:B15))</f>
        <v>584398.20151701872</v>
      </c>
      <c r="C16" s="297">
        <f t="shared" si="0"/>
        <v>658593.89598973352</v>
      </c>
      <c r="D16" s="297">
        <f t="shared" si="0"/>
        <v>658593.89598973352</v>
      </c>
      <c r="E16" s="297">
        <f t="shared" si="0"/>
        <v>658593.89598973352</v>
      </c>
      <c r="F16" s="297">
        <f t="shared" si="0"/>
        <v>658593.89598973352</v>
      </c>
      <c r="G16" s="231" t="s">
        <v>619</v>
      </c>
      <c r="H16" s="156" t="s">
        <v>625</v>
      </c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267" t="s">
        <v>626</v>
      </c>
      <c r="B17" s="297">
        <f t="shared" ref="B17:F17" si="1">SUM(B7:B16)</f>
        <v>7077711.5517061157</v>
      </c>
      <c r="C17" s="297">
        <f t="shared" si="1"/>
        <v>7976303.851431217</v>
      </c>
      <c r="D17" s="297">
        <f t="shared" si="1"/>
        <v>7976303.851431217</v>
      </c>
      <c r="E17" s="297">
        <f t="shared" si="1"/>
        <v>7976303.851431217</v>
      </c>
      <c r="F17" s="297">
        <f t="shared" si="1"/>
        <v>7976303.851431217</v>
      </c>
      <c r="G17" s="231"/>
      <c r="H17" s="160" t="s">
        <v>552</v>
      </c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330"/>
      <c r="B18" s="331"/>
      <c r="C18" s="331"/>
      <c r="D18" s="331"/>
      <c r="E18" s="331"/>
      <c r="F18" s="332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333" t="s">
        <v>627</v>
      </c>
      <c r="B19" s="334">
        <f t="shared" ref="B19:F19" si="2">(B10+B11+B15+B16)/B17</f>
        <v>0.35136198062824381</v>
      </c>
      <c r="C19" s="334">
        <f t="shared" si="2"/>
        <v>0.3223089448471152</v>
      </c>
      <c r="D19" s="334">
        <f t="shared" si="2"/>
        <v>0.3223089448471152</v>
      </c>
      <c r="E19" s="334">
        <f t="shared" si="2"/>
        <v>0.3223089448471152</v>
      </c>
      <c r="F19" s="334">
        <f t="shared" si="2"/>
        <v>0.3223089448471152</v>
      </c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3.5" customHeight="1">
      <c r="A20" s="279" t="s">
        <v>628</v>
      </c>
      <c r="B20" s="335">
        <f t="shared" ref="B20:F20" si="3">(B7+B8+B12+B13)/B17</f>
        <v>0.64863801937175614</v>
      </c>
      <c r="C20" s="335">
        <f t="shared" si="3"/>
        <v>0.67769105515288475</v>
      </c>
      <c r="D20" s="335">
        <f t="shared" si="3"/>
        <v>0.67769105515288475</v>
      </c>
      <c r="E20" s="335">
        <f t="shared" si="3"/>
        <v>0.67769105515288475</v>
      </c>
      <c r="F20" s="335">
        <f t="shared" si="3"/>
        <v>0.67769105515288475</v>
      </c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4.25" customHeight="1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3.5" customHeight="1">
      <c r="A22" s="336"/>
      <c r="B22" s="337" t="s">
        <v>629</v>
      </c>
      <c r="C22" s="337"/>
      <c r="D22" s="337"/>
      <c r="E22" s="337"/>
      <c r="F22" s="337"/>
      <c r="G22" s="338"/>
      <c r="H22" s="231"/>
      <c r="I22" s="231"/>
      <c r="J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339"/>
      <c r="B23" s="310" t="s">
        <v>630</v>
      </c>
      <c r="C23" s="310"/>
      <c r="D23" s="310"/>
      <c r="E23" s="310"/>
      <c r="F23" s="310"/>
      <c r="G23" s="340" t="s">
        <v>631</v>
      </c>
      <c r="H23" s="231"/>
      <c r="I23" s="231"/>
      <c r="J23" s="231"/>
      <c r="T23" s="231"/>
      <c r="U23" s="231"/>
      <c r="V23" s="231"/>
      <c r="W23" s="231"/>
      <c r="X23" s="231"/>
      <c r="Y23" s="231"/>
      <c r="Z23" s="231"/>
    </row>
    <row r="24" spans="1:26" ht="13.5" customHeight="1">
      <c r="A24" s="339" t="s">
        <v>586</v>
      </c>
      <c r="B24" s="341" t="s">
        <v>39</v>
      </c>
      <c r="C24" s="341" t="s">
        <v>425</v>
      </c>
      <c r="D24" s="341" t="s">
        <v>426</v>
      </c>
      <c r="E24" s="341" t="s">
        <v>427</v>
      </c>
      <c r="F24" s="341" t="s">
        <v>428</v>
      </c>
      <c r="G24" s="342" t="s">
        <v>39</v>
      </c>
      <c r="H24" s="231"/>
      <c r="I24" s="231"/>
      <c r="J24" s="231"/>
      <c r="T24" s="231"/>
      <c r="U24" s="231"/>
      <c r="V24" s="231"/>
      <c r="W24" s="231"/>
      <c r="X24" s="231"/>
      <c r="Y24" s="231"/>
      <c r="Z24" s="231"/>
    </row>
    <row r="25" spans="1:26" ht="13.5" customHeight="1">
      <c r="A25" s="343" t="s">
        <v>614</v>
      </c>
      <c r="B25" s="297">
        <f>'Conformación de Datos'!$K$169</f>
        <v>36375.68737082211</v>
      </c>
      <c r="C25" s="297">
        <f>'Conformación de Datos'!$K$169</f>
        <v>36375.68737082211</v>
      </c>
      <c r="D25" s="297">
        <f>'Conformación de Datos'!$K$169</f>
        <v>36375.68737082211</v>
      </c>
      <c r="E25" s="297">
        <f>'Conformación de Datos'!$K$169</f>
        <v>36375.68737082211</v>
      </c>
      <c r="F25" s="297">
        <f>'Conformación de Datos'!$K$169</f>
        <v>36375.68737082211</v>
      </c>
      <c r="G25" s="344">
        <f>'Conformación de Datos'!K170</f>
        <v>28684.024214528185</v>
      </c>
      <c r="H25" s="156" t="s">
        <v>632</v>
      </c>
      <c r="I25" s="231"/>
      <c r="J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345" t="s">
        <v>616</v>
      </c>
      <c r="B26" s="297">
        <f>'Conformación de Datos'!$L$194</f>
        <v>20342.911074227588</v>
      </c>
      <c r="C26" s="297">
        <f>'Conformación de Datos'!$L$194</f>
        <v>20342.911074227588</v>
      </c>
      <c r="D26" s="297">
        <f>'Conformación de Datos'!$L$194</f>
        <v>20342.911074227588</v>
      </c>
      <c r="E26" s="297">
        <f>'Conformación de Datos'!$L$194</f>
        <v>20342.911074227588</v>
      </c>
      <c r="F26" s="297">
        <f>'Conformación de Datos'!$L$194</f>
        <v>20342.911074227588</v>
      </c>
      <c r="G26" s="346">
        <f>'Conformación de Datos'!L196</f>
        <v>184319.38417969254</v>
      </c>
      <c r="H26" s="160" t="s">
        <v>633</v>
      </c>
      <c r="I26" s="231"/>
      <c r="J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345" t="s">
        <v>617</v>
      </c>
      <c r="B27" s="271"/>
      <c r="C27" s="271"/>
      <c r="D27" s="271"/>
      <c r="E27" s="271"/>
      <c r="F27" s="271"/>
      <c r="G27" s="347"/>
      <c r="H27" s="231"/>
      <c r="I27" s="231"/>
      <c r="J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345" t="s">
        <v>618</v>
      </c>
      <c r="B28" s="297">
        <f>('Conformación de Datos'!I152/2)*'E-Inv AF y Am'!B62</f>
        <v>17829.774802061187</v>
      </c>
      <c r="C28" s="297">
        <f>('Conformación de Datos'!I152/2)*'E-Inv AF y Am'!B61</f>
        <v>14564.135246935222</v>
      </c>
      <c r="D28" s="297">
        <f>C28</f>
        <v>14564.135246935222</v>
      </c>
      <c r="E28" s="297">
        <f>C28</f>
        <v>14564.135246935222</v>
      </c>
      <c r="F28" s="297">
        <f>C28</f>
        <v>14564.135246935222</v>
      </c>
      <c r="G28" s="346" t="s">
        <v>235</v>
      </c>
      <c r="H28" s="231"/>
      <c r="I28" s="231"/>
      <c r="J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345" t="s">
        <v>620</v>
      </c>
      <c r="B29" s="297">
        <f>'Conformación de Datos'!L184</f>
        <v>783.89658101120858</v>
      </c>
      <c r="C29" s="297">
        <f>'Conformación de Datos'!$L$183</f>
        <v>711.46756555017885</v>
      </c>
      <c r="D29" s="297">
        <f>'Conformación de Datos'!$L$183</f>
        <v>711.46756555017885</v>
      </c>
      <c r="E29" s="297">
        <f>'Conformación de Datos'!$L$183</f>
        <v>711.46756555017885</v>
      </c>
      <c r="F29" s="297">
        <f>'Conformación de Datos'!$L$183</f>
        <v>711.46756555017885</v>
      </c>
      <c r="G29" s="346" t="s">
        <v>235</v>
      </c>
      <c r="H29" s="231"/>
      <c r="I29" s="231"/>
      <c r="J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345" t="s">
        <v>621</v>
      </c>
      <c r="B30" s="297">
        <f>'Conformación de Datos'!$H$213</f>
        <v>2587.9253975610918</v>
      </c>
      <c r="C30" s="297">
        <f>'Conformación de Datos'!$H$213</f>
        <v>2587.9253975610918</v>
      </c>
      <c r="D30" s="297">
        <f>'Conformación de Datos'!$H$213</f>
        <v>2587.9253975610918</v>
      </c>
      <c r="E30" s="297">
        <f>'Conformación de Datos'!$H$213</f>
        <v>2587.9253975610918</v>
      </c>
      <c r="F30" s="297">
        <f>'Conformación de Datos'!$H$213</f>
        <v>2587.9253975610918</v>
      </c>
      <c r="G30" s="346">
        <f>'Conformación de Datos'!H218</f>
        <v>65288.873638699137</v>
      </c>
      <c r="H30" s="231"/>
      <c r="I30" s="231"/>
      <c r="J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345" t="s">
        <v>634</v>
      </c>
      <c r="B31" s="297">
        <f>(B13/'Conformación de Datos'!I160)*'Conformación de Datos'!I159*0.9</f>
        <v>1626.9814329138064</v>
      </c>
      <c r="C31" s="297">
        <f>(C13/'Conformación de Datos'!I145)*'Conformación de Datos'!I159</f>
        <v>2299.6600299123811</v>
      </c>
      <c r="D31" s="297">
        <f>(C13/'Conformación de Datos'!I145)*'Conformación de Datos'!I159</f>
        <v>2299.6600299123811</v>
      </c>
      <c r="E31" s="297">
        <f>(C13/'Conformación de Datos'!I145)*'Conformación de Datos'!I159</f>
        <v>2299.6600299123811</v>
      </c>
      <c r="F31" s="297">
        <f>(C13/'Conformación de Datos'!I145)*'Conformación de Datos'!I159</f>
        <v>2299.6600299123811</v>
      </c>
      <c r="G31" s="346">
        <f>(('Conformación de Datos'!I143/2)*('Energìa e Impuestos'!F34*'Energìa e Impuestos'!F33))/'Conformación de Datos'!F109</f>
        <v>363.07838842140802</v>
      </c>
      <c r="H31" s="231"/>
      <c r="I31" s="231"/>
      <c r="J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345" t="s">
        <v>635</v>
      </c>
      <c r="B32" s="297" t="s">
        <v>235</v>
      </c>
      <c r="C32" s="297" t="s">
        <v>235</v>
      </c>
      <c r="D32" s="297" t="s">
        <v>235</v>
      </c>
      <c r="E32" s="297" t="s">
        <v>235</v>
      </c>
      <c r="F32" s="297" t="s">
        <v>235</v>
      </c>
      <c r="G32" s="346" t="s">
        <v>235</v>
      </c>
      <c r="H32" s="231"/>
      <c r="I32" s="231"/>
      <c r="J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345" t="s">
        <v>636</v>
      </c>
      <c r="B33" s="297">
        <f>(B15/'Conformación de Datos'!C6)*'E-Inv AF y Am'!$B$64</f>
        <v>6.2200880609408662</v>
      </c>
      <c r="C33" s="297">
        <f>(C15/'Conformación de Datos'!D6)*'E-Inv AF y Am'!$B$64</f>
        <v>4.9760704487526928</v>
      </c>
      <c r="D33" s="297">
        <f>(D15/'Conformación de Datos'!E6)*'E-Inv AF y Am'!$B$64</f>
        <v>4.9760704487526928</v>
      </c>
      <c r="E33" s="297">
        <f>(E15/'Conformación de Datos'!F6)*'E-Inv AF y Am'!$B$64</f>
        <v>4.9760704487526928</v>
      </c>
      <c r="F33" s="297">
        <f>(F15/'Conformación de Datos'!G6)*'E-Inv AF y Am'!$B$64</f>
        <v>4.9760704487526928</v>
      </c>
      <c r="G33" s="346" t="s">
        <v>235</v>
      </c>
      <c r="H33" s="231"/>
      <c r="I33" s="231"/>
      <c r="J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345" t="s">
        <v>637</v>
      </c>
      <c r="B34" s="297" t="s">
        <v>235</v>
      </c>
      <c r="C34" s="297" t="s">
        <v>235</v>
      </c>
      <c r="D34" s="297" t="s">
        <v>235</v>
      </c>
      <c r="E34" s="297" t="s">
        <v>235</v>
      </c>
      <c r="F34" s="271" t="s">
        <v>235</v>
      </c>
      <c r="G34" s="346" t="s">
        <v>235</v>
      </c>
      <c r="H34" s="231"/>
      <c r="I34" s="231"/>
      <c r="J34" s="231"/>
      <c r="T34" s="231"/>
      <c r="U34" s="231"/>
      <c r="V34" s="231"/>
      <c r="W34" s="231"/>
      <c r="X34" s="231"/>
      <c r="Y34" s="231"/>
      <c r="Z34" s="231"/>
    </row>
    <row r="35" spans="1:26" ht="13.5" customHeight="1">
      <c r="A35" s="348" t="s">
        <v>638</v>
      </c>
      <c r="B35" s="349">
        <f t="shared" ref="B35:F35" si="4">SUM(B25:B34)</f>
        <v>79553.396746657934</v>
      </c>
      <c r="C35" s="349">
        <f t="shared" si="4"/>
        <v>76886.762755457326</v>
      </c>
      <c r="D35" s="349">
        <f t="shared" si="4"/>
        <v>76886.762755457326</v>
      </c>
      <c r="E35" s="349">
        <f t="shared" si="4"/>
        <v>76886.762755457326</v>
      </c>
      <c r="F35" s="349">
        <f t="shared" si="4"/>
        <v>76886.762755457326</v>
      </c>
      <c r="G35" s="350">
        <f>G31+G30+G26+G25</f>
        <v>278655.36042134126</v>
      </c>
      <c r="H35" s="156" t="s">
        <v>639</v>
      </c>
      <c r="I35" s="160" t="s">
        <v>640</v>
      </c>
      <c r="J35" s="231"/>
      <c r="T35" s="231"/>
      <c r="U35" s="231"/>
      <c r="V35" s="231"/>
      <c r="W35" s="231"/>
      <c r="X35" s="231"/>
      <c r="Y35" s="231"/>
      <c r="Z35" s="231"/>
    </row>
    <row r="36" spans="1:26" ht="14.25" customHeight="1">
      <c r="A36" s="141"/>
      <c r="B36" s="351"/>
      <c r="C36" s="351"/>
      <c r="D36" s="351"/>
      <c r="E36" s="351"/>
      <c r="F36" s="351"/>
      <c r="G36" s="351"/>
      <c r="H36" s="231"/>
      <c r="I36" s="231"/>
      <c r="J36" s="231"/>
      <c r="T36" s="231"/>
      <c r="U36" s="231"/>
      <c r="V36" s="231"/>
      <c r="W36" s="231"/>
      <c r="X36" s="231"/>
      <c r="Y36" s="231"/>
      <c r="Z36" s="231"/>
    </row>
    <row r="37" spans="1:26" ht="13.5" customHeight="1">
      <c r="A37" s="352"/>
      <c r="B37" s="353" t="s">
        <v>641</v>
      </c>
      <c r="C37" s="353"/>
      <c r="D37" s="353"/>
      <c r="E37" s="353"/>
      <c r="F37" s="354"/>
      <c r="G37" s="231"/>
      <c r="H37" s="355"/>
      <c r="I37" s="355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3.5" customHeight="1">
      <c r="A38" s="356"/>
      <c r="B38" s="341" t="s">
        <v>39</v>
      </c>
      <c r="C38" s="341" t="s">
        <v>425</v>
      </c>
      <c r="D38" s="341" t="s">
        <v>426</v>
      </c>
      <c r="E38" s="341" t="s">
        <v>427</v>
      </c>
      <c r="F38" s="357" t="s">
        <v>428</v>
      </c>
      <c r="G38" s="351"/>
      <c r="H38" s="355"/>
      <c r="I38" s="355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3.5" customHeight="1">
      <c r="A39" s="358" t="s">
        <v>626</v>
      </c>
      <c r="B39" s="327">
        <f t="shared" ref="B39:F39" si="5">B17</f>
        <v>7077711.5517061157</v>
      </c>
      <c r="C39" s="327">
        <f t="shared" si="5"/>
        <v>7976303.851431217</v>
      </c>
      <c r="D39" s="327">
        <f t="shared" si="5"/>
        <v>7976303.851431217</v>
      </c>
      <c r="E39" s="327">
        <f t="shared" si="5"/>
        <v>7976303.851431217</v>
      </c>
      <c r="F39" s="359">
        <f t="shared" si="5"/>
        <v>7976303.851431217</v>
      </c>
      <c r="G39" s="351"/>
      <c r="H39" s="355"/>
      <c r="I39" s="355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345" t="s">
        <v>642</v>
      </c>
      <c r="B40" s="297"/>
      <c r="C40" s="297"/>
      <c r="D40" s="297"/>
      <c r="E40" s="297"/>
      <c r="F40" s="347"/>
      <c r="G40" s="351"/>
      <c r="H40" s="355"/>
      <c r="I40" s="355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345" t="s">
        <v>643</v>
      </c>
      <c r="B41" s="297">
        <f>G35</f>
        <v>278655.36042134126</v>
      </c>
      <c r="C41" s="297"/>
      <c r="D41" s="297"/>
      <c r="E41" s="297"/>
      <c r="F41" s="347"/>
      <c r="G41" s="351"/>
      <c r="H41" s="355"/>
      <c r="I41" s="355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345" t="s">
        <v>644</v>
      </c>
      <c r="B42" s="297">
        <f>-B35</f>
        <v>-79553.396746657934</v>
      </c>
      <c r="C42" s="297">
        <f t="shared" ref="C42:F42" si="6">B35-C35</f>
        <v>2666.6339912006079</v>
      </c>
      <c r="D42" s="297">
        <f t="shared" si="6"/>
        <v>0</v>
      </c>
      <c r="E42" s="297">
        <f t="shared" si="6"/>
        <v>0</v>
      </c>
      <c r="F42" s="346">
        <f t="shared" si="6"/>
        <v>0</v>
      </c>
      <c r="G42" s="351"/>
      <c r="H42" s="355"/>
      <c r="I42" s="355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360" t="s">
        <v>645</v>
      </c>
      <c r="B43" s="297">
        <f t="shared" ref="B43:F43" si="7">B39-B41+B42</f>
        <v>6719502.794538117</v>
      </c>
      <c r="C43" s="329">
        <f t="shared" si="7"/>
        <v>7978970.4854224175</v>
      </c>
      <c r="D43" s="329">
        <f t="shared" si="7"/>
        <v>7976303.851431217</v>
      </c>
      <c r="E43" s="329">
        <f t="shared" si="7"/>
        <v>7976303.851431217</v>
      </c>
      <c r="F43" s="344">
        <f t="shared" si="7"/>
        <v>7976303.851431217</v>
      </c>
      <c r="G43" s="361" t="s">
        <v>646</v>
      </c>
      <c r="H43" s="355"/>
      <c r="I43" s="355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362" t="s">
        <v>647</v>
      </c>
      <c r="B44" s="363">
        <f>B43/'Conformación de Datos'!E136</f>
        <v>558.91932559048996</v>
      </c>
      <c r="C44" s="363">
        <f>C43/'Conformación de Datos'!$E$139</f>
        <v>537.30440979275534</v>
      </c>
      <c r="D44" s="363">
        <f>D43/'Conformación de Datos'!$E$139</f>
        <v>537.12483848021668</v>
      </c>
      <c r="E44" s="363">
        <f>E43/'Conformación de Datos'!$E$139</f>
        <v>537.12483848021668</v>
      </c>
      <c r="F44" s="364">
        <f>F43/'Conformación de Datos'!$E$139</f>
        <v>537.12483848021668</v>
      </c>
      <c r="G44" s="365" t="s">
        <v>640</v>
      </c>
      <c r="H44" s="355"/>
      <c r="I44" s="355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362"/>
      <c r="B45" s="363"/>
      <c r="C45" s="363"/>
      <c r="D45" s="363"/>
      <c r="E45" s="363"/>
      <c r="F45" s="364"/>
      <c r="G45" s="351"/>
      <c r="H45" s="355"/>
      <c r="I45" s="355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362" t="s">
        <v>627</v>
      </c>
      <c r="B46" s="366">
        <f t="shared" ref="B46:F46" si="8">B19</f>
        <v>0.35136198062824381</v>
      </c>
      <c r="C46" s="366">
        <f t="shared" si="8"/>
        <v>0.3223089448471152</v>
      </c>
      <c r="D46" s="366">
        <f t="shared" si="8"/>
        <v>0.3223089448471152</v>
      </c>
      <c r="E46" s="366">
        <f t="shared" si="8"/>
        <v>0.3223089448471152</v>
      </c>
      <c r="F46" s="367">
        <f t="shared" si="8"/>
        <v>0.3223089448471152</v>
      </c>
      <c r="G46" s="351"/>
      <c r="H46" s="355"/>
      <c r="I46" s="355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3.5" customHeight="1">
      <c r="A47" s="348" t="s">
        <v>628</v>
      </c>
      <c r="B47" s="368">
        <f t="shared" ref="B47:F47" si="9">B20</f>
        <v>0.64863801937175614</v>
      </c>
      <c r="C47" s="368">
        <f t="shared" si="9"/>
        <v>0.67769105515288475</v>
      </c>
      <c r="D47" s="368">
        <f t="shared" si="9"/>
        <v>0.67769105515288475</v>
      </c>
      <c r="E47" s="368">
        <f t="shared" si="9"/>
        <v>0.67769105515288475</v>
      </c>
      <c r="F47" s="369">
        <f t="shared" si="9"/>
        <v>0.67769105515288475</v>
      </c>
      <c r="G47" s="351"/>
      <c r="H47" s="355"/>
      <c r="I47" s="355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3.5" customHeight="1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3.5" customHeight="1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3.5" customHeight="1">
      <c r="A50" s="370"/>
      <c r="B50" s="337" t="s">
        <v>648</v>
      </c>
      <c r="C50" s="337"/>
      <c r="D50" s="337"/>
      <c r="E50" s="337"/>
      <c r="F50" s="338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3.5" customHeight="1">
      <c r="A51" s="371" t="s">
        <v>586</v>
      </c>
      <c r="B51" s="263" t="s">
        <v>39</v>
      </c>
      <c r="C51" s="263" t="s">
        <v>425</v>
      </c>
      <c r="D51" s="263" t="s">
        <v>426</v>
      </c>
      <c r="E51" s="263" t="s">
        <v>427</v>
      </c>
      <c r="F51" s="357" t="s">
        <v>428</v>
      </c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3.5" customHeight="1">
      <c r="A52" s="372" t="s">
        <v>348</v>
      </c>
      <c r="B52" s="373">
        <f>C52*0.9</f>
        <v>2086726.980312</v>
      </c>
      <c r="C52" s="373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D52" s="373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E52" s="373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F52" s="374">
        <f>'Conformación de Datos'!H181*12+'Conformación de Datos'!H185*12+'Conformación de Datos'!H188*12+'Conformación de Datos'!H190*12+'Conformación de Datos'!B187*'Conformación de Datos'!H186*12+'Conformación de Datos'!H184*12</f>
        <v>2318585.5336799999</v>
      </c>
      <c r="G52" s="231" t="s">
        <v>649</v>
      </c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345" t="s">
        <v>650</v>
      </c>
      <c r="B53" s="297">
        <f>('E-Inv AF y Am'!D57-'E-Inv AF y Am'!D51)*0.05</f>
        <v>98676.974194057941</v>
      </c>
      <c r="C53" s="297">
        <f>('E-Inv AF y Am'!D57-'E-Inv AF y Am'!D51)*0.05</f>
        <v>98676.974194057941</v>
      </c>
      <c r="D53" s="297">
        <f>('E-Inv AF y Am'!D57-'E-Inv AF y Am'!D51)*0.05</f>
        <v>98676.974194057941</v>
      </c>
      <c r="E53" s="297">
        <f>('E-Inv AF y Am'!D57-'E-Inv AF y Am'!D51)*0.05</f>
        <v>98676.974194057941</v>
      </c>
      <c r="F53" s="347">
        <f>('E-Inv AF y Am'!D57-'E-Inv AF y Am'!D51)*0.05</f>
        <v>98676.974194057941</v>
      </c>
      <c r="G53" s="231" t="s">
        <v>649</v>
      </c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345" t="s">
        <v>621</v>
      </c>
      <c r="B54" s="297">
        <f>C54*0.9</f>
        <v>87832.481412075766</v>
      </c>
      <c r="C54" s="297">
        <f>('E-Inv AF y Am'!B17*0.015)+0.01*C43+0.03*(C26+C29)</f>
        <v>97591.646013417514</v>
      </c>
      <c r="D54" s="297">
        <f>('E-Inv AF y Am'!B17*0.015)+0.01*C43+0.03*(C26+C29)</f>
        <v>97591.646013417514</v>
      </c>
      <c r="E54" s="297">
        <f>('E-Inv AF y Am'!B17*0.015)+0.01*C43+0.03*(C26+C29)</f>
        <v>97591.646013417514</v>
      </c>
      <c r="F54" s="346">
        <f>('E-Inv AF y Am'!B17*0.015)+0.01*C43+0.03*(C26+C29)</f>
        <v>97591.646013417514</v>
      </c>
      <c r="G54" s="231" t="s">
        <v>649</v>
      </c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345" t="s">
        <v>435</v>
      </c>
      <c r="B55" s="297">
        <f>C55*0.95</f>
        <v>2470.6019834265594</v>
      </c>
      <c r="C55" s="297">
        <f t="shared" ref="C55:F55" si="10">C13*0.02</f>
        <v>2600.6336667647993</v>
      </c>
      <c r="D55" s="297">
        <f t="shared" si="10"/>
        <v>2600.6336667647993</v>
      </c>
      <c r="E55" s="297">
        <f t="shared" si="10"/>
        <v>2600.6336667647993</v>
      </c>
      <c r="F55" s="346">
        <f t="shared" si="10"/>
        <v>2600.6336667647993</v>
      </c>
      <c r="G55" s="231" t="s">
        <v>615</v>
      </c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345" t="s">
        <v>651</v>
      </c>
      <c r="B56" s="297" t="s">
        <v>235</v>
      </c>
      <c r="C56" s="297" t="s">
        <v>235</v>
      </c>
      <c r="D56" s="297" t="s">
        <v>235</v>
      </c>
      <c r="E56" s="297" t="s">
        <v>235</v>
      </c>
      <c r="F56" s="346" t="s">
        <v>235</v>
      </c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345" t="s">
        <v>652</v>
      </c>
      <c r="B57" s="297">
        <f>'Conformación de Datos'!D224</f>
        <v>3000</v>
      </c>
      <c r="C57" s="297">
        <f>'Conformación de Datos'!D224</f>
        <v>3000</v>
      </c>
      <c r="D57" s="297">
        <f>'Conformación de Datos'!D224</f>
        <v>3000</v>
      </c>
      <c r="E57" s="297">
        <f>'Conformación de Datos'!D224</f>
        <v>3000</v>
      </c>
      <c r="F57" s="346">
        <f>'Conformación de Datos'!D224</f>
        <v>3000</v>
      </c>
      <c r="G57" s="231" t="s">
        <v>649</v>
      </c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345" t="s">
        <v>624</v>
      </c>
      <c r="B58" s="297">
        <f t="shared" ref="B58:F58" si="11">0.05*$B$15+0.0004*$C$88+0.012*$C$88</f>
        <v>263258.41506299999</v>
      </c>
      <c r="C58" s="297">
        <f t="shared" si="11"/>
        <v>263258.41506299999</v>
      </c>
      <c r="D58" s="297">
        <f t="shared" si="11"/>
        <v>263258.41506299999</v>
      </c>
      <c r="E58" s="297">
        <f t="shared" si="11"/>
        <v>263258.41506299999</v>
      </c>
      <c r="F58" s="346">
        <f t="shared" si="11"/>
        <v>263258.41506299999</v>
      </c>
      <c r="G58" s="231" t="s">
        <v>649</v>
      </c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345" t="s">
        <v>504</v>
      </c>
      <c r="B59" s="297">
        <f t="shared" ref="B59:F59" si="12">SUM(B52:B58)*0.02</f>
        <v>50839.309059291205</v>
      </c>
      <c r="C59" s="297">
        <f t="shared" si="12"/>
        <v>55674.264052344792</v>
      </c>
      <c r="D59" s="297">
        <f t="shared" si="12"/>
        <v>55674.264052344792</v>
      </c>
      <c r="E59" s="297">
        <f t="shared" si="12"/>
        <v>55674.264052344792</v>
      </c>
      <c r="F59" s="346">
        <f t="shared" si="12"/>
        <v>55674.264052344792</v>
      </c>
      <c r="G59" s="231" t="s">
        <v>615</v>
      </c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345"/>
      <c r="B60" s="293"/>
      <c r="C60" s="293"/>
      <c r="D60" s="293"/>
      <c r="E60" s="293"/>
      <c r="F60" s="375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360" t="s">
        <v>653</v>
      </c>
      <c r="B61" s="297">
        <f t="shared" ref="B61:F61" si="13">SUM(B52:B59)</f>
        <v>2592804.7620238513</v>
      </c>
      <c r="C61" s="297">
        <f t="shared" si="13"/>
        <v>2839387.4666695846</v>
      </c>
      <c r="D61" s="297">
        <f t="shared" si="13"/>
        <v>2839387.4666695846</v>
      </c>
      <c r="E61" s="297">
        <f t="shared" si="13"/>
        <v>2839387.4666695846</v>
      </c>
      <c r="F61" s="346">
        <f t="shared" si="13"/>
        <v>2839387.4666695846</v>
      </c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360"/>
      <c r="B62" s="297"/>
      <c r="C62" s="297"/>
      <c r="D62" s="297"/>
      <c r="E62" s="297"/>
      <c r="F62" s="346"/>
      <c r="G62" s="35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362" t="s">
        <v>627</v>
      </c>
      <c r="B63" s="313">
        <f t="shared" ref="B63:F63" si="14">(B52+B53+B54+B57+B58)/B61</f>
        <v>0.97943928836311378</v>
      </c>
      <c r="C63" s="313">
        <f t="shared" si="14"/>
        <v>0.97947624323796056</v>
      </c>
      <c r="D63" s="313">
        <f t="shared" si="14"/>
        <v>0.97947624323796056</v>
      </c>
      <c r="E63" s="313">
        <f t="shared" si="14"/>
        <v>0.97947624323796056</v>
      </c>
      <c r="F63" s="376">
        <f t="shared" si="14"/>
        <v>0.97947624323796056</v>
      </c>
      <c r="G63" s="35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3.5" customHeight="1">
      <c r="A64" s="348" t="s">
        <v>628</v>
      </c>
      <c r="B64" s="377">
        <f t="shared" ref="B64:F64" si="15">1-B63</f>
        <v>2.056071163688622E-2</v>
      </c>
      <c r="C64" s="377">
        <f t="shared" si="15"/>
        <v>2.0523756762039436E-2</v>
      </c>
      <c r="D64" s="377">
        <f t="shared" si="15"/>
        <v>2.0523756762039436E-2</v>
      </c>
      <c r="E64" s="377">
        <f t="shared" si="15"/>
        <v>2.0523756762039436E-2</v>
      </c>
      <c r="F64" s="378">
        <f t="shared" si="15"/>
        <v>2.0523756762039436E-2</v>
      </c>
      <c r="G64" s="35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3.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3.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3.5" customHeight="1">
      <c r="A67" s="370"/>
      <c r="B67" s="379" t="s">
        <v>654</v>
      </c>
      <c r="C67" s="337"/>
      <c r="D67" s="337"/>
      <c r="E67" s="337"/>
      <c r="F67" s="338"/>
      <c r="G67" s="156" t="s">
        <v>655</v>
      </c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3.5" customHeight="1">
      <c r="A68" s="371" t="s">
        <v>586</v>
      </c>
      <c r="B68" s="263" t="s">
        <v>39</v>
      </c>
      <c r="C68" s="263" t="s">
        <v>425</v>
      </c>
      <c r="D68" s="263" t="s">
        <v>426</v>
      </c>
      <c r="E68" s="263" t="s">
        <v>427</v>
      </c>
      <c r="F68" s="357" t="s">
        <v>428</v>
      </c>
      <c r="G68" s="365" t="s">
        <v>640</v>
      </c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3.5" customHeight="1">
      <c r="A69" s="343" t="s">
        <v>348</v>
      </c>
      <c r="B69" s="327">
        <f>C69*0.9</f>
        <v>708244.52474879997</v>
      </c>
      <c r="C69" s="327">
        <f>'Conformación de Datos'!H182*12+'Conformación de Datos'!H183*12+'Conformación de Datos'!B188*'Conformación de Datos'!H186*12</f>
        <v>786938.36083199992</v>
      </c>
      <c r="D69" s="327">
        <f>'Conformación de Datos'!H182*12+'Conformación de Datos'!H183*12+'Conformación de Datos'!B188*'Conformación de Datos'!H186*12</f>
        <v>786938.36083199992</v>
      </c>
      <c r="E69" s="327">
        <f>'Conformación de Datos'!H182*12+'Conformación de Datos'!H183*12+'Conformación de Datos'!B188*'Conformación de Datos'!H186*12</f>
        <v>786938.36083199992</v>
      </c>
      <c r="F69" s="359">
        <f>'Conformación de Datos'!H182*12+'Conformación de Datos'!H183*12+'Conformación de Datos'!B188*'Conformación de Datos'!H186*12</f>
        <v>786938.36083199992</v>
      </c>
      <c r="G69" s="231" t="s">
        <v>649</v>
      </c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343" t="s">
        <v>650</v>
      </c>
      <c r="B70" s="327">
        <f t="shared" ref="B70:F70" si="16">B53</f>
        <v>98676.974194057941</v>
      </c>
      <c r="C70" s="327">
        <f t="shared" si="16"/>
        <v>98676.974194057941</v>
      </c>
      <c r="D70" s="327">
        <f t="shared" si="16"/>
        <v>98676.974194057941</v>
      </c>
      <c r="E70" s="327">
        <f t="shared" si="16"/>
        <v>98676.974194057941</v>
      </c>
      <c r="F70" s="327">
        <f t="shared" si="16"/>
        <v>98676.974194057941</v>
      </c>
      <c r="G70" s="231" t="s">
        <v>649</v>
      </c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345" t="s">
        <v>621</v>
      </c>
      <c r="B71" s="297">
        <f>('E-Inv AF y Am'!B17*0.015)+'Conformación de Datos'!D226*'Conformación de Datos'!C6+0.03*C69+'Conformación de Datos'!D225*'Conformación de Datos'!C6</f>
        <v>218978.46062495999</v>
      </c>
      <c r="C71" s="297">
        <f>('E-Inv AF y Am'!B17*0.015)+'Conformación de Datos'!D226*'Conformación de Datos'!D6+0.03*C69+'Conformación de Datos'!D225*'Conformación de Datos'!D6</f>
        <v>263528.46062496002</v>
      </c>
      <c r="D71" s="297">
        <f>('E-Inv AF y Am'!B17*0.015)+'Conformación de Datos'!D226*'Conformación de Datos'!D6+0.03*D69+'Conformación de Datos'!D225*'Conformación de Datos'!D6</f>
        <v>263528.46062496002</v>
      </c>
      <c r="E71" s="297">
        <f>('E-Inv AF y Am'!B17*0.015)+'Conformación de Datos'!D226*'Conformación de Datos'!D6+0.03*D69+'Conformación de Datos'!D225*'Conformación de Datos'!D6</f>
        <v>263528.46062496002</v>
      </c>
      <c r="F71" s="346">
        <f>('E-Inv AF y Am'!B17*0.015)+'Conformación de Datos'!D226*'Conformación de Datos'!D6+0.03*D69+'Conformación de Datos'!D225*'Conformación de Datos'!D6</f>
        <v>263528.46062496002</v>
      </c>
      <c r="G71" s="231" t="s">
        <v>649</v>
      </c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345" t="s">
        <v>482</v>
      </c>
      <c r="B72" s="297">
        <f t="shared" ref="B72:F72" si="17">B55</f>
        <v>2470.6019834265594</v>
      </c>
      <c r="C72" s="297">
        <f t="shared" si="17"/>
        <v>2600.6336667647993</v>
      </c>
      <c r="D72" s="297">
        <f t="shared" si="17"/>
        <v>2600.6336667647993</v>
      </c>
      <c r="E72" s="297">
        <f t="shared" si="17"/>
        <v>2600.6336667647993</v>
      </c>
      <c r="F72" s="346">
        <f t="shared" si="17"/>
        <v>2600.6336667647993</v>
      </c>
      <c r="G72" s="231" t="s">
        <v>615</v>
      </c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345" t="s">
        <v>651</v>
      </c>
      <c r="B73" s="297" t="str">
        <f t="shared" ref="B73:F73" si="18">B56</f>
        <v>-</v>
      </c>
      <c r="C73" s="297" t="str">
        <f t="shared" si="18"/>
        <v>-</v>
      </c>
      <c r="D73" s="297" t="str">
        <f t="shared" si="18"/>
        <v>-</v>
      </c>
      <c r="E73" s="297" t="str">
        <f t="shared" si="18"/>
        <v>-</v>
      </c>
      <c r="F73" s="346" t="str">
        <f t="shared" si="18"/>
        <v>-</v>
      </c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345" t="s">
        <v>652</v>
      </c>
      <c r="B74" s="297">
        <f>'Conformación de Datos'!C6*'Conformación de Datos'!D228+'Conformación de Datos'!D229</f>
        <v>644000</v>
      </c>
      <c r="C74" s="297">
        <f>'Conformación de Datos'!D6*'Conformación de Datos'!D228+'Conformación de Datos'!D229</f>
        <v>792500</v>
      </c>
      <c r="D74" s="297">
        <f>'Conformación de Datos'!D6*'Conformación de Datos'!D228+'Conformación de Datos'!D229</f>
        <v>792500</v>
      </c>
      <c r="E74" s="297">
        <f>'Conformación de Datos'!D6*'Conformación de Datos'!D228+'Conformación de Datos'!D229</f>
        <v>792500</v>
      </c>
      <c r="F74" s="346">
        <f>'Conformación de Datos'!D6*'Conformación de Datos'!D228+'Conformación de Datos'!D229</f>
        <v>792500</v>
      </c>
      <c r="G74" s="231" t="s">
        <v>615</v>
      </c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345" t="s">
        <v>624</v>
      </c>
      <c r="B75" s="297">
        <f>B58+'Energìa e Impuestos'!$K$27*B88</f>
        <v>729548.41506300005</v>
      </c>
      <c r="C75" s="297">
        <f>C58+'Energìa e Impuestos'!$K$27*C88</f>
        <v>846120.91506300005</v>
      </c>
      <c r="D75" s="297">
        <f>D58+'Energìa e Impuestos'!$K$27*D88</f>
        <v>846120.91506300005</v>
      </c>
      <c r="E75" s="297">
        <f>E58+'Energìa e Impuestos'!$K$27*E88</f>
        <v>846120.91506300005</v>
      </c>
      <c r="F75" s="346">
        <f>F58+'Energìa e Impuestos'!$K$27*F88</f>
        <v>846120.91506300005</v>
      </c>
      <c r="G75" s="231" t="s">
        <v>649</v>
      </c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345" t="s">
        <v>504</v>
      </c>
      <c r="B76" s="297">
        <f t="shared" ref="B76:F76" si="19">SUM(B69:B75)*0.02</f>
        <v>48038.379532284889</v>
      </c>
      <c r="C76" s="297">
        <f t="shared" si="19"/>
        <v>55807.306887615661</v>
      </c>
      <c r="D76" s="297">
        <f t="shared" si="19"/>
        <v>55807.306887615661</v>
      </c>
      <c r="E76" s="297">
        <f t="shared" si="19"/>
        <v>55807.306887615661</v>
      </c>
      <c r="F76" s="346">
        <f t="shared" si="19"/>
        <v>55807.306887615661</v>
      </c>
      <c r="G76" s="231" t="s">
        <v>615</v>
      </c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345"/>
      <c r="B77" s="293"/>
      <c r="C77" s="293"/>
      <c r="D77" s="293"/>
      <c r="E77" s="293"/>
      <c r="F77" s="375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360" t="s">
        <v>656</v>
      </c>
      <c r="B78" s="297">
        <f t="shared" ref="B78:F78" si="20">SUM(B69:B76)</f>
        <v>2449957.3561465293</v>
      </c>
      <c r="C78" s="297">
        <f t="shared" si="20"/>
        <v>2846172.6512683984</v>
      </c>
      <c r="D78" s="297">
        <f t="shared" si="20"/>
        <v>2846172.6512683984</v>
      </c>
      <c r="E78" s="297">
        <f t="shared" si="20"/>
        <v>2846172.6512683984</v>
      </c>
      <c r="F78" s="346">
        <f t="shared" si="20"/>
        <v>2846172.6512683984</v>
      </c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360"/>
      <c r="B79" s="297"/>
      <c r="C79" s="297"/>
      <c r="D79" s="297"/>
      <c r="E79" s="297"/>
      <c r="F79" s="346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362" t="s">
        <v>627</v>
      </c>
      <c r="B80" s="313">
        <f t="shared" ref="B80:F80" si="21">(B69+B71+B75)/B78</f>
        <v>0.6762449951547933</v>
      </c>
      <c r="C80" s="313">
        <f t="shared" si="21"/>
        <v>0.66636426137913474</v>
      </c>
      <c r="D80" s="313">
        <f t="shared" si="21"/>
        <v>0.66636426137913474</v>
      </c>
      <c r="E80" s="313">
        <f t="shared" si="21"/>
        <v>0.66636426137913474</v>
      </c>
      <c r="F80" s="376">
        <f t="shared" si="21"/>
        <v>0.66636426137913474</v>
      </c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3.5" customHeight="1">
      <c r="A81" s="348" t="s">
        <v>628</v>
      </c>
      <c r="B81" s="377">
        <f t="shared" ref="B81:F81" si="22">1-B80</f>
        <v>0.3237550048452067</v>
      </c>
      <c r="C81" s="377">
        <f t="shared" si="22"/>
        <v>0.33363573862086526</v>
      </c>
      <c r="D81" s="377">
        <f t="shared" si="22"/>
        <v>0.33363573862086526</v>
      </c>
      <c r="E81" s="377">
        <f t="shared" si="22"/>
        <v>0.33363573862086526</v>
      </c>
      <c r="F81" s="378">
        <f t="shared" si="22"/>
        <v>0.33363573862086526</v>
      </c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3.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3.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6.5" customHeight="1">
      <c r="A84" s="380" t="s">
        <v>657</v>
      </c>
      <c r="B84" s="381"/>
      <c r="C84" s="381"/>
      <c r="D84" s="381"/>
      <c r="E84" s="381"/>
      <c r="F84" s="382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3.5" customHeight="1">
      <c r="A85" s="345"/>
      <c r="B85" s="310" t="s">
        <v>39</v>
      </c>
      <c r="C85" s="310" t="s">
        <v>425</v>
      </c>
      <c r="D85" s="310" t="s">
        <v>426</v>
      </c>
      <c r="E85" s="310" t="s">
        <v>427</v>
      </c>
      <c r="F85" s="357" t="s">
        <v>428</v>
      </c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3.5" customHeight="1">
      <c r="A86" s="345" t="s">
        <v>658</v>
      </c>
      <c r="B86" s="383">
        <f>'Conformación de Datos'!C6</f>
        <v>11880</v>
      </c>
      <c r="C86" s="383">
        <f>'Conformación de Datos'!D6</f>
        <v>14850</v>
      </c>
      <c r="D86" s="383">
        <f>'Conformación de Datos'!E6</f>
        <v>14850</v>
      </c>
      <c r="E86" s="383">
        <f>'Conformación de Datos'!F6</f>
        <v>14850</v>
      </c>
      <c r="F86" s="384">
        <f>'Conformación de Datos'!G6</f>
        <v>14850</v>
      </c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345" t="s">
        <v>659</v>
      </c>
      <c r="B87" s="297">
        <f>'Conformación de Datos'!C12</f>
        <v>1427.2727272727273</v>
      </c>
      <c r="C87" s="297">
        <f>'Conformación de Datos'!D12</f>
        <v>1427.2727272727273</v>
      </c>
      <c r="D87" s="297">
        <f>'Conformación de Datos'!E12</f>
        <v>1427.2727272727273</v>
      </c>
      <c r="E87" s="297">
        <f>'Conformación de Datos'!F12</f>
        <v>1427.2727272727273</v>
      </c>
      <c r="F87" s="346">
        <f>'Conformación de Datos'!G12</f>
        <v>1427.2727272727273</v>
      </c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360" t="s">
        <v>660</v>
      </c>
      <c r="B88" s="297">
        <f>'Conformación de Datos'!C17</f>
        <v>16956000</v>
      </c>
      <c r="C88" s="297">
        <f>'Conformación de Datos'!D17</f>
        <v>21195000</v>
      </c>
      <c r="D88" s="297">
        <f>'Conformación de Datos'!E17</f>
        <v>21195000</v>
      </c>
      <c r="E88" s="297">
        <f>'Conformación de Datos'!F17</f>
        <v>21195000</v>
      </c>
      <c r="F88" s="346">
        <f>'Conformación de Datos'!G17</f>
        <v>21195000</v>
      </c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345"/>
      <c r="B89" s="297"/>
      <c r="C89" s="297"/>
      <c r="D89" s="297"/>
      <c r="E89" s="297"/>
      <c r="F89" s="346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345" t="s">
        <v>661</v>
      </c>
      <c r="B90" s="297">
        <f t="shared" ref="B90:F90" si="23">B7</f>
        <v>2093197.9132168619</v>
      </c>
      <c r="C90" s="297">
        <f t="shared" si="23"/>
        <v>2655433.9350000001</v>
      </c>
      <c r="D90" s="297">
        <f t="shared" si="23"/>
        <v>2655433.9350000001</v>
      </c>
      <c r="E90" s="297">
        <f t="shared" si="23"/>
        <v>2655433.9350000001</v>
      </c>
      <c r="F90" s="346">
        <f t="shared" si="23"/>
        <v>2655433.9350000001</v>
      </c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345" t="s">
        <v>616</v>
      </c>
      <c r="B91" s="297">
        <f t="shared" ref="B91:F91" si="24">B8</f>
        <v>2037191.5103616002</v>
      </c>
      <c r="C91" s="297">
        <f t="shared" si="24"/>
        <v>2263546.1226240001</v>
      </c>
      <c r="D91" s="297">
        <f t="shared" si="24"/>
        <v>2263546.1226240001</v>
      </c>
      <c r="E91" s="297">
        <f t="shared" si="24"/>
        <v>2263546.1226240001</v>
      </c>
      <c r="F91" s="346">
        <f t="shared" si="24"/>
        <v>2263546.1226240001</v>
      </c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345" t="s">
        <v>662</v>
      </c>
      <c r="B92" s="297">
        <f t="shared" ref="B92:F92" si="25">SUM(B10:B16)</f>
        <v>2947322.1281276532</v>
      </c>
      <c r="C92" s="297">
        <f t="shared" si="25"/>
        <v>3057323.793807216</v>
      </c>
      <c r="D92" s="297">
        <f t="shared" si="25"/>
        <v>3057323.793807216</v>
      </c>
      <c r="E92" s="297">
        <f t="shared" si="25"/>
        <v>3057323.793807216</v>
      </c>
      <c r="F92" s="346">
        <f t="shared" si="25"/>
        <v>3057323.793807216</v>
      </c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345"/>
      <c r="B93" s="297"/>
      <c r="C93" s="297"/>
      <c r="D93" s="297"/>
      <c r="E93" s="297"/>
      <c r="F93" s="346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345" t="s">
        <v>663</v>
      </c>
      <c r="B94" s="385">
        <f t="shared" ref="B94:F94" si="26">B17</f>
        <v>7077711.5517061157</v>
      </c>
      <c r="C94" s="385">
        <f t="shared" si="26"/>
        <v>7976303.851431217</v>
      </c>
      <c r="D94" s="385">
        <f t="shared" si="26"/>
        <v>7976303.851431217</v>
      </c>
      <c r="E94" s="385">
        <f t="shared" si="26"/>
        <v>7976303.851431217</v>
      </c>
      <c r="F94" s="386">
        <f t="shared" si="26"/>
        <v>7976303.851431217</v>
      </c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345"/>
      <c r="B95" s="297"/>
      <c r="C95" s="297"/>
      <c r="D95" s="297"/>
      <c r="E95" s="297"/>
      <c r="F95" s="346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345" t="s">
        <v>642</v>
      </c>
      <c r="B96" s="297"/>
      <c r="C96" s="297"/>
      <c r="D96" s="297"/>
      <c r="E96" s="297"/>
      <c r="F96" s="346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387" t="s">
        <v>631</v>
      </c>
      <c r="B97" s="297">
        <f t="shared" ref="B97:B98" si="27">B41</f>
        <v>278655.36042134126</v>
      </c>
      <c r="C97" s="297"/>
      <c r="D97" s="297"/>
      <c r="E97" s="297"/>
      <c r="F97" s="346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387" t="s">
        <v>644</v>
      </c>
      <c r="B98" s="297">
        <f t="shared" si="27"/>
        <v>-79553.396746657934</v>
      </c>
      <c r="C98" s="297">
        <f t="shared" ref="C98:F98" si="28">C42</f>
        <v>2666.6339912006079</v>
      </c>
      <c r="D98" s="297">
        <f t="shared" si="28"/>
        <v>0</v>
      </c>
      <c r="E98" s="297">
        <f t="shared" si="28"/>
        <v>0</v>
      </c>
      <c r="F98" s="346">
        <f t="shared" si="28"/>
        <v>0</v>
      </c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345"/>
      <c r="B99" s="297"/>
      <c r="C99" s="297"/>
      <c r="D99" s="297"/>
      <c r="E99" s="297"/>
      <c r="F99" s="346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360" t="s">
        <v>664</v>
      </c>
      <c r="B100" s="296">
        <f t="shared" ref="B100:F100" si="29">B94-B97+B98</f>
        <v>6719502.794538117</v>
      </c>
      <c r="C100" s="388">
        <f t="shared" si="29"/>
        <v>7978970.4854224175</v>
      </c>
      <c r="D100" s="388">
        <f t="shared" si="29"/>
        <v>7976303.851431217</v>
      </c>
      <c r="E100" s="388">
        <f t="shared" si="29"/>
        <v>7976303.851431217</v>
      </c>
      <c r="F100" s="389">
        <f t="shared" si="29"/>
        <v>7976303.851431217</v>
      </c>
      <c r="G100" s="156" t="s">
        <v>665</v>
      </c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387" t="s">
        <v>666</v>
      </c>
      <c r="B101" s="390">
        <f>'Conformación de Datos'!E136</f>
        <v>12022.3125</v>
      </c>
      <c r="C101" s="390">
        <f>'Conformación de Datos'!$E$139</f>
        <v>14850</v>
      </c>
      <c r="D101" s="390">
        <f>'Conformación de Datos'!$E$139</f>
        <v>14850</v>
      </c>
      <c r="E101" s="390">
        <f>'Conformación de Datos'!$E$139</f>
        <v>14850</v>
      </c>
      <c r="F101" s="391">
        <f>'Conformación de Datos'!$E$139</f>
        <v>14850</v>
      </c>
      <c r="G101" s="365" t="s">
        <v>640</v>
      </c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345" t="s">
        <v>667</v>
      </c>
      <c r="B102" s="297">
        <f t="shared" ref="B102:F102" si="30">B100/B101</f>
        <v>558.91932559048996</v>
      </c>
      <c r="C102" s="297">
        <f t="shared" si="30"/>
        <v>537.30440979275534</v>
      </c>
      <c r="D102" s="297">
        <f t="shared" si="30"/>
        <v>537.12483848021668</v>
      </c>
      <c r="E102" s="297">
        <f t="shared" si="30"/>
        <v>537.12483848021668</v>
      </c>
      <c r="F102" s="346">
        <f t="shared" si="30"/>
        <v>537.12483848021668</v>
      </c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345"/>
      <c r="B103" s="296"/>
      <c r="C103" s="296"/>
      <c r="D103" s="296"/>
      <c r="E103" s="296"/>
      <c r="F103" s="392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345" t="s">
        <v>642</v>
      </c>
      <c r="B104" s="296"/>
      <c r="C104" s="296"/>
      <c r="D104" s="296"/>
      <c r="E104" s="296"/>
      <c r="F104" s="392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345" t="s">
        <v>668</v>
      </c>
      <c r="B105" s="297">
        <f>B102*'Conformación de Datos'!$E$238</f>
        <v>79646.003896644819</v>
      </c>
      <c r="C105" s="297">
        <f>C102*'Conformación de Datos'!$E$238</f>
        <v>76565.878395467633</v>
      </c>
      <c r="D105" s="297">
        <f>D102*'Conformación de Datos'!$E$238</f>
        <v>76540.289483430883</v>
      </c>
      <c r="E105" s="297">
        <f>E102*'Conformación de Datos'!$E$238</f>
        <v>76540.289483430883</v>
      </c>
      <c r="F105" s="346">
        <f>F102*'Conformación de Datos'!$E$238</f>
        <v>76540.289483430883</v>
      </c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345"/>
      <c r="B106" s="296"/>
      <c r="C106" s="296"/>
      <c r="D106" s="296"/>
      <c r="E106" s="296"/>
      <c r="F106" s="392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360" t="s">
        <v>669</v>
      </c>
      <c r="B107" s="297">
        <f t="shared" ref="B107:F107" si="31">(B101*B102)-B105</f>
        <v>6639856.7906414717</v>
      </c>
      <c r="C107" s="297">
        <f t="shared" si="31"/>
        <v>7902404.6070269486</v>
      </c>
      <c r="D107" s="297">
        <f t="shared" si="31"/>
        <v>7899763.5619477872</v>
      </c>
      <c r="E107" s="297">
        <f t="shared" si="31"/>
        <v>7899763.5619477872</v>
      </c>
      <c r="F107" s="346">
        <f t="shared" si="31"/>
        <v>7899763.5619477872</v>
      </c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345"/>
      <c r="B108" s="297"/>
      <c r="C108" s="297"/>
      <c r="D108" s="297"/>
      <c r="E108" s="297"/>
      <c r="F108" s="346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360" t="s">
        <v>670</v>
      </c>
      <c r="B109" s="297">
        <f t="shared" ref="B109:F109" si="32">B61</f>
        <v>2592804.7620238513</v>
      </c>
      <c r="C109" s="297">
        <f t="shared" si="32"/>
        <v>2839387.4666695846</v>
      </c>
      <c r="D109" s="297">
        <f t="shared" si="32"/>
        <v>2839387.4666695846</v>
      </c>
      <c r="E109" s="297">
        <f t="shared" si="32"/>
        <v>2839387.4666695846</v>
      </c>
      <c r="F109" s="346">
        <f t="shared" si="32"/>
        <v>2839387.4666695846</v>
      </c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360" t="s">
        <v>671</v>
      </c>
      <c r="B110" s="296">
        <f t="shared" ref="B110:F110" si="33">B78</f>
        <v>2449957.3561465293</v>
      </c>
      <c r="C110" s="296">
        <f t="shared" si="33"/>
        <v>2846172.6512683984</v>
      </c>
      <c r="D110" s="296">
        <f t="shared" si="33"/>
        <v>2846172.6512683984</v>
      </c>
      <c r="E110" s="296">
        <f t="shared" si="33"/>
        <v>2846172.6512683984</v>
      </c>
      <c r="F110" s="392">
        <f t="shared" si="33"/>
        <v>2846172.6512683984</v>
      </c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345"/>
      <c r="B111" s="296"/>
      <c r="C111" s="296"/>
      <c r="D111" s="296"/>
      <c r="E111" s="296"/>
      <c r="F111" s="392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360" t="s">
        <v>672</v>
      </c>
      <c r="B112" s="296">
        <f t="shared" ref="B112:F112" si="34">B107+B109+B110</f>
        <v>11682618.908811852</v>
      </c>
      <c r="C112" s="296">
        <f t="shared" si="34"/>
        <v>13587964.724964932</v>
      </c>
      <c r="D112" s="296">
        <f t="shared" si="34"/>
        <v>13585323.679885769</v>
      </c>
      <c r="E112" s="296">
        <f t="shared" si="34"/>
        <v>13585323.679885769</v>
      </c>
      <c r="F112" s="392">
        <f t="shared" si="34"/>
        <v>13585323.679885769</v>
      </c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345"/>
      <c r="B113" s="296"/>
      <c r="C113" s="296"/>
      <c r="D113" s="296"/>
      <c r="E113" s="296"/>
      <c r="F113" s="392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360" t="s">
        <v>673</v>
      </c>
      <c r="B114" s="296">
        <f t="shared" ref="B114:F114" si="35">B112/B101</f>
        <v>971.74473786235819</v>
      </c>
      <c r="C114" s="296">
        <f t="shared" si="35"/>
        <v>915.01445959359808</v>
      </c>
      <c r="D114" s="296">
        <f t="shared" si="35"/>
        <v>914.8366114401191</v>
      </c>
      <c r="E114" s="296">
        <f t="shared" si="35"/>
        <v>914.8366114401191</v>
      </c>
      <c r="F114" s="392">
        <f t="shared" si="35"/>
        <v>914.8366114401191</v>
      </c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345"/>
      <c r="B115" s="296"/>
      <c r="C115" s="296"/>
      <c r="D115" s="296"/>
      <c r="E115" s="296"/>
      <c r="F115" s="392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360" t="s">
        <v>674</v>
      </c>
      <c r="B116" s="296">
        <f t="shared" ref="B116:F116" si="36">B88-B112</f>
        <v>5273381.0911881477</v>
      </c>
      <c r="C116" s="296">
        <f t="shared" si="36"/>
        <v>7607035.2750350684</v>
      </c>
      <c r="D116" s="296">
        <f t="shared" si="36"/>
        <v>7609676.3201142307</v>
      </c>
      <c r="E116" s="296">
        <f t="shared" si="36"/>
        <v>7609676.3201142307</v>
      </c>
      <c r="F116" s="392">
        <f t="shared" si="36"/>
        <v>7609676.3201142307</v>
      </c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360" t="s">
        <v>488</v>
      </c>
      <c r="B117" s="296">
        <f>InfoInicial!$B$5*B116</f>
        <v>421870.4872950518</v>
      </c>
      <c r="C117" s="296">
        <f>InfoInicial!$B$5*C116</f>
        <v>608562.82200280554</v>
      </c>
      <c r="D117" s="296">
        <f>InfoInicial!$B$5*D116</f>
        <v>608774.1056091385</v>
      </c>
      <c r="E117" s="296">
        <f>InfoInicial!$B$5*E116</f>
        <v>608774.1056091385</v>
      </c>
      <c r="F117" s="392">
        <f>InfoInicial!$B$5*F116</f>
        <v>608774.1056091385</v>
      </c>
      <c r="G117" s="365" t="s">
        <v>640</v>
      </c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393" t="s">
        <v>675</v>
      </c>
      <c r="B118" s="388">
        <f>InfoInicial!$B$4*(B116-B117)</f>
        <v>1698028.7113625833</v>
      </c>
      <c r="C118" s="388">
        <f>InfoInicial!$B$4*(C116-C117)</f>
        <v>2449465.3585612918</v>
      </c>
      <c r="D118" s="388">
        <f>InfoInicial!$B$4*(D116-D117)</f>
        <v>2450315.7750767823</v>
      </c>
      <c r="E118" s="388">
        <f>InfoInicial!$B$4*(E116-E117)</f>
        <v>2450315.7750767823</v>
      </c>
      <c r="F118" s="388">
        <f>InfoInicial!$B$4*(F116-F117)</f>
        <v>2450315.7750767823</v>
      </c>
      <c r="G118" s="156" t="s">
        <v>676</v>
      </c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360"/>
      <c r="B119" s="296"/>
      <c r="C119" s="296"/>
      <c r="D119" s="296"/>
      <c r="E119" s="296"/>
      <c r="F119" s="392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393" t="s">
        <v>677</v>
      </c>
      <c r="B120" s="296">
        <f t="shared" ref="B120:F120" si="37">B116-B117-B118</f>
        <v>3153481.8925305121</v>
      </c>
      <c r="C120" s="296">
        <f t="shared" si="37"/>
        <v>4549007.0944709703</v>
      </c>
      <c r="D120" s="296">
        <f t="shared" si="37"/>
        <v>4550586.4394283099</v>
      </c>
      <c r="E120" s="296">
        <f t="shared" si="37"/>
        <v>4550586.4394283099</v>
      </c>
      <c r="F120" s="392">
        <f t="shared" si="37"/>
        <v>4550586.4394283099</v>
      </c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360" t="s">
        <v>678</v>
      </c>
      <c r="B121" s="394">
        <f t="shared" ref="B121:F121" si="38">B120/B88</f>
        <v>0.18598029561986978</v>
      </c>
      <c r="C121" s="394">
        <f t="shared" si="38"/>
        <v>0.21462642578301347</v>
      </c>
      <c r="D121" s="394">
        <f t="shared" si="38"/>
        <v>0.21470094076094881</v>
      </c>
      <c r="E121" s="394">
        <f t="shared" si="38"/>
        <v>0.21470094076094881</v>
      </c>
      <c r="F121" s="395">
        <f t="shared" si="38"/>
        <v>0.21470094076094881</v>
      </c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360"/>
      <c r="B122" s="394"/>
      <c r="C122" s="394"/>
      <c r="D122" s="394"/>
      <c r="E122" s="394"/>
      <c r="F122" s="395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360" t="s">
        <v>679</v>
      </c>
      <c r="B123" s="394"/>
      <c r="C123" s="394"/>
      <c r="D123" s="394"/>
      <c r="E123" s="394"/>
      <c r="F123" s="395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393" t="s">
        <v>680</v>
      </c>
      <c r="B124" s="396">
        <f t="shared" ref="B124:F124" si="39">B120</f>
        <v>3153481.8925305121</v>
      </c>
      <c r="C124" s="396">
        <f t="shared" si="39"/>
        <v>4549007.0944709703</v>
      </c>
      <c r="D124" s="396">
        <f t="shared" si="39"/>
        <v>4550586.4394283099</v>
      </c>
      <c r="E124" s="396">
        <f t="shared" si="39"/>
        <v>4550586.4394283099</v>
      </c>
      <c r="F124" s="397">
        <f t="shared" si="39"/>
        <v>4550586.4394283099</v>
      </c>
      <c r="G124" s="231"/>
      <c r="H124" s="231">
        <f>InfoInicial!$B$3*('E-Costos'!B54+'E-Costos'!B55+'E-Costos'!B57)</f>
        <v>19593.647513055486</v>
      </c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360" t="s">
        <v>681</v>
      </c>
      <c r="B125" s="396">
        <f>'E-Inv AF y Am'!D57</f>
        <v>2006039.4838811588</v>
      </c>
      <c r="C125" s="396">
        <f>B125</f>
        <v>2006039.4838811588</v>
      </c>
      <c r="D125" s="396">
        <f>B125</f>
        <v>2006039.4838811588</v>
      </c>
      <c r="E125" s="396">
        <f>'E-Inv AF y Am'!E57</f>
        <v>2006039.4838811588</v>
      </c>
      <c r="F125" s="397">
        <f>E125</f>
        <v>2006039.4838811588</v>
      </c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3.5" customHeight="1">
      <c r="A126" s="356" t="s">
        <v>177</v>
      </c>
      <c r="B126" s="396">
        <f t="shared" ref="B126:F126" si="40">B124+B125</f>
        <v>5159521.3764116708</v>
      </c>
      <c r="C126" s="396">
        <f t="shared" si="40"/>
        <v>6555046.5783521291</v>
      </c>
      <c r="D126" s="396">
        <f t="shared" si="40"/>
        <v>6556625.9233094687</v>
      </c>
      <c r="E126" s="396">
        <f t="shared" si="40"/>
        <v>6556625.9233094687</v>
      </c>
      <c r="F126" s="397">
        <f t="shared" si="40"/>
        <v>6556625.9233094687</v>
      </c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3.5" customHeight="1">
      <c r="A127" s="360"/>
      <c r="B127" s="271"/>
      <c r="C127" s="271"/>
      <c r="D127" s="271"/>
      <c r="E127" s="271"/>
      <c r="F127" s="347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360" t="s">
        <v>682</v>
      </c>
      <c r="B128" s="271">
        <f t="shared" ref="B128:F128" si="41">B39*B46</f>
        <v>2486838.7491228618</v>
      </c>
      <c r="C128" s="271">
        <f t="shared" si="41"/>
        <v>2570834.0781347766</v>
      </c>
      <c r="D128" s="271">
        <f t="shared" si="41"/>
        <v>2570834.0781347766</v>
      </c>
      <c r="E128" s="271">
        <f t="shared" si="41"/>
        <v>2570834.0781347766</v>
      </c>
      <c r="F128" s="347">
        <f t="shared" si="41"/>
        <v>2570834.0781347766</v>
      </c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393" t="s">
        <v>683</v>
      </c>
      <c r="B129" s="271">
        <f t="shared" ref="B129:F129" si="42">B39*B47</f>
        <v>4590872.8025832539</v>
      </c>
      <c r="C129" s="271">
        <f t="shared" si="42"/>
        <v>5405469.77329644</v>
      </c>
      <c r="D129" s="271">
        <f t="shared" si="42"/>
        <v>5405469.77329644</v>
      </c>
      <c r="E129" s="271">
        <f t="shared" si="42"/>
        <v>5405469.77329644</v>
      </c>
      <c r="F129" s="347">
        <f t="shared" si="42"/>
        <v>5405469.77329644</v>
      </c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360" t="s">
        <v>684</v>
      </c>
      <c r="B130" s="271">
        <f t="shared" ref="B130:F130" si="43">B61*B63</f>
        <v>2539494.8509811335</v>
      </c>
      <c r="C130" s="271">
        <f t="shared" si="43"/>
        <v>2781112.5689504747</v>
      </c>
      <c r="D130" s="271">
        <f t="shared" si="43"/>
        <v>2781112.5689504747</v>
      </c>
      <c r="E130" s="271">
        <f t="shared" si="43"/>
        <v>2781112.5689504747</v>
      </c>
      <c r="F130" s="347">
        <f t="shared" si="43"/>
        <v>2781112.5689504747</v>
      </c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393" t="s">
        <v>685</v>
      </c>
      <c r="B131" s="271">
        <f t="shared" ref="B131:F131" si="44">B61*B64</f>
        <v>53309.911042717802</v>
      </c>
      <c r="C131" s="271">
        <f t="shared" si="44"/>
        <v>58274.897719109911</v>
      </c>
      <c r="D131" s="271">
        <f t="shared" si="44"/>
        <v>58274.897719109911</v>
      </c>
      <c r="E131" s="271">
        <f t="shared" si="44"/>
        <v>58274.897719109911</v>
      </c>
      <c r="F131" s="347">
        <f t="shared" si="44"/>
        <v>58274.897719109911</v>
      </c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360" t="s">
        <v>686</v>
      </c>
      <c r="B132" s="271">
        <f t="shared" ref="B132:F132" si="45">B78*B80</f>
        <v>1656771.4004367599</v>
      </c>
      <c r="C132" s="271">
        <f t="shared" si="45"/>
        <v>1896587.73651996</v>
      </c>
      <c r="D132" s="271">
        <f t="shared" si="45"/>
        <v>1896587.73651996</v>
      </c>
      <c r="E132" s="271">
        <f t="shared" si="45"/>
        <v>1896587.73651996</v>
      </c>
      <c r="F132" s="347">
        <f t="shared" si="45"/>
        <v>1896587.73651996</v>
      </c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393" t="s">
        <v>687</v>
      </c>
      <c r="B133" s="271">
        <f t="shared" ref="B133:F133" si="46">B78*B81</f>
        <v>793185.95570976939</v>
      </c>
      <c r="C133" s="271">
        <f t="shared" si="46"/>
        <v>949584.91474843852</v>
      </c>
      <c r="D133" s="271">
        <f t="shared" si="46"/>
        <v>949584.91474843852</v>
      </c>
      <c r="E133" s="271">
        <f t="shared" si="46"/>
        <v>949584.91474843852</v>
      </c>
      <c r="F133" s="347">
        <f t="shared" si="46"/>
        <v>949584.91474843852</v>
      </c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360" t="s">
        <v>688</v>
      </c>
      <c r="B134" s="271">
        <f t="shared" ref="B134:F134" si="47">B88-B129-B131-B133</f>
        <v>11518631.330664258</v>
      </c>
      <c r="C134" s="271">
        <f t="shared" si="47"/>
        <v>14781670.414236013</v>
      </c>
      <c r="D134" s="271">
        <f t="shared" si="47"/>
        <v>14781670.414236013</v>
      </c>
      <c r="E134" s="271">
        <f t="shared" si="47"/>
        <v>14781670.414236013</v>
      </c>
      <c r="F134" s="347">
        <f t="shared" si="47"/>
        <v>14781670.414236013</v>
      </c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3.5" customHeight="1">
      <c r="A135" s="348" t="s">
        <v>689</v>
      </c>
      <c r="B135" s="398">
        <f t="shared" ref="B135:F135" si="48">(B128+B130+B132)/B134</f>
        <v>0.58019957481835238</v>
      </c>
      <c r="C135" s="398">
        <f t="shared" si="48"/>
        <v>0.49037315678641114</v>
      </c>
      <c r="D135" s="398">
        <f t="shared" si="48"/>
        <v>0.49037315678641114</v>
      </c>
      <c r="E135" s="398">
        <f t="shared" si="48"/>
        <v>0.49037315678641114</v>
      </c>
      <c r="F135" s="399">
        <f t="shared" si="48"/>
        <v>0.49037315678641114</v>
      </c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6.5" customHeight="1">
      <c r="A136" s="400" t="s">
        <v>690</v>
      </c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401" t="s">
        <v>691</v>
      </c>
      <c r="C138" s="401"/>
      <c r="D138" s="401"/>
      <c r="E138" s="401"/>
      <c r="F138" s="40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401" t="s">
        <v>692</v>
      </c>
      <c r="C139" s="401" t="s">
        <v>693</v>
      </c>
      <c r="D139" s="401" t="s">
        <v>694</v>
      </c>
      <c r="E139" s="401" t="s">
        <v>695</v>
      </c>
      <c r="F139" s="401" t="s">
        <v>696</v>
      </c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402">
        <v>0</v>
      </c>
      <c r="C140" s="403">
        <f t="shared" ref="C140:C164" si="49">B140*$B$87</f>
        <v>0</v>
      </c>
      <c r="D140" s="403">
        <f t="shared" ref="D140:D164" si="50">B140*$B$102</f>
        <v>0</v>
      </c>
      <c r="E140" s="404">
        <f t="shared" ref="E140:E164" si="51">$B$128+$B$130+$B$132</f>
        <v>6683105.0005407548</v>
      </c>
      <c r="F140" s="403">
        <f t="shared" ref="F140:F164" si="52">D140+E140</f>
        <v>6683105.0005407548</v>
      </c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405">
        <v>500</v>
      </c>
      <c r="C141" s="403">
        <f t="shared" si="49"/>
        <v>713636.36363636365</v>
      </c>
      <c r="D141" s="403">
        <f t="shared" si="50"/>
        <v>279459.66279524501</v>
      </c>
      <c r="E141" s="404">
        <f t="shared" si="51"/>
        <v>6683105.0005407548</v>
      </c>
      <c r="F141" s="403">
        <f t="shared" si="52"/>
        <v>6962564.6633359995</v>
      </c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405">
        <v>1000</v>
      </c>
      <c r="C142" s="403">
        <f t="shared" si="49"/>
        <v>1427272.7272727273</v>
      </c>
      <c r="D142" s="403">
        <f t="shared" si="50"/>
        <v>558919.32559049001</v>
      </c>
      <c r="E142" s="404">
        <f t="shared" si="51"/>
        <v>6683105.0005407548</v>
      </c>
      <c r="F142" s="403">
        <f t="shared" si="52"/>
        <v>7242024.3261312451</v>
      </c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405">
        <v>1500</v>
      </c>
      <c r="C143" s="403">
        <f t="shared" si="49"/>
        <v>2140909.0909090908</v>
      </c>
      <c r="D143" s="403">
        <f t="shared" si="50"/>
        <v>838378.98838573496</v>
      </c>
      <c r="E143" s="404">
        <f t="shared" si="51"/>
        <v>6683105.0005407548</v>
      </c>
      <c r="F143" s="403">
        <f t="shared" si="52"/>
        <v>7521483.9889264898</v>
      </c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405">
        <v>2000</v>
      </c>
      <c r="C144" s="403">
        <f t="shared" si="49"/>
        <v>2854545.4545454546</v>
      </c>
      <c r="D144" s="403">
        <f t="shared" si="50"/>
        <v>1117838.65118098</v>
      </c>
      <c r="E144" s="404">
        <f t="shared" si="51"/>
        <v>6683105.0005407548</v>
      </c>
      <c r="F144" s="403">
        <f t="shared" si="52"/>
        <v>7800943.6517217346</v>
      </c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405">
        <v>2500</v>
      </c>
      <c r="C145" s="403">
        <f t="shared" si="49"/>
        <v>3568181.8181818184</v>
      </c>
      <c r="D145" s="403">
        <f t="shared" si="50"/>
        <v>1397298.313976225</v>
      </c>
      <c r="E145" s="404">
        <f t="shared" si="51"/>
        <v>6683105.0005407548</v>
      </c>
      <c r="F145" s="403">
        <f t="shared" si="52"/>
        <v>8080403.3145169802</v>
      </c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405">
        <v>3000</v>
      </c>
      <c r="C146" s="403">
        <f t="shared" si="49"/>
        <v>4281818.1818181816</v>
      </c>
      <c r="D146" s="403">
        <f t="shared" si="50"/>
        <v>1676757.9767714699</v>
      </c>
      <c r="E146" s="404">
        <f t="shared" si="51"/>
        <v>6683105.0005407548</v>
      </c>
      <c r="F146" s="403">
        <f t="shared" si="52"/>
        <v>8359862.9773122249</v>
      </c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402">
        <v>3500</v>
      </c>
      <c r="C147" s="403">
        <f t="shared" si="49"/>
        <v>4995454.5454545449</v>
      </c>
      <c r="D147" s="403">
        <f t="shared" si="50"/>
        <v>1956217.6395667149</v>
      </c>
      <c r="E147" s="404">
        <f t="shared" si="51"/>
        <v>6683105.0005407548</v>
      </c>
      <c r="F147" s="403">
        <f t="shared" si="52"/>
        <v>8639322.6401074696</v>
      </c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402">
        <v>4000</v>
      </c>
      <c r="C148" s="403">
        <f t="shared" si="49"/>
        <v>5709090.9090909092</v>
      </c>
      <c r="D148" s="403">
        <f t="shared" si="50"/>
        <v>2235677.3023619601</v>
      </c>
      <c r="E148" s="404">
        <f t="shared" si="51"/>
        <v>6683105.0005407548</v>
      </c>
      <c r="F148" s="403">
        <f t="shared" si="52"/>
        <v>8918782.3029027153</v>
      </c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402">
        <v>4500</v>
      </c>
      <c r="C149" s="403">
        <f t="shared" si="49"/>
        <v>6422727.2727272725</v>
      </c>
      <c r="D149" s="403">
        <f t="shared" si="50"/>
        <v>2515136.9651572048</v>
      </c>
      <c r="E149" s="404">
        <f t="shared" si="51"/>
        <v>6683105.0005407548</v>
      </c>
      <c r="F149" s="403">
        <f t="shared" si="52"/>
        <v>9198241.9656979591</v>
      </c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402">
        <v>5000</v>
      </c>
      <c r="C150" s="403">
        <f t="shared" si="49"/>
        <v>7136363.6363636367</v>
      </c>
      <c r="D150" s="403">
        <f t="shared" si="50"/>
        <v>2794596.62795245</v>
      </c>
      <c r="E150" s="404">
        <f t="shared" si="51"/>
        <v>6683105.0005407548</v>
      </c>
      <c r="F150" s="403">
        <f t="shared" si="52"/>
        <v>9477701.6284932047</v>
      </c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402">
        <v>5500</v>
      </c>
      <c r="C151" s="403">
        <f t="shared" si="49"/>
        <v>7850000</v>
      </c>
      <c r="D151" s="403">
        <f t="shared" si="50"/>
        <v>3074056.2907476947</v>
      </c>
      <c r="E151" s="404">
        <f t="shared" si="51"/>
        <v>6683105.0005407548</v>
      </c>
      <c r="F151" s="403">
        <f t="shared" si="52"/>
        <v>9757161.2912884504</v>
      </c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402">
        <v>6000</v>
      </c>
      <c r="C152" s="403">
        <f t="shared" si="49"/>
        <v>8563636.3636363633</v>
      </c>
      <c r="D152" s="403">
        <f t="shared" si="50"/>
        <v>3353515.9535429399</v>
      </c>
      <c r="E152" s="404">
        <f t="shared" si="51"/>
        <v>6683105.0005407548</v>
      </c>
      <c r="F152" s="403">
        <f t="shared" si="52"/>
        <v>10036620.954083694</v>
      </c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402">
        <v>6500</v>
      </c>
      <c r="C153" s="403">
        <f t="shared" si="49"/>
        <v>9277272.7272727266</v>
      </c>
      <c r="D153" s="403">
        <f t="shared" si="50"/>
        <v>3632975.6163381846</v>
      </c>
      <c r="E153" s="404">
        <f t="shared" si="51"/>
        <v>6683105.0005407548</v>
      </c>
      <c r="F153" s="403">
        <f t="shared" si="52"/>
        <v>10316080.61687894</v>
      </c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402">
        <v>7000</v>
      </c>
      <c r="C154" s="403">
        <f t="shared" si="49"/>
        <v>9990909.0909090899</v>
      </c>
      <c r="D154" s="403">
        <f t="shared" si="50"/>
        <v>3912435.2791334298</v>
      </c>
      <c r="E154" s="404">
        <f t="shared" si="51"/>
        <v>6683105.0005407548</v>
      </c>
      <c r="F154" s="403">
        <f t="shared" si="52"/>
        <v>10595540.279674184</v>
      </c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402">
        <v>7500</v>
      </c>
      <c r="C155" s="403">
        <f t="shared" si="49"/>
        <v>10704545.454545455</v>
      </c>
      <c r="D155" s="403">
        <f t="shared" si="50"/>
        <v>4191894.9419286749</v>
      </c>
      <c r="E155" s="404">
        <f t="shared" si="51"/>
        <v>6683105.0005407548</v>
      </c>
      <c r="F155" s="403">
        <f t="shared" si="52"/>
        <v>10874999.942469429</v>
      </c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402">
        <v>8000</v>
      </c>
      <c r="C156" s="403">
        <f t="shared" si="49"/>
        <v>11418181.818181818</v>
      </c>
      <c r="D156" s="403">
        <f t="shared" si="50"/>
        <v>4471354.6047239201</v>
      </c>
      <c r="E156" s="404">
        <f t="shared" si="51"/>
        <v>6683105.0005407548</v>
      </c>
      <c r="F156" s="403">
        <f t="shared" si="52"/>
        <v>11154459.605264675</v>
      </c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402">
        <v>8500</v>
      </c>
      <c r="C157" s="403">
        <f t="shared" si="49"/>
        <v>12131818.181818182</v>
      </c>
      <c r="D157" s="403">
        <f t="shared" si="50"/>
        <v>4750814.2675191648</v>
      </c>
      <c r="E157" s="404">
        <f t="shared" si="51"/>
        <v>6683105.0005407548</v>
      </c>
      <c r="F157" s="403">
        <f t="shared" si="52"/>
        <v>11433919.268059921</v>
      </c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402">
        <v>9000</v>
      </c>
      <c r="C158" s="403">
        <f t="shared" si="49"/>
        <v>12845454.545454545</v>
      </c>
      <c r="D158" s="403">
        <f t="shared" si="50"/>
        <v>5030273.9303144095</v>
      </c>
      <c r="E158" s="404">
        <f t="shared" si="51"/>
        <v>6683105.0005407548</v>
      </c>
      <c r="F158" s="403">
        <f t="shared" si="52"/>
        <v>11713378.930855164</v>
      </c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402">
        <v>9500</v>
      </c>
      <c r="C159" s="403">
        <f t="shared" si="49"/>
        <v>13559090.909090908</v>
      </c>
      <c r="D159" s="403">
        <f t="shared" si="50"/>
        <v>5309733.5931096543</v>
      </c>
      <c r="E159" s="404">
        <f t="shared" si="51"/>
        <v>6683105.0005407548</v>
      </c>
      <c r="F159" s="403">
        <f t="shared" si="52"/>
        <v>11992838.593650408</v>
      </c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402">
        <v>10000</v>
      </c>
      <c r="C160" s="403">
        <f t="shared" si="49"/>
        <v>14272727.272727273</v>
      </c>
      <c r="D160" s="403">
        <f t="shared" si="50"/>
        <v>5589193.2559048999</v>
      </c>
      <c r="E160" s="404">
        <f t="shared" si="51"/>
        <v>6683105.0005407548</v>
      </c>
      <c r="F160" s="403">
        <f t="shared" si="52"/>
        <v>12272298.256445654</v>
      </c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402">
        <v>10500</v>
      </c>
      <c r="C161" s="403">
        <f t="shared" si="49"/>
        <v>14986363.636363637</v>
      </c>
      <c r="D161" s="403">
        <f t="shared" si="50"/>
        <v>5868652.9187001446</v>
      </c>
      <c r="E161" s="404">
        <f t="shared" si="51"/>
        <v>6683105.0005407548</v>
      </c>
      <c r="F161" s="403">
        <f t="shared" si="52"/>
        <v>12551757.919240899</v>
      </c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402">
        <v>11000</v>
      </c>
      <c r="C162" s="403">
        <f t="shared" si="49"/>
        <v>15700000</v>
      </c>
      <c r="D162" s="403">
        <f t="shared" si="50"/>
        <v>6148112.5814953893</v>
      </c>
      <c r="E162" s="404">
        <f t="shared" si="51"/>
        <v>6683105.0005407548</v>
      </c>
      <c r="F162" s="403">
        <f t="shared" si="52"/>
        <v>12831217.582036145</v>
      </c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402">
        <v>11500</v>
      </c>
      <c r="C163" s="403">
        <f t="shared" si="49"/>
        <v>16413636.363636363</v>
      </c>
      <c r="D163" s="403">
        <f t="shared" si="50"/>
        <v>6427572.244290635</v>
      </c>
      <c r="E163" s="404">
        <f t="shared" si="51"/>
        <v>6683105.0005407548</v>
      </c>
      <c r="F163" s="403">
        <f t="shared" si="52"/>
        <v>13110677.244831391</v>
      </c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406">
        <f>B86</f>
        <v>11880</v>
      </c>
      <c r="C164" s="403">
        <f t="shared" si="49"/>
        <v>16956000</v>
      </c>
      <c r="D164" s="403">
        <f t="shared" si="50"/>
        <v>6639961.5880150208</v>
      </c>
      <c r="E164" s="404">
        <f t="shared" si="51"/>
        <v>6683105.0005407548</v>
      </c>
      <c r="F164" s="403">
        <f t="shared" si="52"/>
        <v>13323066.588555776</v>
      </c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365" t="s">
        <v>640</v>
      </c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156" t="s">
        <v>697</v>
      </c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401" t="s">
        <v>698</v>
      </c>
      <c r="C167" s="401"/>
      <c r="D167" s="401"/>
      <c r="E167" s="401"/>
      <c r="F167" s="40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401" t="s">
        <v>692</v>
      </c>
      <c r="C168" s="401" t="s">
        <v>693</v>
      </c>
      <c r="D168" s="401" t="s">
        <v>694</v>
      </c>
      <c r="E168" s="401" t="s">
        <v>695</v>
      </c>
      <c r="F168" s="401" t="s">
        <v>696</v>
      </c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402">
        <v>0</v>
      </c>
      <c r="C169" s="403">
        <f t="shared" ref="C169:C199" si="53">B169*$B$87</f>
        <v>0</v>
      </c>
      <c r="D169" s="403">
        <f t="shared" ref="D169:D199" si="54">B169*$F$102</f>
        <v>0</v>
      </c>
      <c r="E169" s="404">
        <f t="shared" ref="E169:E199" si="55">$E$128+$E$130+$E$132</f>
        <v>7248534.383605211</v>
      </c>
      <c r="F169" s="403">
        <f t="shared" ref="F169:F199" si="56">D169+E169</f>
        <v>7248534.383605211</v>
      </c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405">
        <v>500</v>
      </c>
      <c r="C170" s="403">
        <f t="shared" si="53"/>
        <v>713636.36363636365</v>
      </c>
      <c r="D170" s="403">
        <f t="shared" si="54"/>
        <v>268562.41924010834</v>
      </c>
      <c r="E170" s="404">
        <f t="shared" si="55"/>
        <v>7248534.383605211</v>
      </c>
      <c r="F170" s="403">
        <f t="shared" si="56"/>
        <v>7517096.8028453197</v>
      </c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405">
        <v>1000</v>
      </c>
      <c r="C171" s="403">
        <f t="shared" si="53"/>
        <v>1427272.7272727273</v>
      </c>
      <c r="D171" s="403">
        <f t="shared" si="54"/>
        <v>537124.83848021668</v>
      </c>
      <c r="E171" s="404">
        <f t="shared" si="55"/>
        <v>7248534.383605211</v>
      </c>
      <c r="F171" s="403">
        <f t="shared" si="56"/>
        <v>7785659.2220854275</v>
      </c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405">
        <v>1500</v>
      </c>
      <c r="C172" s="403">
        <f t="shared" si="53"/>
        <v>2140909.0909090908</v>
      </c>
      <c r="D172" s="403">
        <f t="shared" si="54"/>
        <v>805687.25772032503</v>
      </c>
      <c r="E172" s="404">
        <f t="shared" si="55"/>
        <v>7248534.383605211</v>
      </c>
      <c r="F172" s="403">
        <f t="shared" si="56"/>
        <v>8054221.6413255362</v>
      </c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405">
        <v>2000</v>
      </c>
      <c r="C173" s="403">
        <f t="shared" si="53"/>
        <v>2854545.4545454546</v>
      </c>
      <c r="D173" s="403">
        <f t="shared" si="54"/>
        <v>1074249.6769604334</v>
      </c>
      <c r="E173" s="404">
        <f t="shared" si="55"/>
        <v>7248534.383605211</v>
      </c>
      <c r="F173" s="403">
        <f t="shared" si="56"/>
        <v>8322784.0605656449</v>
      </c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405">
        <v>2500</v>
      </c>
      <c r="C174" s="403">
        <f t="shared" si="53"/>
        <v>3568181.8181818184</v>
      </c>
      <c r="D174" s="403">
        <f t="shared" si="54"/>
        <v>1342812.0962005416</v>
      </c>
      <c r="E174" s="404">
        <f t="shared" si="55"/>
        <v>7248534.383605211</v>
      </c>
      <c r="F174" s="403">
        <f t="shared" si="56"/>
        <v>8591346.4798057526</v>
      </c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405">
        <v>3000</v>
      </c>
      <c r="C175" s="403">
        <f t="shared" si="53"/>
        <v>4281818.1818181816</v>
      </c>
      <c r="D175" s="403">
        <f t="shared" si="54"/>
        <v>1611374.5154406501</v>
      </c>
      <c r="E175" s="404">
        <f t="shared" si="55"/>
        <v>7248534.383605211</v>
      </c>
      <c r="F175" s="403">
        <f t="shared" si="56"/>
        <v>8859908.8990458604</v>
      </c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405">
        <v>3500</v>
      </c>
      <c r="C176" s="403">
        <f t="shared" si="53"/>
        <v>4995454.5454545449</v>
      </c>
      <c r="D176" s="403">
        <f t="shared" si="54"/>
        <v>1879936.9346807583</v>
      </c>
      <c r="E176" s="404">
        <f t="shared" si="55"/>
        <v>7248534.383605211</v>
      </c>
      <c r="F176" s="403">
        <f t="shared" si="56"/>
        <v>9128471.31828597</v>
      </c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405">
        <v>4000</v>
      </c>
      <c r="C177" s="403">
        <f t="shared" si="53"/>
        <v>5709090.9090909092</v>
      </c>
      <c r="D177" s="403">
        <f t="shared" si="54"/>
        <v>2148499.3539208667</v>
      </c>
      <c r="E177" s="404">
        <f t="shared" si="55"/>
        <v>7248534.383605211</v>
      </c>
      <c r="F177" s="403">
        <f t="shared" si="56"/>
        <v>9397033.7375260778</v>
      </c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405">
        <v>4500</v>
      </c>
      <c r="C178" s="403">
        <f t="shared" si="53"/>
        <v>6422727.2727272725</v>
      </c>
      <c r="D178" s="403">
        <f t="shared" si="54"/>
        <v>2417061.773160975</v>
      </c>
      <c r="E178" s="404">
        <f t="shared" si="55"/>
        <v>7248534.383605211</v>
      </c>
      <c r="F178" s="403">
        <f t="shared" si="56"/>
        <v>9665596.1567661855</v>
      </c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402">
        <v>5000</v>
      </c>
      <c r="C179" s="403">
        <f t="shared" si="53"/>
        <v>7136363.6363636367</v>
      </c>
      <c r="D179" s="403">
        <f t="shared" si="54"/>
        <v>2685624.1924010832</v>
      </c>
      <c r="E179" s="404">
        <f t="shared" si="55"/>
        <v>7248534.383605211</v>
      </c>
      <c r="F179" s="403">
        <f t="shared" si="56"/>
        <v>9934158.5760062933</v>
      </c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405">
        <v>5500</v>
      </c>
      <c r="C180" s="403">
        <f t="shared" si="53"/>
        <v>7850000</v>
      </c>
      <c r="D180" s="403">
        <f t="shared" si="54"/>
        <v>2954186.6116411919</v>
      </c>
      <c r="E180" s="404">
        <f t="shared" si="55"/>
        <v>7248534.383605211</v>
      </c>
      <c r="F180" s="403">
        <f t="shared" si="56"/>
        <v>10202720.995246403</v>
      </c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402">
        <v>6000</v>
      </c>
      <c r="C181" s="403">
        <f t="shared" si="53"/>
        <v>8563636.3636363633</v>
      </c>
      <c r="D181" s="403">
        <f t="shared" si="54"/>
        <v>3222749.0308813001</v>
      </c>
      <c r="E181" s="404">
        <f t="shared" si="55"/>
        <v>7248534.383605211</v>
      </c>
      <c r="F181" s="403">
        <f t="shared" si="56"/>
        <v>10471283.414486511</v>
      </c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405">
        <v>6500</v>
      </c>
      <c r="C182" s="403">
        <f t="shared" si="53"/>
        <v>9277272.7272727266</v>
      </c>
      <c r="D182" s="403">
        <f t="shared" si="54"/>
        <v>3491311.4501214083</v>
      </c>
      <c r="E182" s="404">
        <f t="shared" si="55"/>
        <v>7248534.383605211</v>
      </c>
      <c r="F182" s="403">
        <f t="shared" si="56"/>
        <v>10739845.833726618</v>
      </c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402">
        <v>7000</v>
      </c>
      <c r="C183" s="403">
        <f t="shared" si="53"/>
        <v>9990909.0909090899</v>
      </c>
      <c r="D183" s="403">
        <f t="shared" si="54"/>
        <v>3759873.8693615166</v>
      </c>
      <c r="E183" s="404">
        <f t="shared" si="55"/>
        <v>7248534.383605211</v>
      </c>
      <c r="F183" s="403">
        <f t="shared" si="56"/>
        <v>11008408.252966728</v>
      </c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405">
        <v>7500</v>
      </c>
      <c r="C184" s="403">
        <f t="shared" si="53"/>
        <v>10704545.454545455</v>
      </c>
      <c r="D184" s="403">
        <f t="shared" si="54"/>
        <v>4028436.2886016252</v>
      </c>
      <c r="E184" s="404">
        <f t="shared" si="55"/>
        <v>7248534.383605211</v>
      </c>
      <c r="F184" s="403">
        <f t="shared" si="56"/>
        <v>11276970.672206836</v>
      </c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402">
        <v>8000</v>
      </c>
      <c r="C185" s="403">
        <f t="shared" si="53"/>
        <v>11418181.818181818</v>
      </c>
      <c r="D185" s="403">
        <f t="shared" si="54"/>
        <v>4296998.7078417335</v>
      </c>
      <c r="E185" s="404">
        <f t="shared" si="55"/>
        <v>7248534.383605211</v>
      </c>
      <c r="F185" s="403">
        <f t="shared" si="56"/>
        <v>11545533.091446944</v>
      </c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405">
        <v>8500</v>
      </c>
      <c r="C186" s="403">
        <f t="shared" si="53"/>
        <v>12131818.181818182</v>
      </c>
      <c r="D186" s="403">
        <f t="shared" si="54"/>
        <v>4565561.1270818422</v>
      </c>
      <c r="E186" s="404">
        <f t="shared" si="55"/>
        <v>7248534.383605211</v>
      </c>
      <c r="F186" s="403">
        <f t="shared" si="56"/>
        <v>11814095.510687053</v>
      </c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402">
        <v>9000</v>
      </c>
      <c r="C187" s="403">
        <f t="shared" si="53"/>
        <v>12845454.545454545</v>
      </c>
      <c r="D187" s="403">
        <f t="shared" si="54"/>
        <v>4834123.5463219499</v>
      </c>
      <c r="E187" s="404">
        <f t="shared" si="55"/>
        <v>7248534.383605211</v>
      </c>
      <c r="F187" s="403">
        <f t="shared" si="56"/>
        <v>12082657.929927161</v>
      </c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405">
        <v>9500</v>
      </c>
      <c r="C188" s="403">
        <f t="shared" si="53"/>
        <v>13559090.909090908</v>
      </c>
      <c r="D188" s="403">
        <f t="shared" si="54"/>
        <v>5102685.9655620586</v>
      </c>
      <c r="E188" s="404">
        <f t="shared" si="55"/>
        <v>7248534.383605211</v>
      </c>
      <c r="F188" s="403">
        <f t="shared" si="56"/>
        <v>12351220.349167269</v>
      </c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402">
        <v>10000</v>
      </c>
      <c r="C189" s="403">
        <f t="shared" si="53"/>
        <v>14272727.272727273</v>
      </c>
      <c r="D189" s="403">
        <f t="shared" si="54"/>
        <v>5371248.3848021664</v>
      </c>
      <c r="E189" s="404">
        <f t="shared" si="55"/>
        <v>7248534.383605211</v>
      </c>
      <c r="F189" s="403">
        <f t="shared" si="56"/>
        <v>12619782.768407378</v>
      </c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405">
        <v>10500</v>
      </c>
      <c r="C190" s="403">
        <f t="shared" si="53"/>
        <v>14986363.636363637</v>
      </c>
      <c r="D190" s="403">
        <f t="shared" si="54"/>
        <v>5639810.8040422751</v>
      </c>
      <c r="E190" s="404">
        <f t="shared" si="55"/>
        <v>7248534.383605211</v>
      </c>
      <c r="F190" s="403">
        <f t="shared" si="56"/>
        <v>12888345.187647486</v>
      </c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402">
        <v>11000</v>
      </c>
      <c r="C191" s="403">
        <f t="shared" si="53"/>
        <v>15700000</v>
      </c>
      <c r="D191" s="403">
        <f t="shared" si="54"/>
        <v>5908373.2232823838</v>
      </c>
      <c r="E191" s="404">
        <f t="shared" si="55"/>
        <v>7248534.383605211</v>
      </c>
      <c r="F191" s="403">
        <f t="shared" si="56"/>
        <v>13156907.606887594</v>
      </c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405">
        <v>11500</v>
      </c>
      <c r="C192" s="403">
        <f t="shared" si="53"/>
        <v>16413636.363636363</v>
      </c>
      <c r="D192" s="403">
        <f t="shared" si="54"/>
        <v>6176935.6425224915</v>
      </c>
      <c r="E192" s="404">
        <f t="shared" si="55"/>
        <v>7248534.383605211</v>
      </c>
      <c r="F192" s="403">
        <f t="shared" si="56"/>
        <v>13425470.026127703</v>
      </c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402">
        <v>12000</v>
      </c>
      <c r="C193" s="403">
        <f t="shared" si="53"/>
        <v>17127272.727272727</v>
      </c>
      <c r="D193" s="403">
        <f t="shared" si="54"/>
        <v>6445498.0617626002</v>
      </c>
      <c r="E193" s="404">
        <f t="shared" si="55"/>
        <v>7248534.383605211</v>
      </c>
      <c r="F193" s="403">
        <f t="shared" si="56"/>
        <v>13694032.445367811</v>
      </c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405">
        <v>12500</v>
      </c>
      <c r="C194" s="403">
        <f t="shared" si="53"/>
        <v>17840909.09090909</v>
      </c>
      <c r="D194" s="403">
        <f t="shared" si="54"/>
        <v>6714060.4810027089</v>
      </c>
      <c r="E194" s="404">
        <f t="shared" si="55"/>
        <v>7248534.383605211</v>
      </c>
      <c r="F194" s="403">
        <f t="shared" si="56"/>
        <v>13962594.864607919</v>
      </c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402">
        <v>13000</v>
      </c>
      <c r="C195" s="403">
        <f t="shared" si="53"/>
        <v>18554545.454545453</v>
      </c>
      <c r="D195" s="403">
        <f t="shared" si="54"/>
        <v>6982622.9002428167</v>
      </c>
      <c r="E195" s="404">
        <f t="shared" si="55"/>
        <v>7248534.383605211</v>
      </c>
      <c r="F195" s="403">
        <f t="shared" si="56"/>
        <v>14231157.283848029</v>
      </c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405">
        <v>13500</v>
      </c>
      <c r="C196" s="403">
        <f t="shared" si="53"/>
        <v>19268181.818181816</v>
      </c>
      <c r="D196" s="403">
        <f t="shared" si="54"/>
        <v>7251185.3194829253</v>
      </c>
      <c r="E196" s="404">
        <f t="shared" si="55"/>
        <v>7248534.383605211</v>
      </c>
      <c r="F196" s="403">
        <f t="shared" si="56"/>
        <v>14499719.703088136</v>
      </c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402">
        <v>14000</v>
      </c>
      <c r="C197" s="403">
        <f t="shared" si="53"/>
        <v>19981818.18181818</v>
      </c>
      <c r="D197" s="403">
        <f t="shared" si="54"/>
        <v>7519747.7387230331</v>
      </c>
      <c r="E197" s="404">
        <f t="shared" si="55"/>
        <v>7248534.383605211</v>
      </c>
      <c r="F197" s="403">
        <f t="shared" si="56"/>
        <v>14768282.122328244</v>
      </c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405">
        <v>14500</v>
      </c>
      <c r="C198" s="403">
        <f t="shared" si="53"/>
        <v>20695454.545454547</v>
      </c>
      <c r="D198" s="403">
        <f t="shared" si="54"/>
        <v>7788310.1579631418</v>
      </c>
      <c r="E198" s="404">
        <f t="shared" si="55"/>
        <v>7248534.383605211</v>
      </c>
      <c r="F198" s="403">
        <f t="shared" si="56"/>
        <v>15036844.541568354</v>
      </c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402">
        <f>'Conformación de Datos'!D6</f>
        <v>14850</v>
      </c>
      <c r="C199" s="403">
        <f t="shared" si="53"/>
        <v>21195000</v>
      </c>
      <c r="D199" s="403">
        <f t="shared" si="54"/>
        <v>7976303.851431218</v>
      </c>
      <c r="E199" s="404">
        <f t="shared" si="55"/>
        <v>7248534.383605211</v>
      </c>
      <c r="F199" s="403">
        <f t="shared" si="56"/>
        <v>15224838.235036429</v>
      </c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2.7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2.7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2.7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2.7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2.7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2.7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2.7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2.7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  <row r="239" spans="1:26" ht="12.75" customHeight="1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</row>
    <row r="240" spans="1:26" ht="12.75" customHeight="1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</row>
    <row r="241" spans="1:26" ht="12.75" customHeight="1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</row>
    <row r="242" spans="1:26" ht="12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</row>
    <row r="243" spans="1:26" ht="12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</row>
    <row r="244" spans="1:26" ht="12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</row>
    <row r="245" spans="1:26" ht="12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</row>
    <row r="246" spans="1:26" ht="12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  <c r="Z246" s="231"/>
    </row>
    <row r="247" spans="1:26" ht="12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  <c r="Z247" s="231"/>
    </row>
    <row r="248" spans="1:26" ht="12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  <c r="Z248" s="231"/>
    </row>
    <row r="249" spans="1:26" ht="12.75" customHeight="1">
      <c r="A249" s="231"/>
      <c r="B249" s="231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  <c r="X249" s="231"/>
      <c r="Y249" s="231"/>
      <c r="Z249" s="231"/>
    </row>
    <row r="250" spans="1:26" ht="12.75" customHeight="1">
      <c r="A250" s="231"/>
      <c r="B250" s="231"/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1"/>
      <c r="Z250" s="231"/>
    </row>
    <row r="251" spans="1:26" ht="12.75" customHeight="1">
      <c r="A251" s="231"/>
      <c r="B251" s="231"/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1"/>
      <c r="Z251" s="231"/>
    </row>
    <row r="252" spans="1:26" ht="12.75" customHeight="1">
      <c r="A252" s="231"/>
      <c r="B252" s="231"/>
      <c r="C252" s="231"/>
      <c r="D252" s="231"/>
      <c r="E252" s="231"/>
      <c r="F252" s="231"/>
      <c r="G252" s="231"/>
      <c r="H252" s="231"/>
      <c r="I252" s="231"/>
      <c r="J252" s="231"/>
      <c r="K252" s="231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1"/>
      <c r="Y252" s="231"/>
      <c r="Z252" s="231"/>
    </row>
    <row r="253" spans="1:26" ht="12.75" customHeight="1">
      <c r="A253" s="231"/>
      <c r="B253" s="231"/>
      <c r="C253" s="231"/>
      <c r="D253" s="231"/>
      <c r="E253" s="231"/>
      <c r="F253" s="231"/>
      <c r="G253" s="231"/>
      <c r="H253" s="231"/>
      <c r="I253" s="231"/>
      <c r="J253" s="231"/>
      <c r="K253" s="231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1"/>
      <c r="Y253" s="231"/>
      <c r="Z253" s="231"/>
    </row>
    <row r="254" spans="1:26" ht="12.75" customHeight="1">
      <c r="A254" s="231"/>
      <c r="B254" s="231"/>
      <c r="C254" s="231"/>
      <c r="D254" s="231"/>
      <c r="E254" s="231"/>
      <c r="F254" s="231"/>
      <c r="G254" s="231"/>
      <c r="H254" s="231"/>
      <c r="I254" s="231"/>
      <c r="J254" s="231"/>
      <c r="K254" s="231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1"/>
      <c r="Y254" s="231"/>
      <c r="Z254" s="231"/>
    </row>
    <row r="255" spans="1:26" ht="12.75" customHeight="1">
      <c r="A255" s="231"/>
      <c r="B255" s="231"/>
      <c r="C255" s="231"/>
      <c r="D255" s="231"/>
      <c r="E255" s="231"/>
      <c r="F255" s="231"/>
      <c r="G255" s="231"/>
      <c r="H255" s="231"/>
      <c r="I255" s="231"/>
      <c r="J255" s="231"/>
      <c r="K255" s="231"/>
      <c r="L255" s="231"/>
      <c r="M255" s="231"/>
      <c r="N255" s="231"/>
      <c r="O255" s="231"/>
      <c r="P255" s="231"/>
      <c r="Q255" s="231"/>
      <c r="R255" s="231"/>
      <c r="S255" s="231"/>
      <c r="T255" s="231"/>
      <c r="U255" s="231"/>
      <c r="V255" s="231"/>
      <c r="W255" s="231"/>
      <c r="X255" s="231"/>
      <c r="Y255" s="231"/>
      <c r="Z255" s="231"/>
    </row>
    <row r="256" spans="1:26" ht="12.75" customHeight="1">
      <c r="A256" s="231"/>
      <c r="B256" s="231"/>
      <c r="C256" s="231"/>
      <c r="D256" s="231"/>
      <c r="E256" s="231"/>
      <c r="F256" s="231"/>
      <c r="G256" s="231"/>
      <c r="H256" s="231"/>
      <c r="I256" s="231"/>
      <c r="J256" s="231"/>
      <c r="K256" s="231"/>
      <c r="L256" s="231"/>
      <c r="M256" s="231"/>
      <c r="N256" s="231"/>
      <c r="O256" s="231"/>
      <c r="P256" s="231"/>
      <c r="Q256" s="231"/>
      <c r="R256" s="231"/>
      <c r="S256" s="231"/>
      <c r="T256" s="231"/>
      <c r="U256" s="231"/>
      <c r="V256" s="231"/>
      <c r="W256" s="231"/>
      <c r="X256" s="231"/>
      <c r="Y256" s="231"/>
      <c r="Z256" s="231"/>
    </row>
    <row r="257" spans="1:26" ht="12.75" customHeight="1">
      <c r="A257" s="231"/>
      <c r="B257" s="231"/>
      <c r="C257" s="231"/>
      <c r="D257" s="231"/>
      <c r="E257" s="231"/>
      <c r="F257" s="231"/>
      <c r="G257" s="231"/>
      <c r="H257" s="231"/>
      <c r="I257" s="231"/>
      <c r="J257" s="231"/>
      <c r="K257" s="231"/>
      <c r="L257" s="231"/>
      <c r="M257" s="231"/>
      <c r="N257" s="231"/>
      <c r="O257" s="231"/>
      <c r="P257" s="231"/>
      <c r="Q257" s="231"/>
      <c r="R257" s="231"/>
      <c r="S257" s="231"/>
      <c r="T257" s="231"/>
      <c r="U257" s="231"/>
      <c r="V257" s="231"/>
      <c r="W257" s="231"/>
      <c r="X257" s="231"/>
      <c r="Y257" s="231"/>
      <c r="Z257" s="231"/>
    </row>
    <row r="258" spans="1:26" ht="12.75" customHeight="1">
      <c r="A258" s="231"/>
      <c r="B258" s="231"/>
      <c r="C258" s="231"/>
      <c r="D258" s="231"/>
      <c r="E258" s="231"/>
      <c r="F258" s="231"/>
      <c r="G258" s="231"/>
      <c r="H258" s="231"/>
      <c r="I258" s="231"/>
      <c r="J258" s="231"/>
      <c r="K258" s="231"/>
      <c r="L258" s="231"/>
      <c r="M258" s="231"/>
      <c r="N258" s="231"/>
      <c r="O258" s="231"/>
      <c r="P258" s="231"/>
      <c r="Q258" s="231"/>
      <c r="R258" s="231"/>
      <c r="S258" s="231"/>
      <c r="T258" s="231"/>
      <c r="U258" s="231"/>
      <c r="V258" s="231"/>
      <c r="W258" s="231"/>
      <c r="X258" s="231"/>
      <c r="Y258" s="231"/>
      <c r="Z258" s="231"/>
    </row>
    <row r="259" spans="1:26" ht="12.75" customHeight="1">
      <c r="A259" s="231"/>
      <c r="B259" s="231"/>
      <c r="C259" s="231"/>
      <c r="D259" s="231"/>
      <c r="E259" s="231"/>
      <c r="F259" s="231"/>
      <c r="G259" s="231"/>
      <c r="H259" s="231"/>
      <c r="I259" s="231"/>
      <c r="J259" s="231"/>
      <c r="K259" s="231"/>
      <c r="L259" s="231"/>
      <c r="M259" s="231"/>
      <c r="N259" s="231"/>
      <c r="O259" s="231"/>
      <c r="P259" s="231"/>
      <c r="Q259" s="231"/>
      <c r="R259" s="231"/>
      <c r="S259" s="231"/>
      <c r="T259" s="231"/>
      <c r="U259" s="231"/>
      <c r="V259" s="231"/>
      <c r="W259" s="231"/>
      <c r="X259" s="231"/>
      <c r="Y259" s="231"/>
      <c r="Z259" s="231"/>
    </row>
    <row r="260" spans="1:26" ht="12.75" customHeight="1">
      <c r="A260" s="231"/>
      <c r="B260" s="231"/>
      <c r="C260" s="231"/>
      <c r="D260" s="231"/>
      <c r="E260" s="231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1"/>
      <c r="S260" s="231"/>
      <c r="T260" s="231"/>
      <c r="U260" s="231"/>
      <c r="V260" s="231"/>
      <c r="W260" s="231"/>
      <c r="X260" s="231"/>
      <c r="Y260" s="231"/>
      <c r="Z260" s="231"/>
    </row>
    <row r="261" spans="1:26" ht="12.75" customHeight="1">
      <c r="A261" s="231"/>
      <c r="B261" s="231"/>
      <c r="C261" s="231"/>
      <c r="D261" s="231"/>
      <c r="E261" s="231"/>
      <c r="F261" s="231"/>
      <c r="G261" s="231"/>
      <c r="H261" s="231"/>
      <c r="I261" s="231"/>
      <c r="J261" s="231"/>
      <c r="K261" s="231"/>
      <c r="L261" s="231"/>
      <c r="M261" s="231"/>
      <c r="N261" s="231"/>
      <c r="O261" s="231"/>
      <c r="P261" s="231"/>
      <c r="Q261" s="231"/>
      <c r="R261" s="231"/>
      <c r="S261" s="231"/>
      <c r="T261" s="231"/>
      <c r="U261" s="231"/>
      <c r="V261" s="231"/>
      <c r="W261" s="231"/>
      <c r="X261" s="231"/>
      <c r="Y261" s="231"/>
      <c r="Z261" s="231"/>
    </row>
    <row r="262" spans="1:26" ht="12.75" customHeight="1">
      <c r="A262" s="231"/>
      <c r="B262" s="231"/>
      <c r="C262" s="231"/>
      <c r="D262" s="231"/>
      <c r="E262" s="231"/>
      <c r="F262" s="231"/>
      <c r="G262" s="231"/>
      <c r="H262" s="231"/>
      <c r="I262" s="231"/>
      <c r="J262" s="231"/>
      <c r="K262" s="231"/>
      <c r="L262" s="231"/>
      <c r="M262" s="231"/>
      <c r="N262" s="231"/>
      <c r="O262" s="231"/>
      <c r="P262" s="231"/>
      <c r="Q262" s="231"/>
      <c r="R262" s="231"/>
      <c r="S262" s="231"/>
      <c r="T262" s="231"/>
      <c r="U262" s="231"/>
      <c r="V262" s="231"/>
      <c r="W262" s="231"/>
      <c r="X262" s="231"/>
      <c r="Y262" s="231"/>
      <c r="Z262" s="231"/>
    </row>
    <row r="263" spans="1:26" ht="12.75" customHeight="1">
      <c r="A263" s="231"/>
      <c r="B263" s="231"/>
      <c r="C263" s="231"/>
      <c r="D263" s="231"/>
      <c r="E263" s="231"/>
      <c r="F263" s="231"/>
      <c r="G263" s="231"/>
      <c r="H263" s="231"/>
      <c r="I263" s="231"/>
      <c r="J263" s="231"/>
      <c r="K263" s="231"/>
      <c r="L263" s="231"/>
      <c r="M263" s="231"/>
      <c r="N263" s="231"/>
      <c r="O263" s="231"/>
      <c r="P263" s="231"/>
      <c r="Q263" s="231"/>
      <c r="R263" s="231"/>
      <c r="S263" s="231"/>
      <c r="T263" s="231"/>
      <c r="U263" s="231"/>
      <c r="V263" s="231"/>
      <c r="W263" s="231"/>
      <c r="X263" s="231"/>
      <c r="Y263" s="231"/>
      <c r="Z263" s="231"/>
    </row>
    <row r="264" spans="1:26" ht="12.75" customHeight="1">
      <c r="A264" s="231"/>
      <c r="B264" s="231"/>
      <c r="C264" s="231"/>
      <c r="D264" s="231"/>
      <c r="E264" s="231"/>
      <c r="F264" s="231"/>
      <c r="G264" s="231"/>
      <c r="H264" s="231"/>
      <c r="I264" s="231"/>
      <c r="J264" s="231"/>
      <c r="K264" s="231"/>
      <c r="L264" s="231"/>
      <c r="M264" s="231"/>
      <c r="N264" s="231"/>
      <c r="O264" s="231"/>
      <c r="P264" s="231"/>
      <c r="Q264" s="231"/>
      <c r="R264" s="231"/>
      <c r="S264" s="231"/>
      <c r="T264" s="231"/>
      <c r="U264" s="231"/>
      <c r="V264" s="231"/>
      <c r="W264" s="231"/>
      <c r="X264" s="231"/>
      <c r="Y264" s="231"/>
      <c r="Z264" s="231"/>
    </row>
    <row r="265" spans="1:26" ht="12.75" customHeight="1">
      <c r="A265" s="231"/>
      <c r="B265" s="231"/>
      <c r="C265" s="231"/>
      <c r="D265" s="231"/>
      <c r="E265" s="231"/>
      <c r="F265" s="231"/>
      <c r="G265" s="231"/>
      <c r="H265" s="231"/>
      <c r="I265" s="231"/>
      <c r="J265" s="231"/>
      <c r="K265" s="231"/>
      <c r="L265" s="231"/>
      <c r="M265" s="231"/>
      <c r="N265" s="231"/>
      <c r="O265" s="231"/>
      <c r="P265" s="231"/>
      <c r="Q265" s="231"/>
      <c r="R265" s="231"/>
      <c r="S265" s="231"/>
      <c r="T265" s="231"/>
      <c r="U265" s="231"/>
      <c r="V265" s="231"/>
      <c r="W265" s="231"/>
      <c r="X265" s="231"/>
      <c r="Y265" s="231"/>
      <c r="Z265" s="231"/>
    </row>
    <row r="266" spans="1:26" ht="12.75" customHeight="1">
      <c r="A266" s="231"/>
      <c r="B266" s="231"/>
      <c r="C266" s="231"/>
      <c r="D266" s="231"/>
      <c r="E266" s="231"/>
      <c r="F266" s="231"/>
      <c r="G266" s="231"/>
      <c r="H266" s="231"/>
      <c r="I266" s="231"/>
      <c r="J266" s="231"/>
      <c r="K266" s="231"/>
      <c r="L266" s="231"/>
      <c r="M266" s="231"/>
      <c r="N266" s="231"/>
      <c r="O266" s="231"/>
      <c r="P266" s="231"/>
      <c r="Q266" s="231"/>
      <c r="R266" s="231"/>
      <c r="S266" s="231"/>
      <c r="T266" s="231"/>
      <c r="U266" s="231"/>
      <c r="V266" s="231"/>
      <c r="W266" s="231"/>
      <c r="X266" s="231"/>
      <c r="Y266" s="231"/>
      <c r="Z266" s="231"/>
    </row>
    <row r="267" spans="1:26" ht="12.75" customHeight="1">
      <c r="A267" s="231"/>
      <c r="B267" s="231"/>
      <c r="C267" s="231"/>
      <c r="D267" s="231"/>
      <c r="E267" s="231"/>
      <c r="F267" s="231"/>
      <c r="G267" s="231"/>
      <c r="H267" s="231"/>
      <c r="I267" s="231"/>
      <c r="J267" s="231"/>
      <c r="K267" s="231"/>
      <c r="L267" s="231"/>
      <c r="M267" s="231"/>
      <c r="N267" s="231"/>
      <c r="O267" s="231"/>
      <c r="P267" s="231"/>
      <c r="Q267" s="231"/>
      <c r="R267" s="231"/>
      <c r="S267" s="231"/>
      <c r="T267" s="231"/>
      <c r="U267" s="231"/>
      <c r="V267" s="231"/>
      <c r="W267" s="231"/>
      <c r="X267" s="231"/>
      <c r="Y267" s="231"/>
      <c r="Z267" s="231"/>
    </row>
    <row r="268" spans="1:26" ht="12.75" customHeight="1">
      <c r="A268" s="231"/>
      <c r="B268" s="231"/>
      <c r="C268" s="231"/>
      <c r="D268" s="231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231"/>
      <c r="S268" s="231"/>
      <c r="T268" s="231"/>
      <c r="U268" s="231"/>
      <c r="V268" s="231"/>
      <c r="W268" s="231"/>
      <c r="X268" s="231"/>
      <c r="Y268" s="231"/>
      <c r="Z268" s="231"/>
    </row>
    <row r="269" spans="1:26" ht="12.75" customHeight="1">
      <c r="A269" s="231"/>
      <c r="B269" s="231"/>
      <c r="C269" s="231"/>
      <c r="D269" s="231"/>
      <c r="E269" s="231"/>
      <c r="F269" s="231"/>
      <c r="G269" s="231"/>
      <c r="H269" s="231"/>
      <c r="I269" s="231"/>
      <c r="J269" s="231"/>
      <c r="K269" s="231"/>
      <c r="L269" s="231"/>
      <c r="M269" s="231"/>
      <c r="N269" s="231"/>
      <c r="O269" s="231"/>
      <c r="P269" s="231"/>
      <c r="Q269" s="231"/>
      <c r="R269" s="231"/>
      <c r="S269" s="231"/>
      <c r="T269" s="231"/>
      <c r="U269" s="231"/>
      <c r="V269" s="231"/>
      <c r="W269" s="231"/>
      <c r="X269" s="231"/>
      <c r="Y269" s="231"/>
      <c r="Z269" s="231"/>
    </row>
    <row r="270" spans="1:26" ht="12.75" customHeight="1">
      <c r="A270" s="231"/>
      <c r="B270" s="231"/>
      <c r="C270" s="231"/>
      <c r="D270" s="231"/>
      <c r="E270" s="231"/>
      <c r="F270" s="231"/>
      <c r="G270" s="231"/>
      <c r="H270" s="231"/>
      <c r="I270" s="231"/>
      <c r="J270" s="231"/>
      <c r="K270" s="231"/>
      <c r="L270" s="231"/>
      <c r="M270" s="231"/>
      <c r="N270" s="231"/>
      <c r="O270" s="231"/>
      <c r="P270" s="231"/>
      <c r="Q270" s="231"/>
      <c r="R270" s="231"/>
      <c r="S270" s="231"/>
      <c r="T270" s="231"/>
      <c r="U270" s="231"/>
      <c r="V270" s="231"/>
      <c r="W270" s="231"/>
      <c r="X270" s="231"/>
      <c r="Y270" s="231"/>
      <c r="Z270" s="231"/>
    </row>
    <row r="271" spans="1:26" ht="12.75" customHeight="1">
      <c r="A271" s="231"/>
      <c r="B271" s="231"/>
      <c r="C271" s="231"/>
      <c r="D271" s="231"/>
      <c r="E271" s="231"/>
      <c r="F271" s="231"/>
      <c r="G271" s="231"/>
      <c r="H271" s="231"/>
      <c r="I271" s="231"/>
      <c r="J271" s="231"/>
      <c r="K271" s="231"/>
      <c r="L271" s="231"/>
      <c r="M271" s="231"/>
      <c r="N271" s="231"/>
      <c r="O271" s="231"/>
      <c r="P271" s="231"/>
      <c r="Q271" s="231"/>
      <c r="R271" s="231"/>
      <c r="S271" s="231"/>
      <c r="T271" s="231"/>
      <c r="U271" s="231"/>
      <c r="V271" s="231"/>
      <c r="W271" s="231"/>
      <c r="X271" s="231"/>
      <c r="Y271" s="231"/>
      <c r="Z271" s="231"/>
    </row>
    <row r="272" spans="1:26" ht="12.75" customHeight="1">
      <c r="A272" s="231"/>
      <c r="B272" s="231"/>
      <c r="C272" s="231"/>
      <c r="D272" s="231"/>
      <c r="E272" s="231"/>
      <c r="F272" s="231"/>
      <c r="G272" s="231"/>
      <c r="H272" s="231"/>
      <c r="I272" s="231"/>
      <c r="J272" s="231"/>
      <c r="K272" s="231"/>
      <c r="L272" s="231"/>
      <c r="M272" s="231"/>
      <c r="N272" s="231"/>
      <c r="O272" s="231"/>
      <c r="P272" s="231"/>
      <c r="Q272" s="231"/>
      <c r="R272" s="231"/>
      <c r="S272" s="231"/>
      <c r="T272" s="231"/>
      <c r="U272" s="231"/>
      <c r="V272" s="231"/>
      <c r="W272" s="231"/>
      <c r="X272" s="231"/>
      <c r="Y272" s="231"/>
      <c r="Z272" s="231"/>
    </row>
    <row r="273" spans="1:26" ht="12.75" customHeight="1">
      <c r="A273" s="231"/>
      <c r="B273" s="231"/>
      <c r="C273" s="231"/>
      <c r="D273" s="231"/>
      <c r="E273" s="231"/>
      <c r="F273" s="231"/>
      <c r="G273" s="231"/>
      <c r="H273" s="231"/>
      <c r="I273" s="231"/>
      <c r="J273" s="231"/>
      <c r="K273" s="231"/>
      <c r="L273" s="231"/>
      <c r="M273" s="231"/>
      <c r="N273" s="231"/>
      <c r="O273" s="231"/>
      <c r="P273" s="231"/>
      <c r="Q273" s="231"/>
      <c r="R273" s="231"/>
      <c r="S273" s="231"/>
      <c r="T273" s="231"/>
      <c r="U273" s="231"/>
      <c r="V273" s="231"/>
      <c r="W273" s="231"/>
      <c r="X273" s="231"/>
      <c r="Y273" s="231"/>
      <c r="Z273" s="231"/>
    </row>
    <row r="274" spans="1:26" ht="12.75" customHeight="1">
      <c r="A274" s="231"/>
      <c r="B274" s="231"/>
      <c r="C274" s="231"/>
      <c r="D274" s="231"/>
      <c r="E274" s="231"/>
      <c r="F274" s="231"/>
      <c r="G274" s="231"/>
      <c r="H274" s="231"/>
      <c r="I274" s="231"/>
      <c r="J274" s="231"/>
      <c r="K274" s="231"/>
      <c r="L274" s="231"/>
      <c r="M274" s="231"/>
      <c r="N274" s="231"/>
      <c r="O274" s="231"/>
      <c r="P274" s="231"/>
      <c r="Q274" s="231"/>
      <c r="R274" s="231"/>
      <c r="S274" s="231"/>
      <c r="T274" s="231"/>
      <c r="U274" s="231"/>
      <c r="V274" s="231"/>
      <c r="W274" s="231"/>
      <c r="X274" s="231"/>
      <c r="Y274" s="231"/>
      <c r="Z274" s="231"/>
    </row>
    <row r="275" spans="1:26" ht="12.75" customHeight="1">
      <c r="A275" s="231"/>
      <c r="B275" s="231"/>
      <c r="C275" s="231"/>
      <c r="D275" s="231"/>
      <c r="E275" s="231"/>
      <c r="F275" s="231"/>
      <c r="G275" s="231"/>
      <c r="H275" s="231"/>
      <c r="I275" s="231"/>
      <c r="J275" s="231"/>
      <c r="K275" s="231"/>
      <c r="L275" s="231"/>
      <c r="M275" s="231"/>
      <c r="N275" s="231"/>
      <c r="O275" s="231"/>
      <c r="P275" s="231"/>
      <c r="Q275" s="231"/>
      <c r="R275" s="231"/>
      <c r="S275" s="231"/>
      <c r="T275" s="231"/>
      <c r="U275" s="231"/>
      <c r="V275" s="231"/>
      <c r="W275" s="231"/>
      <c r="X275" s="231"/>
      <c r="Y275" s="231"/>
      <c r="Z275" s="231"/>
    </row>
    <row r="276" spans="1:26" ht="12.75" customHeight="1">
      <c r="A276" s="231"/>
      <c r="B276" s="231"/>
      <c r="C276" s="231"/>
      <c r="D276" s="231"/>
      <c r="E276" s="231"/>
      <c r="F276" s="231"/>
      <c r="G276" s="231"/>
      <c r="H276" s="231"/>
      <c r="I276" s="231"/>
      <c r="J276" s="231"/>
      <c r="K276" s="231"/>
      <c r="L276" s="231"/>
      <c r="M276" s="231"/>
      <c r="N276" s="231"/>
      <c r="O276" s="231"/>
      <c r="P276" s="231"/>
      <c r="Q276" s="231"/>
      <c r="R276" s="231"/>
      <c r="S276" s="231"/>
      <c r="T276" s="231"/>
      <c r="U276" s="231"/>
      <c r="V276" s="231"/>
      <c r="W276" s="231"/>
      <c r="X276" s="231"/>
      <c r="Y276" s="231"/>
      <c r="Z276" s="231"/>
    </row>
    <row r="277" spans="1:26" ht="12.75" customHeight="1">
      <c r="A277" s="231"/>
      <c r="B277" s="231"/>
      <c r="C277" s="231"/>
      <c r="D277" s="231"/>
      <c r="E277" s="231"/>
      <c r="F277" s="231"/>
      <c r="G277" s="231"/>
      <c r="H277" s="231"/>
      <c r="I277" s="231"/>
      <c r="J277" s="231"/>
      <c r="K277" s="231"/>
      <c r="L277" s="231"/>
      <c r="M277" s="231"/>
      <c r="N277" s="231"/>
      <c r="O277" s="231"/>
      <c r="P277" s="231"/>
      <c r="Q277" s="231"/>
      <c r="R277" s="231"/>
      <c r="S277" s="231"/>
      <c r="T277" s="231"/>
      <c r="U277" s="231"/>
      <c r="V277" s="231"/>
      <c r="W277" s="231"/>
      <c r="X277" s="231"/>
      <c r="Y277" s="231"/>
      <c r="Z277" s="231"/>
    </row>
    <row r="278" spans="1:26" ht="12.75" customHeight="1">
      <c r="A278" s="231"/>
      <c r="B278" s="231"/>
      <c r="C278" s="231"/>
      <c r="D278" s="231"/>
      <c r="E278" s="231"/>
      <c r="F278" s="231"/>
      <c r="G278" s="231"/>
      <c r="H278" s="231"/>
      <c r="I278" s="231"/>
      <c r="J278" s="231"/>
      <c r="K278" s="231"/>
      <c r="L278" s="231"/>
      <c r="M278" s="231"/>
      <c r="N278" s="231"/>
      <c r="O278" s="231"/>
      <c r="P278" s="231"/>
      <c r="Q278" s="231"/>
      <c r="R278" s="231"/>
      <c r="S278" s="231"/>
      <c r="T278" s="231"/>
      <c r="U278" s="231"/>
      <c r="V278" s="231"/>
      <c r="W278" s="231"/>
      <c r="X278" s="231"/>
      <c r="Y278" s="231"/>
      <c r="Z278" s="231"/>
    </row>
    <row r="279" spans="1:26" ht="12.75" customHeight="1">
      <c r="A279" s="231"/>
      <c r="B279" s="231"/>
      <c r="C279" s="231"/>
      <c r="D279" s="231"/>
      <c r="E279" s="231"/>
      <c r="F279" s="231"/>
      <c r="G279" s="231"/>
      <c r="H279" s="231"/>
      <c r="I279" s="231"/>
      <c r="J279" s="231"/>
      <c r="K279" s="231"/>
      <c r="L279" s="231"/>
      <c r="M279" s="231"/>
      <c r="N279" s="231"/>
      <c r="O279" s="231"/>
      <c r="P279" s="231"/>
      <c r="Q279" s="231"/>
      <c r="R279" s="231"/>
      <c r="S279" s="231"/>
      <c r="T279" s="231"/>
      <c r="U279" s="231"/>
      <c r="V279" s="231"/>
      <c r="W279" s="231"/>
      <c r="X279" s="231"/>
      <c r="Y279" s="231"/>
      <c r="Z279" s="231"/>
    </row>
    <row r="280" spans="1:26" ht="12.75" customHeight="1">
      <c r="A280" s="231"/>
      <c r="B280" s="231"/>
      <c r="C280" s="231"/>
      <c r="D280" s="231"/>
      <c r="E280" s="231"/>
      <c r="F280" s="231"/>
      <c r="G280" s="231"/>
      <c r="H280" s="231"/>
      <c r="I280" s="231"/>
      <c r="J280" s="231"/>
      <c r="K280" s="231"/>
      <c r="L280" s="231"/>
      <c r="M280" s="231"/>
      <c r="N280" s="231"/>
      <c r="O280" s="231"/>
      <c r="P280" s="231"/>
      <c r="Q280" s="231"/>
      <c r="R280" s="231"/>
      <c r="S280" s="231"/>
      <c r="T280" s="231"/>
      <c r="U280" s="231"/>
      <c r="V280" s="231"/>
      <c r="W280" s="231"/>
      <c r="X280" s="231"/>
      <c r="Y280" s="231"/>
      <c r="Z280" s="231"/>
    </row>
    <row r="281" spans="1:26" ht="12.75" customHeight="1">
      <c r="A281" s="231"/>
      <c r="B281" s="231"/>
      <c r="C281" s="231"/>
      <c r="D281" s="231"/>
      <c r="E281" s="231"/>
      <c r="F281" s="231"/>
      <c r="G281" s="231"/>
      <c r="H281" s="231"/>
      <c r="I281" s="231"/>
      <c r="J281" s="231"/>
      <c r="K281" s="231"/>
      <c r="L281" s="231"/>
      <c r="M281" s="231"/>
      <c r="N281" s="231"/>
      <c r="O281" s="231"/>
      <c r="P281" s="231"/>
      <c r="Q281" s="231"/>
      <c r="R281" s="231"/>
      <c r="S281" s="231"/>
      <c r="T281" s="231"/>
      <c r="U281" s="231"/>
      <c r="V281" s="231"/>
      <c r="W281" s="231"/>
      <c r="X281" s="231"/>
      <c r="Y281" s="231"/>
      <c r="Z281" s="231"/>
    </row>
    <row r="282" spans="1:26" ht="12.75" customHeight="1">
      <c r="A282" s="231"/>
      <c r="B282" s="231"/>
      <c r="C282" s="231"/>
      <c r="D282" s="231"/>
      <c r="E282" s="231"/>
      <c r="F282" s="231"/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31"/>
      <c r="W282" s="231"/>
      <c r="X282" s="231"/>
      <c r="Y282" s="231"/>
      <c r="Z282" s="231"/>
    </row>
    <row r="283" spans="1:26" ht="12.75" customHeight="1">
      <c r="A283" s="231"/>
      <c r="B283" s="231"/>
      <c r="C283" s="231"/>
      <c r="D283" s="231"/>
      <c r="E283" s="231"/>
      <c r="F283" s="231"/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  <c r="X283" s="231"/>
      <c r="Y283" s="231"/>
      <c r="Z283" s="231"/>
    </row>
    <row r="284" spans="1:26" ht="12.75" customHeight="1">
      <c r="A284" s="231"/>
      <c r="B284" s="231"/>
      <c r="C284" s="231"/>
      <c r="D284" s="231"/>
      <c r="E284" s="231"/>
      <c r="F284" s="231"/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  <c r="X284" s="231"/>
      <c r="Y284" s="231"/>
      <c r="Z284" s="231"/>
    </row>
    <row r="285" spans="1:26" ht="12.75" customHeight="1">
      <c r="A285" s="231"/>
      <c r="B285" s="231"/>
      <c r="C285" s="231"/>
      <c r="D285" s="231"/>
      <c r="E285" s="231"/>
      <c r="F285" s="231"/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  <c r="X285" s="231"/>
      <c r="Y285" s="231"/>
      <c r="Z285" s="231"/>
    </row>
    <row r="286" spans="1:26" ht="12.75" customHeight="1">
      <c r="A286" s="231"/>
      <c r="B286" s="231"/>
      <c r="C286" s="231"/>
      <c r="D286" s="231"/>
      <c r="E286" s="231"/>
      <c r="F286" s="231"/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31"/>
      <c r="W286" s="231"/>
      <c r="X286" s="231"/>
      <c r="Y286" s="231"/>
      <c r="Z286" s="231"/>
    </row>
    <row r="287" spans="1:26" ht="12.75" customHeight="1">
      <c r="A287" s="231"/>
      <c r="B287" s="231"/>
      <c r="C287" s="231"/>
      <c r="D287" s="231"/>
      <c r="E287" s="231"/>
      <c r="F287" s="231"/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  <c r="X287" s="231"/>
      <c r="Y287" s="231"/>
      <c r="Z287" s="231"/>
    </row>
    <row r="288" spans="1:26" ht="12.75" customHeight="1">
      <c r="A288" s="231"/>
      <c r="B288" s="231"/>
      <c r="C288" s="231"/>
      <c r="D288" s="231"/>
      <c r="E288" s="231"/>
      <c r="F288" s="231"/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  <c r="X288" s="231"/>
      <c r="Y288" s="231"/>
      <c r="Z288" s="231"/>
    </row>
    <row r="289" spans="1:26" ht="12.75" customHeight="1">
      <c r="A289" s="231"/>
      <c r="B289" s="231"/>
      <c r="C289" s="231"/>
      <c r="D289" s="231"/>
      <c r="E289" s="231"/>
      <c r="F289" s="231"/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31"/>
      <c r="W289" s="231"/>
      <c r="X289" s="231"/>
      <c r="Y289" s="231"/>
      <c r="Z289" s="231"/>
    </row>
    <row r="290" spans="1:26" ht="12.75" customHeight="1">
      <c r="A290" s="231"/>
      <c r="B290" s="231"/>
      <c r="C290" s="231"/>
      <c r="D290" s="231"/>
      <c r="E290" s="231"/>
      <c r="F290" s="231"/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31"/>
      <c r="W290" s="231"/>
      <c r="X290" s="231"/>
      <c r="Y290" s="231"/>
      <c r="Z290" s="231"/>
    </row>
    <row r="291" spans="1:26" ht="12.75" customHeight="1">
      <c r="A291" s="231"/>
      <c r="B291" s="231"/>
      <c r="C291" s="231"/>
      <c r="D291" s="231"/>
      <c r="E291" s="231"/>
      <c r="F291" s="231"/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31"/>
      <c r="W291" s="231"/>
      <c r="X291" s="231"/>
      <c r="Y291" s="231"/>
      <c r="Z291" s="231"/>
    </row>
    <row r="292" spans="1:26" ht="12.75" customHeight="1">
      <c r="A292" s="231"/>
      <c r="B292" s="231"/>
      <c r="C292" s="231"/>
      <c r="D292" s="231"/>
      <c r="E292" s="231"/>
      <c r="F292" s="231"/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31"/>
      <c r="W292" s="231"/>
      <c r="X292" s="231"/>
      <c r="Y292" s="231"/>
      <c r="Z292" s="231"/>
    </row>
    <row r="293" spans="1:26" ht="12.75" customHeight="1">
      <c r="A293" s="231"/>
      <c r="B293" s="231"/>
      <c r="C293" s="231"/>
      <c r="D293" s="231"/>
      <c r="E293" s="231"/>
      <c r="F293" s="231"/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31"/>
      <c r="W293" s="231"/>
      <c r="X293" s="231"/>
      <c r="Y293" s="231"/>
      <c r="Z293" s="231"/>
    </row>
    <row r="294" spans="1:26" ht="12.75" customHeight="1">
      <c r="A294" s="231"/>
      <c r="B294" s="231"/>
      <c r="C294" s="231"/>
      <c r="D294" s="231"/>
      <c r="E294" s="231"/>
      <c r="F294" s="231"/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31"/>
      <c r="W294" s="231"/>
      <c r="X294" s="231"/>
      <c r="Y294" s="231"/>
      <c r="Z294" s="231"/>
    </row>
    <row r="295" spans="1:26" ht="12.75" customHeight="1">
      <c r="A295" s="231"/>
      <c r="B295" s="231"/>
      <c r="C295" s="231"/>
      <c r="D295" s="231"/>
      <c r="E295" s="231"/>
      <c r="F295" s="231"/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31"/>
      <c r="W295" s="231"/>
      <c r="X295" s="231"/>
      <c r="Y295" s="231"/>
      <c r="Z295" s="231"/>
    </row>
    <row r="296" spans="1:26" ht="12.75" customHeight="1">
      <c r="A296" s="231"/>
      <c r="B296" s="231"/>
      <c r="C296" s="231"/>
      <c r="D296" s="231"/>
      <c r="E296" s="231"/>
      <c r="F296" s="231"/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  <c r="X296" s="231"/>
      <c r="Y296" s="231"/>
      <c r="Z296" s="231"/>
    </row>
    <row r="297" spans="1:26" ht="12.75" customHeight="1">
      <c r="A297" s="231"/>
      <c r="B297" s="231"/>
      <c r="C297" s="231"/>
      <c r="D297" s="231"/>
      <c r="E297" s="231"/>
      <c r="F297" s="231"/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31"/>
      <c r="W297" s="231"/>
      <c r="X297" s="231"/>
      <c r="Y297" s="231"/>
      <c r="Z297" s="231"/>
    </row>
    <row r="298" spans="1:26" ht="12.75" customHeight="1">
      <c r="A298" s="231"/>
      <c r="B298" s="231"/>
      <c r="C298" s="231"/>
      <c r="D298" s="231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31"/>
      <c r="W298" s="231"/>
      <c r="X298" s="231"/>
      <c r="Y298" s="231"/>
      <c r="Z298" s="231"/>
    </row>
    <row r="299" spans="1:26" ht="12.75" customHeight="1">
      <c r="A299" s="231"/>
      <c r="B299" s="231"/>
      <c r="C299" s="231"/>
      <c r="D299" s="231"/>
      <c r="E299" s="231"/>
      <c r="F299" s="231"/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31"/>
      <c r="W299" s="231"/>
      <c r="X299" s="231"/>
      <c r="Y299" s="231"/>
      <c r="Z299" s="231"/>
    </row>
    <row r="300" spans="1:26" ht="12.75" customHeight="1">
      <c r="A300" s="231"/>
      <c r="B300" s="231"/>
      <c r="C300" s="231"/>
      <c r="D300" s="231"/>
      <c r="E300" s="231"/>
      <c r="F300" s="231"/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31"/>
      <c r="W300" s="231"/>
      <c r="X300" s="231"/>
      <c r="Y300" s="231"/>
      <c r="Z300" s="231"/>
    </row>
    <row r="301" spans="1:26" ht="12.75" customHeight="1">
      <c r="A301" s="231"/>
      <c r="B301" s="231"/>
      <c r="C301" s="231"/>
      <c r="D301" s="231"/>
      <c r="E301" s="231"/>
      <c r="F301" s="231"/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31"/>
      <c r="W301" s="231"/>
      <c r="X301" s="231"/>
      <c r="Y301" s="231"/>
      <c r="Z301" s="231"/>
    </row>
    <row r="302" spans="1:26" ht="12.75" customHeight="1">
      <c r="A302" s="231"/>
      <c r="B302" s="231"/>
      <c r="C302" s="231"/>
      <c r="D302" s="231"/>
      <c r="E302" s="231"/>
      <c r="F302" s="231"/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31"/>
      <c r="W302" s="231"/>
      <c r="X302" s="231"/>
      <c r="Y302" s="231"/>
      <c r="Z302" s="231"/>
    </row>
    <row r="303" spans="1:26" ht="12.75" customHeight="1">
      <c r="A303" s="231"/>
      <c r="B303" s="231"/>
      <c r="C303" s="231"/>
      <c r="D303" s="231"/>
      <c r="E303" s="231"/>
      <c r="F303" s="231"/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31"/>
      <c r="W303" s="231"/>
      <c r="X303" s="231"/>
      <c r="Y303" s="231"/>
      <c r="Z303" s="231"/>
    </row>
    <row r="304" spans="1:26" ht="12.75" customHeight="1">
      <c r="A304" s="231"/>
      <c r="B304" s="231"/>
      <c r="C304" s="231"/>
      <c r="D304" s="231"/>
      <c r="E304" s="231"/>
      <c r="F304" s="231"/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31"/>
      <c r="W304" s="231"/>
      <c r="X304" s="231"/>
      <c r="Y304" s="231"/>
      <c r="Z304" s="231"/>
    </row>
    <row r="305" spans="1:26" ht="12.75" customHeight="1">
      <c r="A305" s="231"/>
      <c r="B305" s="231"/>
      <c r="C305" s="231"/>
      <c r="D305" s="231"/>
      <c r="E305" s="231"/>
      <c r="F305" s="231"/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1"/>
      <c r="X305" s="231"/>
      <c r="Y305" s="231"/>
      <c r="Z305" s="231"/>
    </row>
    <row r="306" spans="1:26" ht="12.75" customHeight="1">
      <c r="A306" s="231"/>
      <c r="B306" s="231"/>
      <c r="C306" s="231"/>
      <c r="D306" s="231"/>
      <c r="E306" s="231"/>
      <c r="F306" s="231"/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1"/>
      <c r="X306" s="231"/>
      <c r="Y306" s="231"/>
      <c r="Z306" s="231"/>
    </row>
    <row r="307" spans="1:26" ht="12.75" customHeight="1">
      <c r="A307" s="231"/>
      <c r="B307" s="231"/>
      <c r="C307" s="231"/>
      <c r="D307" s="231"/>
      <c r="E307" s="231"/>
      <c r="F307" s="231"/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1"/>
      <c r="X307" s="231"/>
      <c r="Y307" s="231"/>
      <c r="Z307" s="231"/>
    </row>
    <row r="308" spans="1:26" ht="12.75" customHeight="1">
      <c r="A308" s="231"/>
      <c r="B308" s="231"/>
      <c r="C308" s="231"/>
      <c r="D308" s="231"/>
      <c r="E308" s="231"/>
      <c r="F308" s="231"/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1"/>
      <c r="X308" s="231"/>
      <c r="Y308" s="231"/>
      <c r="Z308" s="231"/>
    </row>
    <row r="309" spans="1:26" ht="12.75" customHeight="1">
      <c r="A309" s="231"/>
      <c r="B309" s="231"/>
      <c r="C309" s="231"/>
      <c r="D309" s="231"/>
      <c r="E309" s="231"/>
      <c r="F309" s="231"/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1"/>
      <c r="X309" s="231"/>
      <c r="Y309" s="231"/>
      <c r="Z309" s="231"/>
    </row>
    <row r="310" spans="1:26" ht="12.75" customHeight="1">
      <c r="A310" s="231"/>
      <c r="B310" s="231"/>
      <c r="C310" s="231"/>
      <c r="D310" s="231"/>
      <c r="E310" s="231"/>
      <c r="F310" s="231"/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31"/>
      <c r="W310" s="231"/>
      <c r="X310" s="231"/>
      <c r="Y310" s="231"/>
      <c r="Z310" s="231"/>
    </row>
    <row r="311" spans="1:26" ht="12.75" customHeight="1">
      <c r="A311" s="231"/>
      <c r="B311" s="231"/>
      <c r="C311" s="231"/>
      <c r="D311" s="231"/>
      <c r="E311" s="231"/>
      <c r="F311" s="231"/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  <c r="S311" s="231"/>
      <c r="T311" s="231"/>
      <c r="U311" s="231"/>
      <c r="V311" s="231"/>
      <c r="W311" s="231"/>
      <c r="X311" s="231"/>
      <c r="Y311" s="231"/>
      <c r="Z311" s="231"/>
    </row>
    <row r="312" spans="1:26" ht="12.75" customHeight="1">
      <c r="A312" s="231"/>
      <c r="B312" s="231"/>
      <c r="C312" s="231"/>
      <c r="D312" s="231"/>
      <c r="E312" s="231"/>
      <c r="F312" s="231"/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  <c r="R312" s="231"/>
      <c r="S312" s="231"/>
      <c r="T312" s="231"/>
      <c r="U312" s="231"/>
      <c r="V312" s="231"/>
      <c r="W312" s="231"/>
      <c r="X312" s="231"/>
      <c r="Y312" s="231"/>
      <c r="Z312" s="231"/>
    </row>
    <row r="313" spans="1:26" ht="12.75" customHeight="1">
      <c r="A313" s="231"/>
      <c r="B313" s="231"/>
      <c r="C313" s="231"/>
      <c r="D313" s="231"/>
      <c r="E313" s="231"/>
      <c r="F313" s="231"/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  <c r="R313" s="231"/>
      <c r="S313" s="231"/>
      <c r="T313" s="231"/>
      <c r="U313" s="231"/>
      <c r="V313" s="231"/>
      <c r="W313" s="231"/>
      <c r="X313" s="231"/>
      <c r="Y313" s="231"/>
      <c r="Z313" s="231"/>
    </row>
    <row r="314" spans="1:26" ht="12.75" customHeight="1">
      <c r="A314" s="231"/>
      <c r="B314" s="231"/>
      <c r="C314" s="231"/>
      <c r="D314" s="231"/>
      <c r="E314" s="231"/>
      <c r="F314" s="231"/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  <c r="X314" s="231"/>
      <c r="Y314" s="231"/>
      <c r="Z314" s="231"/>
    </row>
    <row r="315" spans="1:26" ht="12.75" customHeight="1">
      <c r="A315" s="231"/>
      <c r="B315" s="231"/>
      <c r="C315" s="231"/>
      <c r="D315" s="231"/>
      <c r="E315" s="231"/>
      <c r="F315" s="231"/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  <c r="R315" s="231"/>
      <c r="S315" s="231"/>
      <c r="T315" s="231"/>
      <c r="U315" s="231"/>
      <c r="V315" s="231"/>
      <c r="W315" s="231"/>
      <c r="X315" s="231"/>
      <c r="Y315" s="231"/>
      <c r="Z315" s="231"/>
    </row>
    <row r="316" spans="1:26" ht="12.75" customHeight="1">
      <c r="A316" s="231"/>
      <c r="B316" s="231"/>
      <c r="C316" s="231"/>
      <c r="D316" s="231"/>
      <c r="E316" s="231"/>
      <c r="F316" s="231"/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  <c r="R316" s="231"/>
      <c r="S316" s="231"/>
      <c r="T316" s="231"/>
      <c r="U316" s="231"/>
      <c r="V316" s="231"/>
      <c r="W316" s="231"/>
      <c r="X316" s="231"/>
      <c r="Y316" s="231"/>
      <c r="Z316" s="231"/>
    </row>
    <row r="317" spans="1:26" ht="12.75" customHeight="1">
      <c r="A317" s="231"/>
      <c r="B317" s="231"/>
      <c r="C317" s="231"/>
      <c r="D317" s="231"/>
      <c r="E317" s="231"/>
      <c r="F317" s="231"/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  <c r="R317" s="231"/>
      <c r="S317" s="231"/>
      <c r="T317" s="231"/>
      <c r="U317" s="231"/>
      <c r="V317" s="231"/>
      <c r="W317" s="231"/>
      <c r="X317" s="231"/>
      <c r="Y317" s="231"/>
      <c r="Z317" s="231"/>
    </row>
    <row r="318" spans="1:26" ht="12.75" customHeight="1">
      <c r="A318" s="231"/>
      <c r="B318" s="231"/>
      <c r="C318" s="231"/>
      <c r="D318" s="231"/>
      <c r="E318" s="231"/>
      <c r="F318" s="231"/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  <c r="R318" s="231"/>
      <c r="S318" s="231"/>
      <c r="T318" s="231"/>
      <c r="U318" s="231"/>
      <c r="V318" s="231"/>
      <c r="W318" s="231"/>
      <c r="X318" s="231"/>
      <c r="Y318" s="231"/>
      <c r="Z318" s="231"/>
    </row>
    <row r="319" spans="1:26" ht="12.75" customHeight="1">
      <c r="A319" s="231"/>
      <c r="B319" s="231"/>
      <c r="C319" s="231"/>
      <c r="D319" s="231"/>
      <c r="E319" s="231"/>
      <c r="F319" s="231"/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  <c r="X319" s="231"/>
      <c r="Y319" s="231"/>
      <c r="Z319" s="231"/>
    </row>
    <row r="320" spans="1:26" ht="12.75" customHeight="1">
      <c r="A320" s="231"/>
      <c r="B320" s="231"/>
      <c r="C320" s="231"/>
      <c r="D320" s="231"/>
      <c r="E320" s="231"/>
      <c r="F320" s="231"/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  <c r="X320" s="231"/>
      <c r="Y320" s="231"/>
      <c r="Z320" s="231"/>
    </row>
    <row r="321" spans="1:26" ht="12.75" customHeight="1">
      <c r="A321" s="231"/>
      <c r="B321" s="231"/>
      <c r="C321" s="231"/>
      <c r="D321" s="231"/>
      <c r="E321" s="231"/>
      <c r="F321" s="231"/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  <c r="X321" s="231"/>
      <c r="Y321" s="231"/>
      <c r="Z321" s="231"/>
    </row>
    <row r="322" spans="1:26" ht="12.75" customHeight="1">
      <c r="A322" s="231"/>
      <c r="B322" s="231"/>
      <c r="C322" s="231"/>
      <c r="D322" s="231"/>
      <c r="E322" s="231"/>
      <c r="F322" s="231"/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  <c r="X322" s="231"/>
      <c r="Y322" s="231"/>
      <c r="Z322" s="231"/>
    </row>
    <row r="323" spans="1:26" ht="12.75" customHeight="1">
      <c r="A323" s="231"/>
      <c r="B323" s="231"/>
      <c r="C323" s="231"/>
      <c r="D323" s="231"/>
      <c r="E323" s="231"/>
      <c r="F323" s="231"/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  <c r="X323" s="231"/>
      <c r="Y323" s="231"/>
      <c r="Z323" s="231"/>
    </row>
    <row r="324" spans="1:26" ht="12.75" customHeight="1">
      <c r="A324" s="231"/>
      <c r="B324" s="231"/>
      <c r="C324" s="231"/>
      <c r="D324" s="231"/>
      <c r="E324" s="231"/>
      <c r="F324" s="231"/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  <c r="X324" s="231"/>
      <c r="Y324" s="231"/>
      <c r="Z324" s="231"/>
    </row>
    <row r="325" spans="1:26" ht="12.75" customHeight="1">
      <c r="A325" s="231"/>
      <c r="B325" s="231"/>
      <c r="C325" s="231"/>
      <c r="D325" s="231"/>
      <c r="E325" s="231"/>
      <c r="F325" s="231"/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  <c r="X325" s="231"/>
      <c r="Y325" s="231"/>
      <c r="Z325" s="231"/>
    </row>
    <row r="326" spans="1:26" ht="12.75" customHeight="1">
      <c r="A326" s="231"/>
      <c r="B326" s="231"/>
      <c r="C326" s="231"/>
      <c r="D326" s="231"/>
      <c r="E326" s="231"/>
      <c r="F326" s="231"/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  <c r="X326" s="231"/>
      <c r="Y326" s="231"/>
      <c r="Z326" s="231"/>
    </row>
    <row r="327" spans="1:26" ht="12.75" customHeight="1">
      <c r="A327" s="231"/>
      <c r="B327" s="231"/>
      <c r="C327" s="231"/>
      <c r="D327" s="231"/>
      <c r="E327" s="231"/>
      <c r="F327" s="231"/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  <c r="X327" s="231"/>
      <c r="Y327" s="231"/>
      <c r="Z327" s="231"/>
    </row>
    <row r="328" spans="1:26" ht="12.75" customHeight="1">
      <c r="A328" s="231"/>
      <c r="B328" s="231"/>
      <c r="C328" s="231"/>
      <c r="D328" s="231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  <c r="X328" s="231"/>
      <c r="Y328" s="231"/>
      <c r="Z328" s="231"/>
    </row>
    <row r="329" spans="1:26" ht="12.75" customHeight="1">
      <c r="A329" s="231"/>
      <c r="B329" s="231"/>
      <c r="C329" s="231"/>
      <c r="D329" s="231"/>
      <c r="E329" s="231"/>
      <c r="F329" s="231"/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1"/>
      <c r="X329" s="231"/>
      <c r="Y329" s="231"/>
      <c r="Z329" s="231"/>
    </row>
    <row r="330" spans="1:26" ht="12.75" customHeight="1">
      <c r="A330" s="231"/>
      <c r="B330" s="231"/>
      <c r="C330" s="231"/>
      <c r="D330" s="231"/>
      <c r="E330" s="231"/>
      <c r="F330" s="231"/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1"/>
      <c r="X330" s="231"/>
      <c r="Y330" s="231"/>
      <c r="Z330" s="231"/>
    </row>
    <row r="331" spans="1:26" ht="12.75" customHeight="1">
      <c r="A331" s="231"/>
      <c r="B331" s="231"/>
      <c r="C331" s="231"/>
      <c r="D331" s="231"/>
      <c r="E331" s="231"/>
      <c r="F331" s="231"/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31"/>
      <c r="W331" s="231"/>
      <c r="X331" s="231"/>
      <c r="Y331" s="231"/>
      <c r="Z331" s="231"/>
    </row>
    <row r="332" spans="1:26" ht="12.75" customHeight="1">
      <c r="A332" s="231"/>
      <c r="B332" s="231"/>
      <c r="C332" s="231"/>
      <c r="D332" s="231"/>
      <c r="E332" s="231"/>
      <c r="F332" s="231"/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31"/>
      <c r="W332" s="231"/>
      <c r="X332" s="231"/>
      <c r="Y332" s="231"/>
      <c r="Z332" s="231"/>
    </row>
    <row r="333" spans="1:26" ht="12.75" customHeight="1">
      <c r="A333" s="231"/>
      <c r="B333" s="231"/>
      <c r="C333" s="231"/>
      <c r="D333" s="231"/>
      <c r="E333" s="231"/>
      <c r="F333" s="231"/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  <c r="X333" s="231"/>
      <c r="Y333" s="231"/>
      <c r="Z333" s="231"/>
    </row>
    <row r="334" spans="1:26" ht="12.75" customHeight="1">
      <c r="A334" s="231"/>
      <c r="B334" s="231"/>
      <c r="C334" s="231"/>
      <c r="D334" s="231"/>
      <c r="E334" s="231"/>
      <c r="F334" s="231"/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  <c r="R334" s="231"/>
      <c r="S334" s="231"/>
      <c r="T334" s="231"/>
      <c r="U334" s="231"/>
      <c r="V334" s="231"/>
      <c r="W334" s="231"/>
      <c r="X334" s="231"/>
      <c r="Y334" s="231"/>
      <c r="Z334" s="231"/>
    </row>
    <row r="335" spans="1:26" ht="12.75" customHeight="1">
      <c r="A335" s="231"/>
      <c r="B335" s="231"/>
      <c r="C335" s="231"/>
      <c r="D335" s="231"/>
      <c r="E335" s="231"/>
      <c r="F335" s="231"/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  <c r="R335" s="231"/>
      <c r="S335" s="231"/>
      <c r="T335" s="231"/>
      <c r="U335" s="231"/>
      <c r="V335" s="231"/>
      <c r="W335" s="231"/>
      <c r="X335" s="231"/>
      <c r="Y335" s="231"/>
      <c r="Z335" s="231"/>
    </row>
    <row r="336" spans="1:26" ht="12.75" customHeight="1">
      <c r="A336" s="231"/>
      <c r="B336" s="231"/>
      <c r="C336" s="231"/>
      <c r="D336" s="231"/>
      <c r="E336" s="231"/>
      <c r="F336" s="231"/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  <c r="R336" s="231"/>
      <c r="S336" s="231"/>
      <c r="T336" s="231"/>
      <c r="U336" s="231"/>
      <c r="V336" s="231"/>
      <c r="W336" s="231"/>
      <c r="X336" s="231"/>
      <c r="Y336" s="231"/>
      <c r="Z336" s="231"/>
    </row>
    <row r="337" spans="1:26" ht="12.75" customHeight="1">
      <c r="A337" s="231"/>
      <c r="B337" s="231"/>
      <c r="C337" s="231"/>
      <c r="D337" s="231"/>
      <c r="E337" s="231"/>
      <c r="F337" s="231"/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  <c r="X337" s="231"/>
      <c r="Y337" s="231"/>
      <c r="Z337" s="231"/>
    </row>
    <row r="338" spans="1:26" ht="12.75" customHeight="1">
      <c r="A338" s="231"/>
      <c r="B338" s="231"/>
      <c r="C338" s="231"/>
      <c r="D338" s="231"/>
      <c r="E338" s="231"/>
      <c r="F338" s="231"/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  <c r="X338" s="231"/>
      <c r="Y338" s="231"/>
      <c r="Z338" s="231"/>
    </row>
    <row r="339" spans="1:26" ht="12.75" customHeight="1">
      <c r="A339" s="231"/>
      <c r="B339" s="231"/>
      <c r="C339" s="231"/>
      <c r="D339" s="231"/>
      <c r="E339" s="231"/>
      <c r="F339" s="231"/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  <c r="X339" s="231"/>
      <c r="Y339" s="231"/>
      <c r="Z339" s="231"/>
    </row>
    <row r="340" spans="1:26" ht="12.75" customHeight="1">
      <c r="A340" s="231"/>
      <c r="B340" s="231"/>
      <c r="C340" s="231"/>
      <c r="D340" s="231"/>
      <c r="E340" s="231"/>
      <c r="F340" s="231"/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  <c r="X340" s="231"/>
      <c r="Y340" s="231"/>
      <c r="Z340" s="231"/>
    </row>
    <row r="341" spans="1:26" ht="12.75" customHeight="1">
      <c r="A341" s="231"/>
      <c r="B341" s="231"/>
      <c r="C341" s="231"/>
      <c r="D341" s="231"/>
      <c r="E341" s="231"/>
      <c r="F341" s="231"/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  <c r="X341" s="231"/>
      <c r="Y341" s="231"/>
      <c r="Z341" s="231"/>
    </row>
    <row r="342" spans="1:26" ht="12.75" customHeight="1">
      <c r="A342" s="231"/>
      <c r="B342" s="231"/>
      <c r="C342" s="231"/>
      <c r="D342" s="231"/>
      <c r="E342" s="231"/>
      <c r="F342" s="231"/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  <c r="X342" s="231"/>
      <c r="Y342" s="231"/>
      <c r="Z342" s="231"/>
    </row>
    <row r="343" spans="1:26" ht="12.75" customHeight="1">
      <c r="A343" s="231"/>
      <c r="B343" s="231"/>
      <c r="C343" s="231"/>
      <c r="D343" s="231"/>
      <c r="E343" s="231"/>
      <c r="F343" s="231"/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  <c r="X343" s="231"/>
      <c r="Y343" s="231"/>
      <c r="Z343" s="231"/>
    </row>
    <row r="344" spans="1:26" ht="12.75" customHeight="1">
      <c r="A344" s="231"/>
      <c r="B344" s="231"/>
      <c r="C344" s="231"/>
      <c r="D344" s="231"/>
      <c r="E344" s="231"/>
      <c r="F344" s="231"/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  <c r="X344" s="231"/>
      <c r="Y344" s="231"/>
      <c r="Z344" s="231"/>
    </row>
    <row r="345" spans="1:26" ht="12.75" customHeight="1">
      <c r="A345" s="231"/>
      <c r="B345" s="231"/>
      <c r="C345" s="231"/>
      <c r="D345" s="231"/>
      <c r="E345" s="231"/>
      <c r="F345" s="231"/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  <c r="X345" s="231"/>
      <c r="Y345" s="231"/>
      <c r="Z345" s="231"/>
    </row>
    <row r="346" spans="1:26" ht="12.75" customHeight="1">
      <c r="A346" s="231"/>
      <c r="B346" s="231"/>
      <c r="C346" s="231"/>
      <c r="D346" s="231"/>
      <c r="E346" s="231"/>
      <c r="F346" s="231"/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  <c r="S346" s="231"/>
      <c r="T346" s="231"/>
      <c r="U346" s="231"/>
      <c r="V346" s="231"/>
      <c r="W346" s="231"/>
      <c r="X346" s="231"/>
      <c r="Y346" s="231"/>
      <c r="Z346" s="231"/>
    </row>
    <row r="347" spans="1:26" ht="12.75" customHeight="1">
      <c r="A347" s="231"/>
      <c r="B347" s="231"/>
      <c r="C347" s="231"/>
      <c r="D347" s="231"/>
      <c r="E347" s="231"/>
      <c r="F347" s="231"/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  <c r="X347" s="231"/>
      <c r="Y347" s="231"/>
      <c r="Z347" s="231"/>
    </row>
    <row r="348" spans="1:26" ht="12.75" customHeight="1">
      <c r="A348" s="231"/>
      <c r="B348" s="231"/>
      <c r="C348" s="231"/>
      <c r="D348" s="231"/>
      <c r="E348" s="231"/>
      <c r="F348" s="231"/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  <c r="X348" s="231"/>
      <c r="Y348" s="231"/>
      <c r="Z348" s="231"/>
    </row>
    <row r="349" spans="1:26" ht="12.75" customHeight="1">
      <c r="A349" s="231"/>
      <c r="B349" s="231"/>
      <c r="C349" s="231"/>
      <c r="D349" s="231"/>
      <c r="E349" s="231"/>
      <c r="F349" s="231"/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  <c r="X349" s="231"/>
      <c r="Y349" s="231"/>
      <c r="Z349" s="231"/>
    </row>
    <row r="350" spans="1:26" ht="12.75" customHeight="1">
      <c r="A350" s="231"/>
      <c r="B350" s="231"/>
      <c r="C350" s="231"/>
      <c r="D350" s="231"/>
      <c r="E350" s="231"/>
      <c r="F350" s="231"/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  <c r="X350" s="231"/>
      <c r="Y350" s="231"/>
      <c r="Z350" s="231"/>
    </row>
    <row r="351" spans="1:26" ht="12.75" customHeight="1">
      <c r="A351" s="231"/>
      <c r="B351" s="231"/>
      <c r="C351" s="231"/>
      <c r="D351" s="231"/>
      <c r="E351" s="231"/>
      <c r="F351" s="231"/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  <c r="X351" s="231"/>
      <c r="Y351" s="231"/>
      <c r="Z351" s="231"/>
    </row>
    <row r="352" spans="1:26" ht="12.75" customHeight="1">
      <c r="A352" s="231"/>
      <c r="B352" s="231"/>
      <c r="C352" s="231"/>
      <c r="D352" s="231"/>
      <c r="E352" s="231"/>
      <c r="F352" s="231"/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  <c r="X352" s="231"/>
      <c r="Y352" s="231"/>
      <c r="Z352" s="231"/>
    </row>
    <row r="353" spans="1:26" ht="12.75" customHeight="1">
      <c r="A353" s="231"/>
      <c r="B353" s="231"/>
      <c r="C353" s="231"/>
      <c r="D353" s="231"/>
      <c r="E353" s="231"/>
      <c r="F353" s="231"/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  <c r="X353" s="231"/>
      <c r="Y353" s="231"/>
      <c r="Z353" s="231"/>
    </row>
    <row r="354" spans="1:26" ht="12.75" customHeight="1">
      <c r="A354" s="231"/>
      <c r="B354" s="231"/>
      <c r="C354" s="231"/>
      <c r="D354" s="231"/>
      <c r="E354" s="231"/>
      <c r="F354" s="231"/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  <c r="X354" s="231"/>
      <c r="Y354" s="231"/>
      <c r="Z354" s="231"/>
    </row>
    <row r="355" spans="1:26" ht="12.75" customHeight="1">
      <c r="A355" s="231"/>
      <c r="B355" s="231"/>
      <c r="C355" s="231"/>
      <c r="D355" s="231"/>
      <c r="E355" s="231"/>
      <c r="F355" s="231"/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  <c r="X355" s="231"/>
      <c r="Y355" s="231"/>
      <c r="Z355" s="231"/>
    </row>
    <row r="356" spans="1:26" ht="12.75" customHeight="1">
      <c r="A356" s="231"/>
      <c r="B356" s="231"/>
      <c r="C356" s="231"/>
      <c r="D356" s="231"/>
      <c r="E356" s="231"/>
      <c r="F356" s="231"/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31"/>
      <c r="W356" s="231"/>
      <c r="X356" s="231"/>
      <c r="Y356" s="231"/>
      <c r="Z356" s="231"/>
    </row>
    <row r="357" spans="1:26" ht="12.75" customHeight="1">
      <c r="A357" s="231"/>
      <c r="B357" s="231"/>
      <c r="C357" s="231"/>
      <c r="D357" s="231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  <c r="X357" s="231"/>
      <c r="Y357" s="231"/>
      <c r="Z357" s="231"/>
    </row>
    <row r="358" spans="1:26" ht="12.75" customHeight="1">
      <c r="A358" s="231"/>
      <c r="B358" s="231"/>
      <c r="C358" s="231"/>
      <c r="D358" s="231"/>
      <c r="E358" s="231"/>
      <c r="F358" s="231"/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31"/>
      <c r="W358" s="231"/>
      <c r="X358" s="231"/>
      <c r="Y358" s="231"/>
      <c r="Z358" s="231"/>
    </row>
    <row r="359" spans="1:26" ht="12.75" customHeight="1">
      <c r="A359" s="231"/>
      <c r="B359" s="231"/>
      <c r="C359" s="231"/>
      <c r="D359" s="231"/>
      <c r="E359" s="231"/>
      <c r="F359" s="231"/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31"/>
      <c r="W359" s="231"/>
      <c r="X359" s="231"/>
      <c r="Y359" s="231"/>
      <c r="Z359" s="231"/>
    </row>
    <row r="360" spans="1:26" ht="12.75" customHeight="1">
      <c r="A360" s="231"/>
      <c r="B360" s="231"/>
      <c r="C360" s="231"/>
      <c r="D360" s="231"/>
      <c r="E360" s="231"/>
      <c r="F360" s="231"/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31"/>
      <c r="W360" s="231"/>
      <c r="X360" s="231"/>
      <c r="Y360" s="231"/>
      <c r="Z360" s="231"/>
    </row>
    <row r="361" spans="1:26" ht="12.75" customHeight="1">
      <c r="A361" s="231"/>
      <c r="B361" s="231"/>
      <c r="C361" s="231"/>
      <c r="D361" s="231"/>
      <c r="E361" s="231"/>
      <c r="F361" s="231"/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31"/>
      <c r="W361" s="231"/>
      <c r="X361" s="231"/>
      <c r="Y361" s="231"/>
      <c r="Z361" s="231"/>
    </row>
    <row r="362" spans="1:26" ht="12.75" customHeight="1">
      <c r="A362" s="231"/>
      <c r="B362" s="231"/>
      <c r="C362" s="231"/>
      <c r="D362" s="231"/>
      <c r="E362" s="231"/>
      <c r="F362" s="231"/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31"/>
      <c r="W362" s="231"/>
      <c r="X362" s="231"/>
      <c r="Y362" s="231"/>
      <c r="Z362" s="231"/>
    </row>
    <row r="363" spans="1:26" ht="12.75" customHeight="1">
      <c r="A363" s="231"/>
      <c r="B363" s="231"/>
      <c r="C363" s="231"/>
      <c r="D363" s="231"/>
      <c r="E363" s="231"/>
      <c r="F363" s="231"/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31"/>
      <c r="W363" s="231"/>
      <c r="X363" s="231"/>
      <c r="Y363" s="231"/>
      <c r="Z363" s="231"/>
    </row>
    <row r="364" spans="1:26" ht="12.75" customHeight="1">
      <c r="A364" s="231"/>
      <c r="B364" s="231"/>
      <c r="C364" s="231"/>
      <c r="D364" s="231"/>
      <c r="E364" s="231"/>
      <c r="F364" s="231"/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31"/>
      <c r="W364" s="231"/>
      <c r="X364" s="231"/>
      <c r="Y364" s="231"/>
      <c r="Z364" s="231"/>
    </row>
    <row r="365" spans="1:26" ht="12.75" customHeight="1">
      <c r="A365" s="231"/>
      <c r="B365" s="231"/>
      <c r="C365" s="231"/>
      <c r="D365" s="231"/>
      <c r="E365" s="231"/>
      <c r="F365" s="231"/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31"/>
      <c r="W365" s="231"/>
      <c r="X365" s="231"/>
      <c r="Y365" s="231"/>
      <c r="Z365" s="231"/>
    </row>
    <row r="366" spans="1:26" ht="12.75" customHeight="1">
      <c r="A366" s="231"/>
      <c r="B366" s="231"/>
      <c r="C366" s="231"/>
      <c r="D366" s="231"/>
      <c r="E366" s="231"/>
      <c r="F366" s="231"/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31"/>
      <c r="W366" s="231"/>
      <c r="X366" s="231"/>
      <c r="Y366" s="231"/>
      <c r="Z366" s="231"/>
    </row>
    <row r="367" spans="1:26" ht="12.75" customHeight="1">
      <c r="A367" s="231"/>
      <c r="B367" s="231"/>
      <c r="C367" s="231"/>
      <c r="D367" s="231"/>
      <c r="E367" s="231"/>
      <c r="F367" s="231"/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31"/>
      <c r="W367" s="231"/>
      <c r="X367" s="231"/>
      <c r="Y367" s="231"/>
      <c r="Z367" s="231"/>
    </row>
    <row r="368" spans="1:26" ht="12.75" customHeight="1">
      <c r="A368" s="231"/>
      <c r="B368" s="231"/>
      <c r="C368" s="231"/>
      <c r="D368" s="231"/>
      <c r="E368" s="231"/>
      <c r="F368" s="231"/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31"/>
      <c r="W368" s="231"/>
      <c r="X368" s="231"/>
      <c r="Y368" s="231"/>
      <c r="Z368" s="231"/>
    </row>
    <row r="369" spans="1:26" ht="12.75" customHeight="1">
      <c r="A369" s="231"/>
      <c r="B369" s="231"/>
      <c r="C369" s="231"/>
      <c r="D369" s="231"/>
      <c r="E369" s="231"/>
      <c r="F369" s="231"/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31"/>
      <c r="W369" s="231"/>
      <c r="X369" s="231"/>
      <c r="Y369" s="231"/>
      <c r="Z369" s="231"/>
    </row>
    <row r="370" spans="1:26" ht="12.75" customHeight="1">
      <c r="A370" s="231"/>
      <c r="B370" s="231"/>
      <c r="C370" s="231"/>
      <c r="D370" s="231"/>
      <c r="E370" s="231"/>
      <c r="F370" s="231"/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1"/>
      <c r="W370" s="231"/>
      <c r="X370" s="231"/>
      <c r="Y370" s="231"/>
      <c r="Z370" s="231"/>
    </row>
    <row r="371" spans="1:26" ht="12.75" customHeight="1">
      <c r="A371" s="231"/>
      <c r="B371" s="231"/>
      <c r="C371" s="231"/>
      <c r="D371" s="231"/>
      <c r="E371" s="231"/>
      <c r="F371" s="231"/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1"/>
      <c r="W371" s="231"/>
      <c r="X371" s="231"/>
      <c r="Y371" s="231"/>
      <c r="Z371" s="231"/>
    </row>
    <row r="372" spans="1:26" ht="12.75" customHeight="1">
      <c r="A372" s="231"/>
      <c r="B372" s="231"/>
      <c r="C372" s="231"/>
      <c r="D372" s="231"/>
      <c r="E372" s="231"/>
      <c r="F372" s="231"/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31"/>
      <c r="W372" s="231"/>
      <c r="X372" s="231"/>
      <c r="Y372" s="231"/>
      <c r="Z372" s="231"/>
    </row>
    <row r="373" spans="1:26" ht="12.75" customHeight="1">
      <c r="A373" s="231"/>
      <c r="B373" s="231"/>
      <c r="C373" s="231"/>
      <c r="D373" s="231"/>
      <c r="E373" s="231"/>
      <c r="F373" s="231"/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31"/>
      <c r="W373" s="231"/>
      <c r="X373" s="231"/>
      <c r="Y373" s="231"/>
      <c r="Z373" s="231"/>
    </row>
    <row r="374" spans="1:26" ht="12.75" customHeight="1">
      <c r="A374" s="231"/>
      <c r="B374" s="231"/>
      <c r="C374" s="231"/>
      <c r="D374" s="231"/>
      <c r="E374" s="231"/>
      <c r="F374" s="231"/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  <c r="X374" s="231"/>
      <c r="Y374" s="231"/>
      <c r="Z374" s="231"/>
    </row>
    <row r="375" spans="1:26" ht="12.75" customHeight="1">
      <c r="A375" s="231"/>
      <c r="B375" s="231"/>
      <c r="C375" s="231"/>
      <c r="D375" s="231"/>
      <c r="E375" s="231"/>
      <c r="F375" s="231"/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31"/>
      <c r="W375" s="231"/>
      <c r="X375" s="231"/>
      <c r="Y375" s="231"/>
      <c r="Z375" s="231"/>
    </row>
    <row r="376" spans="1:26" ht="12.75" customHeight="1">
      <c r="A376" s="231"/>
      <c r="B376" s="231"/>
      <c r="C376" s="231"/>
      <c r="D376" s="231"/>
      <c r="E376" s="231"/>
      <c r="F376" s="231"/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31"/>
      <c r="W376" s="231"/>
      <c r="X376" s="231"/>
      <c r="Y376" s="231"/>
      <c r="Z376" s="231"/>
    </row>
    <row r="377" spans="1:26" ht="12.75" customHeight="1">
      <c r="A377" s="231"/>
      <c r="B377" s="231"/>
      <c r="C377" s="231"/>
      <c r="D377" s="231"/>
      <c r="E377" s="231"/>
      <c r="F377" s="231"/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31"/>
      <c r="W377" s="231"/>
      <c r="X377" s="231"/>
      <c r="Y377" s="231"/>
      <c r="Z377" s="231"/>
    </row>
    <row r="378" spans="1:26" ht="12.75" customHeight="1">
      <c r="A378" s="231"/>
      <c r="B378" s="231"/>
      <c r="C378" s="231"/>
      <c r="D378" s="231"/>
      <c r="E378" s="231"/>
      <c r="F378" s="231"/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31"/>
      <c r="W378" s="231"/>
      <c r="X378" s="231"/>
      <c r="Y378" s="231"/>
      <c r="Z378" s="231"/>
    </row>
    <row r="379" spans="1:26" ht="12.75" customHeight="1">
      <c r="A379" s="231"/>
      <c r="B379" s="231"/>
      <c r="C379" s="231"/>
      <c r="D379" s="231"/>
      <c r="E379" s="231"/>
      <c r="F379" s="231"/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31"/>
      <c r="W379" s="231"/>
      <c r="X379" s="231"/>
      <c r="Y379" s="231"/>
      <c r="Z379" s="231"/>
    </row>
    <row r="380" spans="1:26" ht="12.75" customHeight="1">
      <c r="A380" s="231"/>
      <c r="B380" s="231"/>
      <c r="C380" s="231"/>
      <c r="D380" s="231"/>
      <c r="E380" s="231"/>
      <c r="F380" s="231"/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31"/>
      <c r="W380" s="231"/>
      <c r="X380" s="231"/>
      <c r="Y380" s="231"/>
      <c r="Z380" s="231"/>
    </row>
    <row r="381" spans="1:26" ht="12.75" customHeight="1">
      <c r="A381" s="231"/>
      <c r="B381" s="231"/>
      <c r="C381" s="231"/>
      <c r="D381" s="231"/>
      <c r="E381" s="231"/>
      <c r="F381" s="231"/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31"/>
      <c r="W381" s="231"/>
      <c r="X381" s="231"/>
      <c r="Y381" s="231"/>
      <c r="Z381" s="231"/>
    </row>
    <row r="382" spans="1:26" ht="12.75" customHeight="1">
      <c r="A382" s="231"/>
      <c r="B382" s="231"/>
      <c r="C382" s="231"/>
      <c r="D382" s="231"/>
      <c r="E382" s="231"/>
      <c r="F382" s="231"/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  <c r="X382" s="231"/>
      <c r="Y382" s="231"/>
      <c r="Z382" s="231"/>
    </row>
    <row r="383" spans="1:26" ht="12.75" customHeight="1">
      <c r="A383" s="231"/>
      <c r="B383" s="231"/>
      <c r="C383" s="231"/>
      <c r="D383" s="231"/>
      <c r="E383" s="231"/>
      <c r="F383" s="231"/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  <c r="X383" s="231"/>
      <c r="Y383" s="231"/>
      <c r="Z383" s="231"/>
    </row>
    <row r="384" spans="1:26" ht="12.75" customHeight="1">
      <c r="A384" s="231"/>
      <c r="B384" s="231"/>
      <c r="C384" s="231"/>
      <c r="D384" s="231"/>
      <c r="E384" s="231"/>
      <c r="F384" s="231"/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  <c r="R384" s="231"/>
      <c r="S384" s="231"/>
      <c r="T384" s="231"/>
      <c r="U384" s="231"/>
      <c r="V384" s="231"/>
      <c r="W384" s="231"/>
      <c r="X384" s="231"/>
      <c r="Y384" s="231"/>
      <c r="Z384" s="231"/>
    </row>
    <row r="385" spans="1:26" ht="12.75" customHeight="1">
      <c r="A385" s="231"/>
      <c r="B385" s="231"/>
      <c r="C385" s="231"/>
      <c r="D385" s="231"/>
      <c r="E385" s="231"/>
      <c r="F385" s="231"/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  <c r="R385" s="231"/>
      <c r="S385" s="231"/>
      <c r="T385" s="231"/>
      <c r="U385" s="231"/>
      <c r="V385" s="231"/>
      <c r="W385" s="231"/>
      <c r="X385" s="231"/>
      <c r="Y385" s="231"/>
      <c r="Z385" s="231"/>
    </row>
    <row r="386" spans="1:26" ht="12.75" customHeight="1">
      <c r="A386" s="231"/>
      <c r="B386" s="231"/>
      <c r="C386" s="231"/>
      <c r="D386" s="231"/>
      <c r="E386" s="231"/>
      <c r="F386" s="231"/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231"/>
      <c r="W386" s="231"/>
      <c r="X386" s="231"/>
      <c r="Y386" s="231"/>
      <c r="Z386" s="231"/>
    </row>
    <row r="387" spans="1:26" ht="12.75" customHeight="1">
      <c r="A387" s="231"/>
      <c r="B387" s="231"/>
      <c r="C387" s="231"/>
      <c r="D387" s="231"/>
      <c r="E387" s="231"/>
      <c r="F387" s="231"/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  <c r="R387" s="231"/>
      <c r="S387" s="231"/>
      <c r="T387" s="231"/>
      <c r="U387" s="231"/>
      <c r="V387" s="231"/>
      <c r="W387" s="231"/>
      <c r="X387" s="231"/>
      <c r="Y387" s="231"/>
      <c r="Z387" s="231"/>
    </row>
    <row r="388" spans="1:26" ht="12.75" customHeight="1">
      <c r="A388" s="231"/>
      <c r="B388" s="231"/>
      <c r="C388" s="231"/>
      <c r="D388" s="231"/>
      <c r="E388" s="231"/>
      <c r="F388" s="231"/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  <c r="X388" s="231"/>
      <c r="Y388" s="231"/>
      <c r="Z388" s="231"/>
    </row>
    <row r="389" spans="1:26" ht="12.75" customHeight="1">
      <c r="A389" s="231"/>
      <c r="B389" s="231"/>
      <c r="C389" s="231"/>
      <c r="D389" s="231"/>
      <c r="E389" s="231"/>
      <c r="F389" s="231"/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  <c r="X389" s="231"/>
      <c r="Y389" s="231"/>
      <c r="Z389" s="231"/>
    </row>
    <row r="390" spans="1:26" ht="12.75" customHeight="1">
      <c r="A390" s="231"/>
      <c r="B390" s="231"/>
      <c r="C390" s="231"/>
      <c r="D390" s="231"/>
      <c r="E390" s="231"/>
      <c r="F390" s="231"/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  <c r="R390" s="231"/>
      <c r="S390" s="231"/>
      <c r="T390" s="231"/>
      <c r="U390" s="231"/>
      <c r="V390" s="231"/>
      <c r="W390" s="231"/>
      <c r="X390" s="231"/>
      <c r="Y390" s="231"/>
      <c r="Z390" s="231"/>
    </row>
    <row r="391" spans="1:26" ht="12.75" customHeight="1">
      <c r="A391" s="231"/>
      <c r="B391" s="231"/>
      <c r="C391" s="231"/>
      <c r="D391" s="231"/>
      <c r="E391" s="231"/>
      <c r="F391" s="231"/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  <c r="X391" s="231"/>
      <c r="Y391" s="231"/>
      <c r="Z391" s="231"/>
    </row>
    <row r="392" spans="1:26" ht="12.75" customHeight="1">
      <c r="A392" s="231"/>
      <c r="B392" s="231"/>
      <c r="C392" s="231"/>
      <c r="D392" s="231"/>
      <c r="E392" s="231"/>
      <c r="F392" s="231"/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  <c r="R392" s="231"/>
      <c r="S392" s="231"/>
      <c r="T392" s="231"/>
      <c r="U392" s="231"/>
      <c r="V392" s="231"/>
      <c r="W392" s="231"/>
      <c r="X392" s="231"/>
      <c r="Y392" s="231"/>
      <c r="Z392" s="231"/>
    </row>
    <row r="393" spans="1:26" ht="12.75" customHeight="1">
      <c r="A393" s="231"/>
      <c r="B393" s="231"/>
      <c r="C393" s="231"/>
      <c r="D393" s="231"/>
      <c r="E393" s="231"/>
      <c r="F393" s="231"/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  <c r="R393" s="231"/>
      <c r="S393" s="231"/>
      <c r="T393" s="231"/>
      <c r="U393" s="231"/>
      <c r="V393" s="231"/>
      <c r="W393" s="231"/>
      <c r="X393" s="231"/>
      <c r="Y393" s="231"/>
      <c r="Z393" s="231"/>
    </row>
    <row r="394" spans="1:26" ht="12.75" customHeight="1">
      <c r="A394" s="231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  <c r="R394" s="231"/>
      <c r="S394" s="231"/>
      <c r="T394" s="231"/>
      <c r="U394" s="231"/>
      <c r="V394" s="231"/>
      <c r="W394" s="231"/>
      <c r="X394" s="231"/>
      <c r="Y394" s="231"/>
      <c r="Z394" s="231"/>
    </row>
    <row r="395" spans="1:26" ht="12.75" customHeight="1">
      <c r="A395" s="231"/>
      <c r="B395" s="231"/>
      <c r="C395" s="231"/>
      <c r="D395" s="231"/>
      <c r="E395" s="231"/>
      <c r="F395" s="231"/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  <c r="R395" s="231"/>
      <c r="S395" s="231"/>
      <c r="T395" s="231"/>
      <c r="U395" s="231"/>
      <c r="V395" s="231"/>
      <c r="W395" s="231"/>
      <c r="X395" s="231"/>
      <c r="Y395" s="231"/>
      <c r="Z395" s="231"/>
    </row>
    <row r="396" spans="1:26" ht="12.75" customHeight="1">
      <c r="A396" s="231"/>
      <c r="B396" s="231"/>
      <c r="C396" s="231"/>
      <c r="D396" s="231"/>
      <c r="E396" s="231"/>
      <c r="F396" s="231"/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  <c r="R396" s="231"/>
      <c r="S396" s="231"/>
      <c r="T396" s="231"/>
      <c r="U396" s="231"/>
      <c r="V396" s="231"/>
      <c r="W396" s="231"/>
      <c r="X396" s="231"/>
      <c r="Y396" s="231"/>
      <c r="Z396" s="231"/>
    </row>
    <row r="397" spans="1:26" ht="12.75" customHeight="1">
      <c r="A397" s="231"/>
      <c r="B397" s="231"/>
      <c r="C397" s="231"/>
      <c r="D397" s="231"/>
      <c r="E397" s="231"/>
      <c r="F397" s="231"/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  <c r="R397" s="231"/>
      <c r="S397" s="231"/>
      <c r="T397" s="231"/>
      <c r="U397" s="231"/>
      <c r="V397" s="231"/>
      <c r="W397" s="231"/>
      <c r="X397" s="231"/>
      <c r="Y397" s="231"/>
      <c r="Z397" s="231"/>
    </row>
    <row r="398" spans="1:26" ht="12.75" customHeight="1">
      <c r="A398" s="231"/>
      <c r="B398" s="231"/>
      <c r="C398" s="231"/>
      <c r="D398" s="231"/>
      <c r="E398" s="231"/>
      <c r="F398" s="231"/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  <c r="X398" s="231"/>
      <c r="Y398" s="231"/>
      <c r="Z398" s="231"/>
    </row>
    <row r="399" spans="1:26" ht="12.75" customHeight="1">
      <c r="A399" s="231"/>
      <c r="B399" s="231"/>
      <c r="C399" s="231"/>
      <c r="D399" s="231"/>
      <c r="E399" s="231"/>
      <c r="F399" s="231"/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  <c r="R399" s="231"/>
      <c r="S399" s="231"/>
      <c r="T399" s="231"/>
      <c r="U399" s="231"/>
      <c r="V399" s="231"/>
      <c r="W399" s="231"/>
      <c r="X399" s="231"/>
      <c r="Y399" s="231"/>
      <c r="Z399" s="231"/>
    </row>
  </sheetData>
  <pageMargins left="0.7" right="0.7" top="0.75" bottom="0.75" header="0" footer="0"/>
  <pageSetup fitToHeight="0" orientation="portrait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51"/>
  <sheetViews>
    <sheetView showGridLines="0" workbookViewId="0"/>
  </sheetViews>
  <sheetFormatPr defaultColWidth="14.44140625" defaultRowHeight="15" customHeight="1"/>
  <cols>
    <col min="1" max="1" width="45.44140625" customWidth="1"/>
    <col min="2" max="2" width="23.5546875" customWidth="1"/>
    <col min="3" max="3" width="18.109375" customWidth="1"/>
    <col min="4" max="4" width="17.6640625" customWidth="1"/>
    <col min="5" max="5" width="19.33203125" customWidth="1"/>
    <col min="6" max="6" width="15.88671875" customWidth="1"/>
    <col min="7" max="7" width="16" customWidth="1"/>
    <col min="8" max="26" width="9" customWidth="1"/>
  </cols>
  <sheetData>
    <row r="1" spans="1:26" ht="14.25" customHeight="1">
      <c r="A1" s="244" t="s">
        <v>483</v>
      </c>
      <c r="E1" s="245">
        <f>InfoInicial!E1</f>
        <v>10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6" ht="13.5" customHeight="1">
      <c r="A2" s="244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</row>
    <row r="3" spans="1:26" ht="16.5" customHeight="1">
      <c r="A3" s="407" t="s">
        <v>699</v>
      </c>
      <c r="B3" s="408"/>
      <c r="C3" s="408"/>
      <c r="D3" s="408"/>
      <c r="E3" s="408"/>
      <c r="F3" s="408"/>
      <c r="G3" s="409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</row>
    <row r="4" spans="1:26" ht="13.5" customHeight="1">
      <c r="A4" s="339" t="s">
        <v>586</v>
      </c>
      <c r="B4" s="263" t="s">
        <v>537</v>
      </c>
      <c r="C4" s="263" t="s">
        <v>39</v>
      </c>
      <c r="D4" s="263" t="s">
        <v>425</v>
      </c>
      <c r="E4" s="263" t="s">
        <v>426</v>
      </c>
      <c r="F4" s="263" t="s">
        <v>427</v>
      </c>
      <c r="G4" s="357" t="s">
        <v>428</v>
      </c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</row>
    <row r="5" spans="1:26" ht="13.5" customHeight="1">
      <c r="A5" s="410" t="s">
        <v>700</v>
      </c>
      <c r="B5" s="327"/>
      <c r="C5" s="327"/>
      <c r="D5" s="327"/>
      <c r="E5" s="327"/>
      <c r="F5" s="327"/>
      <c r="G5" s="359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</row>
    <row r="6" spans="1:26" ht="12.75" customHeight="1">
      <c r="A6" s="410" t="s">
        <v>701</v>
      </c>
      <c r="B6" s="297">
        <f>C6*0.8</f>
        <v>339120</v>
      </c>
      <c r="C6" s="297">
        <f>'Conformación de Datos'!$D$17*0.02</f>
        <v>423900</v>
      </c>
      <c r="D6" s="297">
        <f>'Conformación de Datos'!$D$17*0.02</f>
        <v>423900</v>
      </c>
      <c r="E6" s="297">
        <f>'Conformación de Datos'!$D$17*0.02</f>
        <v>423900</v>
      </c>
      <c r="F6" s="297">
        <f>'Conformación de Datos'!$D$17*0.02</f>
        <v>423900</v>
      </c>
      <c r="G6" s="346">
        <f>'Conformación de Datos'!$D$17*0.02</f>
        <v>423900</v>
      </c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</row>
    <row r="7" spans="1:26" ht="12.75" customHeight="1">
      <c r="A7" s="410" t="s">
        <v>702</v>
      </c>
      <c r="B7" s="297">
        <v>0</v>
      </c>
      <c r="C7" s="297">
        <f>'Conformación de Datos'!$C$17*30/365</f>
        <v>1393643.8356164384</v>
      </c>
      <c r="D7" s="297">
        <f>'Conformación de Datos'!$D$17*30/365</f>
        <v>1742054.7945205478</v>
      </c>
      <c r="E7" s="297">
        <f>'Conformación de Datos'!$D$17*30/365</f>
        <v>1742054.7945205478</v>
      </c>
      <c r="F7" s="297">
        <f>'Conformación de Datos'!$D$17*30/365</f>
        <v>1742054.7945205478</v>
      </c>
      <c r="G7" s="346">
        <f>'Conformación de Datos'!$D$17*30/365</f>
        <v>1742054.7945205478</v>
      </c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</row>
    <row r="8" spans="1:26" ht="12.75" customHeight="1">
      <c r="A8" s="411"/>
      <c r="B8" s="297"/>
      <c r="C8" s="297"/>
      <c r="D8" s="297"/>
      <c r="E8" s="297"/>
      <c r="F8" s="297"/>
      <c r="G8" s="346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</row>
    <row r="9" spans="1:26" ht="12.75" customHeight="1">
      <c r="A9" s="410" t="s">
        <v>413</v>
      </c>
      <c r="B9" s="296">
        <f t="shared" ref="B9:G9" si="0">SUM(B10:B13)</f>
        <v>340987.26126478234</v>
      </c>
      <c r="C9" s="296">
        <f t="shared" si="0"/>
        <v>1690708.584348496</v>
      </c>
      <c r="D9" s="296">
        <f t="shared" si="0"/>
        <v>1689487.5885728966</v>
      </c>
      <c r="E9" s="296">
        <f t="shared" si="0"/>
        <v>1689461.9996608598</v>
      </c>
      <c r="F9" s="296">
        <f t="shared" si="0"/>
        <v>1689461.9996608598</v>
      </c>
      <c r="G9" s="392">
        <f t="shared" si="0"/>
        <v>1689461.9996608598</v>
      </c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</row>
    <row r="10" spans="1:26" ht="12.75" customHeight="1">
      <c r="A10" s="411" t="s">
        <v>703</v>
      </c>
      <c r="B10" s="297">
        <f>'Conformación de Datos'!D295*'Conformación de Datos'!D293</f>
        <v>177949.98552863329</v>
      </c>
      <c r="C10" s="297">
        <f>'Conformación de Datos'!D289*'Conformación de Datos'!D293</f>
        <v>1327712.5890350069</v>
      </c>
      <c r="D10" s="297">
        <f>'Conformación de Datos'!D289*'Conformación de Datos'!D293</f>
        <v>1327712.5890350069</v>
      </c>
      <c r="E10" s="297">
        <f>'Conformación de Datos'!D289*'Conformación de Datos'!D293</f>
        <v>1327712.5890350069</v>
      </c>
      <c r="F10" s="297">
        <f>'Conformación de Datos'!D289*'Conformación de Datos'!D293</f>
        <v>1327712.5890350069</v>
      </c>
      <c r="G10" s="346">
        <f>'Conformación de Datos'!D289*'Conformación de Datos'!D293</f>
        <v>1327712.5890350069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</row>
    <row r="11" spans="1:26" ht="12.75" customHeight="1">
      <c r="A11" s="411" t="s">
        <v>704</v>
      </c>
      <c r="B11" s="297">
        <f>C11*0.8</f>
        <v>163037.27573614905</v>
      </c>
      <c r="C11" s="297">
        <f>('E-Costos'!B12)*6/12+'E-Costos'!B54/12+'E-Costos'!B71/12</f>
        <v>203796.59467018628</v>
      </c>
      <c r="D11" s="297">
        <f>('E-Costos'!$C$12)*6/12+'E-Costos'!C54/12+'E-Costos'!C71/12</f>
        <v>208322.35838696477</v>
      </c>
      <c r="E11" s="297">
        <f>('E-Costos'!$C$12)*6/12+'E-Costos'!D54/12+'E-Costos'!D71/12</f>
        <v>208322.35838696477</v>
      </c>
      <c r="F11" s="297">
        <f>('E-Costos'!$C$12)*6/12+'E-Costos'!E54/12+'E-Costos'!E71/12</f>
        <v>208322.35838696477</v>
      </c>
      <c r="G11" s="346">
        <f>('E-Costos'!$C$12)*6/12+'E-Costos'!F54/12+'E-Costos'!F71/12</f>
        <v>208322.35838696477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</row>
    <row r="12" spans="1:26" ht="12.75" customHeight="1">
      <c r="A12" s="411" t="s">
        <v>705</v>
      </c>
      <c r="B12" s="297"/>
      <c r="C12" s="297">
        <f>'E-Costos'!B35</f>
        <v>79553.396746657934</v>
      </c>
      <c r="D12" s="297">
        <f>'E-Costos'!C35</f>
        <v>76886.762755457326</v>
      </c>
      <c r="E12" s="297">
        <f>'E-Costos'!D35</f>
        <v>76886.762755457326</v>
      </c>
      <c r="F12" s="297">
        <f>'E-Costos'!E35</f>
        <v>76886.762755457326</v>
      </c>
      <c r="G12" s="346">
        <f>'E-Costos'!F35</f>
        <v>76886.762755457326</v>
      </c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</row>
    <row r="13" spans="1:26" ht="12.75" customHeight="1">
      <c r="A13" s="411" t="s">
        <v>706</v>
      </c>
      <c r="B13" s="297"/>
      <c r="C13" s="297">
        <f>'E-Costos'!B105</f>
        <v>79646.003896644819</v>
      </c>
      <c r="D13" s="297">
        <f>'E-Costos'!C105</f>
        <v>76565.878395467633</v>
      </c>
      <c r="E13" s="297">
        <f>'E-Costos'!D105</f>
        <v>76540.289483430883</v>
      </c>
      <c r="F13" s="297">
        <f>'E-Costos'!E105</f>
        <v>76540.289483430883</v>
      </c>
      <c r="G13" s="346">
        <f>'E-Costos'!F105</f>
        <v>76540.289483430883</v>
      </c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</row>
    <row r="14" spans="1:26" ht="12.75" customHeight="1">
      <c r="A14" s="411"/>
      <c r="B14" s="297"/>
      <c r="C14" s="297"/>
      <c r="D14" s="297"/>
      <c r="E14" s="297"/>
      <c r="F14" s="297"/>
      <c r="G14" s="346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</row>
    <row r="15" spans="1:26" ht="12.75" customHeight="1">
      <c r="A15" s="410" t="s">
        <v>707</v>
      </c>
      <c r="B15" s="296">
        <f t="shared" ref="B15:G15" si="1">B6+B7+B9</f>
        <v>680107.2612647824</v>
      </c>
      <c r="C15" s="296">
        <f t="shared" si="1"/>
        <v>3508252.4199649347</v>
      </c>
      <c r="D15" s="296">
        <f t="shared" si="1"/>
        <v>3855442.3830934442</v>
      </c>
      <c r="E15" s="296">
        <f t="shared" si="1"/>
        <v>3855416.7941814074</v>
      </c>
      <c r="F15" s="296">
        <f t="shared" si="1"/>
        <v>3855416.7941814074</v>
      </c>
      <c r="G15" s="392">
        <f t="shared" si="1"/>
        <v>3855416.7941814074</v>
      </c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</row>
    <row r="16" spans="1:26" ht="12.75" customHeight="1">
      <c r="A16" s="410" t="s">
        <v>708</v>
      </c>
      <c r="B16" s="297">
        <f t="shared" ref="B16:G16" si="2">SUM(B17:B20)</f>
        <v>0</v>
      </c>
      <c r="C16" s="297">
        <f t="shared" si="2"/>
        <v>448141.18975512777</v>
      </c>
      <c r="D16" s="297">
        <f t="shared" si="2"/>
        <v>560231.34040374076</v>
      </c>
      <c r="E16" s="297">
        <f t="shared" si="2"/>
        <v>559932.34508600121</v>
      </c>
      <c r="F16" s="297">
        <f t="shared" si="2"/>
        <v>559932.1673762775</v>
      </c>
      <c r="G16" s="346">
        <f t="shared" si="2"/>
        <v>559932.1673762775</v>
      </c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</row>
    <row r="17" spans="1:26" ht="12.75" customHeight="1">
      <c r="A17" s="411" t="s">
        <v>709</v>
      </c>
      <c r="B17" s="297"/>
      <c r="C17" s="297">
        <f>'E-Costos'!B28</f>
        <v>17829.774802061187</v>
      </c>
      <c r="D17" s="297">
        <f>'E-Costos'!C28</f>
        <v>14564.135246935222</v>
      </c>
      <c r="E17" s="297">
        <f>'E-Costos'!D28</f>
        <v>14564.135246935222</v>
      </c>
      <c r="F17" s="297">
        <f>'E-Costos'!E28</f>
        <v>14564.135246935222</v>
      </c>
      <c r="G17" s="346">
        <f>'E-Costos'!F28</f>
        <v>14564.135246935222</v>
      </c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</row>
    <row r="18" spans="1:26" ht="12.75" customHeight="1">
      <c r="A18" s="411" t="s">
        <v>710</v>
      </c>
      <c r="B18" s="297"/>
      <c r="C18" s="329">
        <f>('E-Costos'!B10-'E-Costos'!B28)/'E-Costos'!B88*C13</f>
        <v>8396.7713718836203</v>
      </c>
      <c r="D18" s="329">
        <f>('E-Costos'!C10-'E-Costos'!C28)/'E-Costos'!C88*D13</f>
        <v>6469.4334443578364</v>
      </c>
      <c r="E18" s="329">
        <f>('E-Costos'!D10-'E-Costos'!D28)/'E-Costos'!D88*E13</f>
        <v>6467.2713093859074</v>
      </c>
      <c r="F18" s="329">
        <f>('E-Costos'!E10-'E-Costos'!E28)/'E-Costos'!E88*F13</f>
        <v>6467.2713093859074</v>
      </c>
      <c r="G18" s="329">
        <f>('E-Costos'!F10-'E-Costos'!F28)/'E-Costos'!F88*G13</f>
        <v>6467.2713093859074</v>
      </c>
      <c r="H18" s="156" t="s">
        <v>711</v>
      </c>
      <c r="I18" s="160" t="s">
        <v>552</v>
      </c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</row>
    <row r="19" spans="1:26" ht="12.75" customHeight="1">
      <c r="A19" s="411" t="s">
        <v>712</v>
      </c>
      <c r="B19" s="297"/>
      <c r="C19" s="297">
        <f>'E-Costos'!B121*C7</f>
        <v>259190.29253675442</v>
      </c>
      <c r="D19" s="297">
        <f>'E-Costos'!C121*D7</f>
        <v>373890.99406610715</v>
      </c>
      <c r="E19" s="297">
        <f>'E-Costos'!D121*E7</f>
        <v>374020.80324068299</v>
      </c>
      <c r="F19" s="297">
        <f>'E-Costos'!E121*F7</f>
        <v>374020.80324068299</v>
      </c>
      <c r="G19" s="346">
        <f>'E-Costos'!F121*G7</f>
        <v>374020.80324068299</v>
      </c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ht="12.75" customHeight="1">
      <c r="A20" s="411" t="s">
        <v>713</v>
      </c>
      <c r="B20" s="297"/>
      <c r="C20" s="329">
        <f>(('E-Inv AF y Am'!$D$57-C17-C18)/365)*30</f>
        <v>162724.35104442853</v>
      </c>
      <c r="D20" s="329">
        <f>(('E-Inv AF y Am'!$D$57-D17-D18+C17+C18)/365)*30</f>
        <v>165306.77764634058</v>
      </c>
      <c r="E20" s="329">
        <f>(('E-Inv AF y Am'!$D$57-E17-E18+D17+D18)/365)*30</f>
        <v>164880.13528899706</v>
      </c>
      <c r="F20" s="297">
        <f>('E-Inv AF y Am'!$E$57-F17-F18+E17+E18)/365*30</f>
        <v>164879.95757927332</v>
      </c>
      <c r="G20" s="297">
        <f>('E-Inv AF y Am'!$E$57-G17-G18+F17+F18)/365*30</f>
        <v>164879.95757927332</v>
      </c>
      <c r="H20" s="156" t="s">
        <v>714</v>
      </c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ht="12.75" customHeight="1">
      <c r="A21" s="411"/>
      <c r="B21" s="297"/>
      <c r="C21" s="297"/>
      <c r="D21" s="297"/>
      <c r="E21" s="297"/>
      <c r="F21" s="297"/>
      <c r="G21" s="346"/>
      <c r="H21" s="160" t="s">
        <v>552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ht="12.75" customHeight="1">
      <c r="A22" s="410" t="s">
        <v>715</v>
      </c>
      <c r="B22" s="296">
        <f t="shared" ref="B22:G22" si="3">B15-B16</f>
        <v>680107.2612647824</v>
      </c>
      <c r="C22" s="296">
        <f t="shared" si="3"/>
        <v>3060111.2302098069</v>
      </c>
      <c r="D22" s="296">
        <f t="shared" si="3"/>
        <v>3295211.0426897034</v>
      </c>
      <c r="E22" s="296">
        <f t="shared" si="3"/>
        <v>3295484.4490954061</v>
      </c>
      <c r="F22" s="296">
        <f t="shared" si="3"/>
        <v>3295484.6268051299</v>
      </c>
      <c r="G22" s="392">
        <f t="shared" si="3"/>
        <v>3295484.6268051299</v>
      </c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ht="12.75" customHeight="1">
      <c r="A23" s="411"/>
      <c r="B23" s="297"/>
      <c r="C23" s="297"/>
      <c r="D23" s="297"/>
      <c r="E23" s="297"/>
      <c r="F23" s="297"/>
      <c r="G23" s="346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ht="12.75" customHeight="1">
      <c r="A24" s="410" t="s">
        <v>716</v>
      </c>
      <c r="B24" s="296">
        <f>B15</f>
        <v>680107.2612647824</v>
      </c>
      <c r="C24" s="296">
        <f t="shared" ref="C24:G24" si="4">C15-B15</f>
        <v>2828145.1587001523</v>
      </c>
      <c r="D24" s="296">
        <f t="shared" si="4"/>
        <v>347189.96312850947</v>
      </c>
      <c r="E24" s="296">
        <f t="shared" si="4"/>
        <v>-25.588912036735564</v>
      </c>
      <c r="F24" s="296">
        <f t="shared" si="4"/>
        <v>0</v>
      </c>
      <c r="G24" s="392">
        <f t="shared" si="4"/>
        <v>0</v>
      </c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ht="12.75" customHeight="1">
      <c r="A25" s="410" t="s">
        <v>717</v>
      </c>
      <c r="B25" s="296">
        <f>B22</f>
        <v>680107.2612647824</v>
      </c>
      <c r="C25" s="296">
        <f t="shared" ref="C25:G25" si="5">C22-B22</f>
        <v>2380003.9689450245</v>
      </c>
      <c r="D25" s="296">
        <f t="shared" si="5"/>
        <v>235099.81247989647</v>
      </c>
      <c r="E25" s="296">
        <f t="shared" si="5"/>
        <v>273.40640570269898</v>
      </c>
      <c r="F25" s="296">
        <f t="shared" si="5"/>
        <v>0.1777097238227725</v>
      </c>
      <c r="G25" s="392">
        <f t="shared" si="5"/>
        <v>0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ht="12.75" customHeight="1">
      <c r="A26" s="411"/>
      <c r="B26" s="297"/>
      <c r="C26" s="297"/>
      <c r="D26" s="297"/>
      <c r="E26" s="297"/>
      <c r="F26" s="297"/>
      <c r="G26" s="346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</row>
    <row r="27" spans="1:26" ht="12.75" customHeight="1">
      <c r="A27" s="410" t="s">
        <v>423</v>
      </c>
      <c r="B27" s="297"/>
      <c r="C27" s="297"/>
      <c r="D27" s="297"/>
      <c r="E27" s="297"/>
      <c r="F27" s="297"/>
      <c r="G27" s="346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</row>
    <row r="28" spans="1:26" ht="12.75" customHeight="1">
      <c r="A28" s="411" t="s">
        <v>718</v>
      </c>
      <c r="B28" s="297">
        <v>0</v>
      </c>
      <c r="C28" s="297">
        <v>0</v>
      </c>
      <c r="D28" s="297">
        <v>0</v>
      </c>
      <c r="E28" s="297">
        <v>0</v>
      </c>
      <c r="F28" s="297">
        <v>0</v>
      </c>
      <c r="G28" s="346">
        <v>0</v>
      </c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</row>
    <row r="29" spans="1:26" ht="12.75" customHeight="1">
      <c r="A29" s="411" t="s">
        <v>719</v>
      </c>
      <c r="B29" s="297"/>
      <c r="C29" s="297"/>
      <c r="D29" s="297"/>
      <c r="E29" s="297"/>
      <c r="F29" s="297"/>
      <c r="G29" s="346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</row>
    <row r="30" spans="1:26" ht="12.75" customHeight="1">
      <c r="A30" s="411" t="s">
        <v>720</v>
      </c>
      <c r="B30" s="297">
        <f t="shared" ref="B30:B31" si="6">0.21*B10</f>
        <v>37369.496961012992</v>
      </c>
      <c r="C30" s="297">
        <f t="shared" ref="C30:G30" si="7">0.21*(C10-B10)</f>
        <v>241450.14673633847</v>
      </c>
      <c r="D30" s="297">
        <f t="shared" si="7"/>
        <v>0</v>
      </c>
      <c r="E30" s="297">
        <f t="shared" si="7"/>
        <v>0</v>
      </c>
      <c r="F30" s="297">
        <f t="shared" si="7"/>
        <v>0</v>
      </c>
      <c r="G30" s="346">
        <f t="shared" si="7"/>
        <v>0</v>
      </c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</row>
    <row r="31" spans="1:26" ht="12.75" customHeight="1">
      <c r="A31" s="411" t="s">
        <v>721</v>
      </c>
      <c r="B31" s="297">
        <f t="shared" si="6"/>
        <v>34237.8279045913</v>
      </c>
      <c r="C31" s="297">
        <f t="shared" ref="C31:G31" si="8">0.21*(C11-B11)</f>
        <v>8559.4569761478197</v>
      </c>
      <c r="D31" s="297">
        <f t="shared" si="8"/>
        <v>950.41038052348188</v>
      </c>
      <c r="E31" s="297">
        <f t="shared" si="8"/>
        <v>0</v>
      </c>
      <c r="F31" s="297">
        <f t="shared" si="8"/>
        <v>0</v>
      </c>
      <c r="G31" s="346">
        <f t="shared" si="8"/>
        <v>0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</row>
    <row r="32" spans="1:26" ht="12.75" customHeight="1">
      <c r="A32" s="411" t="s">
        <v>722</v>
      </c>
      <c r="B32" s="297">
        <v>0</v>
      </c>
      <c r="C32" s="297">
        <f>(SUM('E-Costos'!B25,'E-Costos'!B30,'E-Costos'!B31,'E-Costos'!B32))*0.21</f>
        <v>8524.0247822723722</v>
      </c>
      <c r="D32" s="297">
        <f>(((SUM('E-Costos'!C25,'E-Costos'!C30,'E-Costos'!C31,'E-Costos'!C32))*0.21)-((SUM('E-Costos'!B25,'E-Costos'!B30,'E-Costos'!B31,'E-Costos'!B32))*0.21))</f>
        <v>141.26250536969928</v>
      </c>
      <c r="E32" s="297">
        <f>(((SUM('E-Costos'!D25,'E-Costos'!D30,'E-Costos'!D31,'E-Costos'!D32))*0.21)-((SUM('E-Costos'!C25,'E-Costos'!C30,'E-Costos'!C31,'E-Costos'!C32))*0.21))</f>
        <v>0</v>
      </c>
      <c r="F32" s="297">
        <f>(((SUM('E-Costos'!E25,'E-Costos'!E30,'E-Costos'!E31,'E-Costos'!E32))*0.21)-((SUM('E-Costos'!D25,'E-Costos'!D30,'E-Costos'!D31,'E-Costos'!D32))*0.21))</f>
        <v>0</v>
      </c>
      <c r="G32" s="346">
        <f>(((SUM('E-Costos'!F25,'E-Costos'!F30,'E-Costos'!F31,'E-Costos'!F32))*0.21)-((SUM('E-Costos'!E25,'E-Costos'!E30,'E-Costos'!E31,'E-Costos'!E32))*0.21))</f>
        <v>0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</row>
    <row r="33" spans="1:26" ht="12.75" customHeight="1">
      <c r="A33" s="411" t="s">
        <v>723</v>
      </c>
      <c r="B33" s="297">
        <v>0</v>
      </c>
      <c r="C33" s="297">
        <f>'Conformación de Datos'!B308</f>
        <v>6020.7315795398299</v>
      </c>
      <c r="D33" s="297">
        <f>'Conformación de Datos'!C308</f>
        <v>227.56887890352209</v>
      </c>
      <c r="E33" s="297">
        <f>'Conformación de Datos'!D308</f>
        <v>0</v>
      </c>
      <c r="F33" s="297">
        <f>'Conformación de Datos'!E308</f>
        <v>0</v>
      </c>
      <c r="G33" s="346">
        <f>'Conformación de Datos'!F308</f>
        <v>0</v>
      </c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</row>
    <row r="34" spans="1:26" ht="12.75" customHeight="1">
      <c r="A34" s="410" t="s">
        <v>724</v>
      </c>
      <c r="B34" s="296">
        <f t="shared" ref="B34:G34" si="9">SUM(B28:B33)</f>
        <v>71607.324865604285</v>
      </c>
      <c r="C34" s="296">
        <f t="shared" si="9"/>
        <v>264554.36007429846</v>
      </c>
      <c r="D34" s="296">
        <f t="shared" si="9"/>
        <v>1319.2417647967031</v>
      </c>
      <c r="E34" s="296">
        <f t="shared" si="9"/>
        <v>0</v>
      </c>
      <c r="F34" s="296">
        <f t="shared" si="9"/>
        <v>0</v>
      </c>
      <c r="G34" s="392">
        <f t="shared" si="9"/>
        <v>0</v>
      </c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</row>
    <row r="35" spans="1:26" ht="12.75" customHeight="1">
      <c r="A35" s="411"/>
      <c r="B35" s="331"/>
      <c r="C35" s="331"/>
      <c r="D35" s="331"/>
      <c r="E35" s="331"/>
      <c r="F35" s="331"/>
      <c r="G35" s="412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</row>
    <row r="36" spans="1:26" ht="13.5" customHeight="1">
      <c r="A36" s="413" t="s">
        <v>725</v>
      </c>
      <c r="B36" s="414">
        <f t="shared" ref="B36:G36" si="10">B25+B34</f>
        <v>751714.58613038668</v>
      </c>
      <c r="C36" s="414">
        <f t="shared" si="10"/>
        <v>2644558.329019323</v>
      </c>
      <c r="D36" s="414">
        <f t="shared" si="10"/>
        <v>236419.05424469316</v>
      </c>
      <c r="E36" s="414">
        <f t="shared" si="10"/>
        <v>273.40640570269898</v>
      </c>
      <c r="F36" s="414">
        <f t="shared" si="10"/>
        <v>0.1777097238227725</v>
      </c>
      <c r="G36" s="415">
        <f t="shared" si="10"/>
        <v>0</v>
      </c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</row>
    <row r="37" spans="1:26" ht="12.75" customHeight="1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</row>
    <row r="38" spans="1:26" ht="12.7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</row>
    <row r="39" spans="1:26" ht="12.75" customHeight="1">
      <c r="A39" s="231" t="s">
        <v>726</v>
      </c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</row>
    <row r="40" spans="1:26" ht="12.75" customHeight="1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</row>
    <row r="41" spans="1:26" ht="12.75" customHeight="1">
      <c r="A41" s="231" t="s">
        <v>727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</row>
    <row r="42" spans="1:26" ht="12.75" customHeight="1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</row>
    <row r="43" spans="1:26" ht="12.75" customHeight="1">
      <c r="A43" s="231" t="s">
        <v>728</v>
      </c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</row>
    <row r="44" spans="1:26" ht="12.75" customHeight="1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</row>
    <row r="45" spans="1:26" ht="12.75" customHeight="1">
      <c r="A45" s="231" t="s">
        <v>729</v>
      </c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</row>
    <row r="46" spans="1:26" ht="12.75" customHeight="1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</row>
    <row r="47" spans="1:26" ht="12.75" customHeight="1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</row>
    <row r="48" spans="1:26" ht="12.75" customHeight="1">
      <c r="A48" s="231"/>
      <c r="B48" s="297">
        <f>(SUM('E-Costos'!B41,'E-Costos'!B46,'E-Costos'!B47,'E-Costos'!B48))*0.21</f>
        <v>58517.83568848166</v>
      </c>
      <c r="C48" s="297">
        <f>(SUM('E-Costos'!C41,'E-Costos'!C46,'E-Costos'!C47,'E-Costos'!C48))*0.21</f>
        <v>0.21</v>
      </c>
      <c r="D48" s="297">
        <f>(SUM('E-Costos'!D41,'E-Costos'!D46,'E-Costos'!D47,'E-Costos'!D48))*0.21</f>
        <v>0.21</v>
      </c>
      <c r="E48" s="297">
        <f>(SUM('E-Costos'!E41,'E-Costos'!E46,'E-Costos'!E47,'E-Costos'!E48))*0.21</f>
        <v>0.21</v>
      </c>
      <c r="F48" s="297">
        <f>(SUM('E-Costos'!F41,'E-Costos'!F46,'E-Costos'!F47,'E-Costos'!F48))*0.21</f>
        <v>0.21</v>
      </c>
      <c r="G48" s="328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</row>
    <row r="49" spans="1:26" ht="12.75" customHeight="1">
      <c r="A49" s="231"/>
      <c r="B49" s="231" t="s">
        <v>371</v>
      </c>
      <c r="C49" s="231" t="s">
        <v>730</v>
      </c>
      <c r="D49" s="231" t="s">
        <v>731</v>
      </c>
      <c r="E49" s="231" t="s">
        <v>732</v>
      </c>
      <c r="F49" s="231" t="s">
        <v>733</v>
      </c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</row>
    <row r="50" spans="1:26" ht="12.75" customHeight="1">
      <c r="A50" s="231" t="s">
        <v>734</v>
      </c>
      <c r="B50" s="416">
        <v>452231</v>
      </c>
      <c r="C50" s="231">
        <v>3119.97</v>
      </c>
      <c r="D50" s="231">
        <v>3119.97</v>
      </c>
      <c r="E50" s="231">
        <v>3119.97</v>
      </c>
      <c r="F50" s="231">
        <v>3119.97</v>
      </c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</row>
    <row r="51" spans="1:26" ht="12.75" customHeight="1">
      <c r="A51" s="231" t="s">
        <v>735</v>
      </c>
      <c r="B51" s="416">
        <v>452231</v>
      </c>
      <c r="C51" s="231">
        <v>-18.05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</row>
    <row r="52" spans="1:26" ht="12.75" customHeight="1">
      <c r="A52" s="231"/>
      <c r="B52" s="231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</row>
    <row r="53" spans="1:26" ht="12.75" customHeight="1">
      <c r="A53" s="231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</row>
    <row r="54" spans="1:26" ht="12.75" customHeight="1">
      <c r="A54" s="231"/>
      <c r="B54" s="231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</row>
    <row r="55" spans="1:26" ht="12.75" customHeight="1">
      <c r="A55" s="231"/>
      <c r="B55" s="231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</row>
    <row r="56" spans="1:26" ht="12.75" customHeight="1">
      <c r="A56" s="231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</row>
    <row r="57" spans="1:26" ht="12.75" customHeight="1">
      <c r="A57" s="231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</row>
    <row r="58" spans="1:26" ht="12.75" customHeight="1">
      <c r="A58" s="231"/>
      <c r="B58" s="231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</row>
    <row r="59" spans="1:26" ht="12.75" customHeight="1">
      <c r="A59" s="231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</row>
    <row r="60" spans="1:26" ht="12.75" customHeight="1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</row>
    <row r="61" spans="1:26" ht="12.75" customHeight="1">
      <c r="A61" s="231"/>
      <c r="B61" s="231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</row>
    <row r="62" spans="1:26" ht="12.75" customHeight="1">
      <c r="A62" s="231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</row>
    <row r="63" spans="1:26" ht="12.75" customHeight="1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</row>
    <row r="64" spans="1:26" ht="12.75" customHeight="1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</row>
    <row r="65" spans="1:26" ht="12.75" customHeight="1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</row>
    <row r="66" spans="1:26" ht="12.75" customHeight="1">
      <c r="A66" s="231"/>
      <c r="B66" s="231"/>
      <c r="C66" s="23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</row>
    <row r="67" spans="1:26" ht="12.75" customHeight="1">
      <c r="A67" s="231"/>
      <c r="B67" s="231"/>
      <c r="C67" s="23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31"/>
      <c r="Z67" s="231"/>
    </row>
    <row r="68" spans="1:26" ht="12.75" customHeight="1">
      <c r="A68" s="231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1"/>
      <c r="Y68" s="231"/>
      <c r="Z68" s="231"/>
    </row>
    <row r="69" spans="1:26" ht="12.75" customHeight="1">
      <c r="A69" s="231"/>
      <c r="B69" s="231"/>
      <c r="C69" s="23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1"/>
      <c r="W69" s="231"/>
      <c r="X69" s="231"/>
      <c r="Y69" s="231"/>
      <c r="Z69" s="231"/>
    </row>
    <row r="70" spans="1:26" ht="12.75" customHeight="1">
      <c r="A70" s="231"/>
      <c r="B70" s="231"/>
      <c r="C70" s="231"/>
      <c r="D70" s="231"/>
      <c r="E70" s="231"/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31"/>
      <c r="Z70" s="231"/>
    </row>
    <row r="71" spans="1:26" ht="12.75" customHeight="1">
      <c r="A71" s="231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</row>
    <row r="72" spans="1:26" ht="12.75" customHeight="1">
      <c r="A72" s="231"/>
      <c r="B72" s="231"/>
      <c r="C72" s="231"/>
      <c r="D72" s="231"/>
      <c r="E72" s="231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  <c r="U72" s="231"/>
      <c r="V72" s="231"/>
      <c r="W72" s="231"/>
      <c r="X72" s="231"/>
      <c r="Y72" s="231"/>
      <c r="Z72" s="231"/>
    </row>
    <row r="73" spans="1:26" ht="12.75" customHeight="1">
      <c r="A73" s="231"/>
      <c r="B73" s="231"/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231"/>
    </row>
    <row r="74" spans="1:26" ht="12.75" customHeight="1">
      <c r="A74" s="231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31"/>
      <c r="Z74" s="231"/>
    </row>
    <row r="75" spans="1:26" ht="12.75" customHeight="1">
      <c r="A75" s="231"/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231"/>
    </row>
    <row r="76" spans="1:26" ht="12.75" customHeight="1">
      <c r="A76" s="231"/>
      <c r="B76" s="231"/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31"/>
      <c r="Z76" s="231"/>
    </row>
    <row r="77" spans="1:26" ht="12.75" customHeight="1">
      <c r="A77" s="231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231"/>
    </row>
    <row r="78" spans="1:26" ht="12.75" customHeight="1">
      <c r="A78" s="231"/>
      <c r="B78" s="231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</row>
    <row r="79" spans="1:26" ht="12.75" customHeight="1">
      <c r="A79" s="231"/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231"/>
    </row>
    <row r="80" spans="1:26" ht="12.75" customHeight="1">
      <c r="A80" s="231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31"/>
      <c r="Z80" s="231"/>
    </row>
    <row r="81" spans="1:26" ht="12.75" customHeight="1">
      <c r="A81" s="231"/>
      <c r="B81" s="231"/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</row>
    <row r="82" spans="1:26" ht="12.75" customHeight="1">
      <c r="A82" s="231"/>
      <c r="B82" s="231"/>
      <c r="C82" s="231"/>
      <c r="D82" s="231"/>
      <c r="E82" s="231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</row>
    <row r="83" spans="1:26" ht="12.75" customHeight="1">
      <c r="A83" s="231"/>
      <c r="B83" s="231"/>
      <c r="C83" s="231"/>
      <c r="D83" s="231"/>
      <c r="E83" s="231"/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</row>
    <row r="84" spans="1:26" ht="12.75" customHeight="1">
      <c r="A84" s="231"/>
      <c r="B84" s="231"/>
      <c r="C84" s="231"/>
      <c r="D84" s="231"/>
      <c r="E84" s="231"/>
      <c r="F84" s="231"/>
      <c r="G84" s="231"/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</row>
    <row r="85" spans="1:26" ht="12.75" customHeight="1">
      <c r="A85" s="231"/>
      <c r="B85" s="231"/>
      <c r="C85" s="23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1"/>
      <c r="W85" s="231"/>
      <c r="X85" s="231"/>
      <c r="Y85" s="231"/>
      <c r="Z85" s="231"/>
    </row>
    <row r="86" spans="1:26" ht="12.75" customHeight="1">
      <c r="A86" s="231"/>
      <c r="B86" s="231"/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  <c r="P86" s="231"/>
      <c r="Q86" s="231"/>
      <c r="R86" s="231"/>
      <c r="S86" s="231"/>
      <c r="T86" s="231"/>
      <c r="U86" s="231"/>
      <c r="V86" s="231"/>
      <c r="W86" s="231"/>
      <c r="X86" s="231"/>
      <c r="Y86" s="231"/>
      <c r="Z86" s="231"/>
    </row>
    <row r="87" spans="1:26" ht="12.75" customHeight="1">
      <c r="A87" s="231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</row>
    <row r="88" spans="1:26" ht="12.75" customHeight="1">
      <c r="A88" s="231"/>
      <c r="B88" s="231"/>
      <c r="C88" s="231"/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1"/>
      <c r="X88" s="231"/>
      <c r="Y88" s="231"/>
      <c r="Z88" s="231"/>
    </row>
    <row r="89" spans="1:26" ht="12.75" customHeight="1">
      <c r="A89" s="231"/>
      <c r="B89" s="231"/>
      <c r="C89" s="231"/>
      <c r="D89" s="231"/>
      <c r="E89" s="231"/>
      <c r="F89" s="231"/>
      <c r="G89" s="231"/>
      <c r="H89" s="231"/>
      <c r="I89" s="231"/>
      <c r="J89" s="231"/>
      <c r="K89" s="231"/>
      <c r="L89" s="231"/>
      <c r="M89" s="231"/>
      <c r="N89" s="231"/>
      <c r="O89" s="231"/>
      <c r="P89" s="231"/>
      <c r="Q89" s="231"/>
      <c r="R89" s="231"/>
      <c r="S89" s="231"/>
      <c r="T89" s="231"/>
      <c r="U89" s="231"/>
      <c r="V89" s="231"/>
      <c r="W89" s="231"/>
      <c r="X89" s="231"/>
      <c r="Y89" s="231"/>
      <c r="Z89" s="231"/>
    </row>
    <row r="90" spans="1:26" ht="12.75" customHeight="1">
      <c r="A90" s="231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</row>
    <row r="91" spans="1:26" ht="12.75" customHeight="1">
      <c r="A91" s="231"/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1"/>
      <c r="M91" s="231"/>
      <c r="N91" s="231"/>
      <c r="O91" s="231"/>
      <c r="P91" s="231"/>
      <c r="Q91" s="231"/>
      <c r="R91" s="231"/>
      <c r="S91" s="231"/>
      <c r="T91" s="231"/>
      <c r="U91" s="231"/>
      <c r="V91" s="231"/>
      <c r="W91" s="231"/>
      <c r="X91" s="231"/>
      <c r="Y91" s="231"/>
      <c r="Z91" s="231"/>
    </row>
    <row r="92" spans="1:26" ht="12.75" customHeight="1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</row>
    <row r="93" spans="1:26" ht="12.75" customHeight="1">
      <c r="A93" s="231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1"/>
      <c r="Y93" s="231"/>
      <c r="Z93" s="231"/>
    </row>
    <row r="94" spans="1:26" ht="12.75" customHeight="1">
      <c r="A94" s="231"/>
      <c r="B94" s="231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1"/>
    </row>
    <row r="95" spans="1:26" ht="12.75" customHeight="1">
      <c r="A95" s="231"/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  <c r="Z95" s="231"/>
    </row>
    <row r="96" spans="1:26" ht="12.75" customHeight="1">
      <c r="A96" s="231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31"/>
      <c r="Z96" s="231"/>
    </row>
    <row r="97" spans="1:26" ht="12.75" customHeight="1">
      <c r="A97" s="231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</row>
    <row r="98" spans="1:26" ht="12.75" customHeight="1">
      <c r="A98" s="231"/>
      <c r="B98" s="231"/>
      <c r="C98" s="231"/>
      <c r="D98" s="231"/>
      <c r="E98" s="231"/>
      <c r="F98" s="231"/>
      <c r="G98" s="231"/>
      <c r="H98" s="231"/>
      <c r="I98" s="231"/>
      <c r="J98" s="231"/>
      <c r="K98" s="231"/>
      <c r="L98" s="231"/>
      <c r="M98" s="231"/>
      <c r="N98" s="231"/>
      <c r="O98" s="231"/>
      <c r="P98" s="231"/>
      <c r="Q98" s="231"/>
      <c r="R98" s="231"/>
      <c r="S98" s="231"/>
      <c r="T98" s="231"/>
      <c r="U98" s="231"/>
      <c r="V98" s="231"/>
      <c r="W98" s="231"/>
      <c r="X98" s="231"/>
      <c r="Y98" s="231"/>
      <c r="Z98" s="231"/>
    </row>
    <row r="99" spans="1:26" ht="12.75" customHeight="1">
      <c r="A99" s="231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1"/>
      <c r="Y99" s="231"/>
      <c r="Z99" s="231"/>
    </row>
    <row r="100" spans="1:26" ht="12.75" customHeight="1">
      <c r="A100" s="231"/>
      <c r="B100" s="231"/>
      <c r="C100" s="231"/>
      <c r="D100" s="231"/>
      <c r="E100" s="231"/>
      <c r="F100" s="231"/>
      <c r="G100" s="231"/>
      <c r="H100" s="231"/>
      <c r="I100" s="231"/>
      <c r="J100" s="231"/>
      <c r="K100" s="231"/>
      <c r="L100" s="231"/>
      <c r="M100" s="231"/>
      <c r="N100" s="231"/>
      <c r="O100" s="231"/>
      <c r="P100" s="231"/>
      <c r="Q100" s="231"/>
      <c r="R100" s="231"/>
      <c r="S100" s="231"/>
      <c r="T100" s="231"/>
      <c r="U100" s="231"/>
      <c r="V100" s="231"/>
      <c r="W100" s="231"/>
      <c r="X100" s="231"/>
      <c r="Y100" s="231"/>
      <c r="Z100" s="231"/>
    </row>
    <row r="101" spans="1:26" ht="12.75" customHeight="1">
      <c r="A101" s="231"/>
      <c r="B101" s="231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</row>
    <row r="102" spans="1:26" ht="12.75" customHeight="1">
      <c r="A102" s="231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</row>
    <row r="103" spans="1:26" ht="12.75" customHeight="1">
      <c r="A103" s="231"/>
      <c r="B103" s="231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</row>
    <row r="104" spans="1:26" ht="12.75" customHeight="1">
      <c r="A104" s="231"/>
      <c r="B104" s="231"/>
      <c r="C104" s="231"/>
      <c r="D104" s="231"/>
      <c r="E104" s="231"/>
      <c r="F104" s="231"/>
      <c r="G104" s="231"/>
      <c r="H104" s="231"/>
      <c r="I104" s="231"/>
      <c r="J104" s="231"/>
      <c r="K104" s="231"/>
      <c r="L104" s="231"/>
      <c r="M104" s="231"/>
      <c r="N104" s="231"/>
      <c r="O104" s="231"/>
      <c r="P104" s="231"/>
      <c r="Q104" s="231"/>
      <c r="R104" s="231"/>
      <c r="S104" s="231"/>
      <c r="T104" s="231"/>
      <c r="U104" s="231"/>
      <c r="V104" s="231"/>
      <c r="W104" s="231"/>
      <c r="X104" s="231"/>
      <c r="Y104" s="231"/>
      <c r="Z104" s="231"/>
    </row>
    <row r="105" spans="1:26" ht="12.75" customHeight="1">
      <c r="A105" s="231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</row>
    <row r="106" spans="1:26" ht="12.75" customHeight="1">
      <c r="A106" s="231"/>
      <c r="B106" s="231"/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</row>
    <row r="107" spans="1:26" ht="12.75" customHeight="1">
      <c r="A107" s="231"/>
      <c r="B107" s="231"/>
      <c r="C107" s="231"/>
      <c r="D107" s="231"/>
      <c r="E107" s="231"/>
      <c r="F107" s="231"/>
      <c r="G107" s="231"/>
      <c r="H107" s="231"/>
      <c r="I107" s="231"/>
      <c r="J107" s="231"/>
      <c r="K107" s="231"/>
      <c r="L107" s="231"/>
      <c r="M107" s="231"/>
      <c r="N107" s="231"/>
      <c r="O107" s="231"/>
      <c r="P107" s="231"/>
      <c r="Q107" s="231"/>
      <c r="R107" s="231"/>
      <c r="S107" s="231"/>
      <c r="T107" s="231"/>
      <c r="U107" s="231"/>
      <c r="V107" s="231"/>
      <c r="W107" s="231"/>
      <c r="X107" s="231"/>
      <c r="Y107" s="231"/>
      <c r="Z107" s="231"/>
    </row>
    <row r="108" spans="1:26" ht="12.75" customHeight="1">
      <c r="A108" s="231"/>
      <c r="B108" s="231"/>
      <c r="C108" s="231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</row>
    <row r="109" spans="1:26" ht="12.75" customHeight="1">
      <c r="A109" s="231"/>
      <c r="B109" s="231"/>
      <c r="C109" s="231"/>
      <c r="D109" s="231"/>
      <c r="E109" s="231"/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31"/>
      <c r="Z109" s="231"/>
    </row>
    <row r="110" spans="1:26" ht="12.75" customHeight="1">
      <c r="A110" s="231"/>
      <c r="B110" s="231"/>
      <c r="C110" s="231"/>
      <c r="D110" s="231"/>
      <c r="E110" s="231"/>
      <c r="F110" s="231"/>
      <c r="G110" s="231"/>
      <c r="H110" s="231"/>
      <c r="I110" s="231"/>
      <c r="J110" s="231"/>
      <c r="K110" s="231"/>
      <c r="L110" s="231"/>
      <c r="M110" s="231"/>
      <c r="N110" s="231"/>
      <c r="O110" s="231"/>
      <c r="P110" s="231"/>
      <c r="Q110" s="231"/>
      <c r="R110" s="231"/>
      <c r="S110" s="231"/>
      <c r="T110" s="231"/>
      <c r="U110" s="231"/>
      <c r="V110" s="231"/>
      <c r="W110" s="231"/>
      <c r="X110" s="231"/>
      <c r="Y110" s="231"/>
      <c r="Z110" s="231"/>
    </row>
    <row r="111" spans="1:26" ht="12.75" customHeight="1">
      <c r="A111" s="231"/>
      <c r="B111" s="23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31"/>
      <c r="Z111" s="231"/>
    </row>
    <row r="112" spans="1:26" ht="12.75" customHeight="1">
      <c r="A112" s="231"/>
      <c r="B112" s="231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231"/>
    </row>
    <row r="113" spans="1:26" ht="12.75" customHeight="1">
      <c r="A113" s="231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1"/>
      <c r="X113" s="231"/>
      <c r="Y113" s="231"/>
      <c r="Z113" s="231"/>
    </row>
    <row r="114" spans="1:26" ht="12.75" customHeight="1">
      <c r="A114" s="231"/>
      <c r="B114" s="231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231"/>
    </row>
    <row r="115" spans="1:26" ht="12.75" customHeight="1">
      <c r="A115" s="231"/>
      <c r="B115" s="231"/>
      <c r="C115" s="231"/>
      <c r="D115" s="231"/>
      <c r="E115" s="231"/>
      <c r="F115" s="231"/>
      <c r="G115" s="231"/>
      <c r="H115" s="231"/>
      <c r="I115" s="231"/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1"/>
      <c r="X115" s="231"/>
      <c r="Y115" s="231"/>
      <c r="Z115" s="231"/>
    </row>
    <row r="116" spans="1:26" ht="12.75" customHeight="1">
      <c r="A116" s="231"/>
      <c r="B116" s="231"/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231"/>
    </row>
    <row r="117" spans="1:26" ht="12.75" customHeight="1">
      <c r="A117" s="231"/>
      <c r="B117" s="231"/>
      <c r="C117" s="231"/>
      <c r="D117" s="231"/>
      <c r="E117" s="231"/>
      <c r="F117" s="231"/>
      <c r="G117" s="231"/>
      <c r="H117" s="231"/>
      <c r="I117" s="231"/>
      <c r="J117" s="231"/>
      <c r="K117" s="231"/>
      <c r="L117" s="231"/>
      <c r="M117" s="231"/>
      <c r="N117" s="231"/>
      <c r="O117" s="231"/>
      <c r="P117" s="231"/>
      <c r="Q117" s="231"/>
      <c r="R117" s="231"/>
      <c r="S117" s="231"/>
      <c r="T117" s="231"/>
      <c r="U117" s="231"/>
      <c r="V117" s="231"/>
      <c r="W117" s="231"/>
      <c r="X117" s="231"/>
      <c r="Y117" s="231"/>
      <c r="Z117" s="231"/>
    </row>
    <row r="118" spans="1:26" ht="12.75" customHeight="1">
      <c r="A118" s="231"/>
      <c r="B118" s="231"/>
      <c r="C118" s="231"/>
      <c r="D118" s="231"/>
      <c r="E118" s="231"/>
      <c r="F118" s="231"/>
      <c r="G118" s="231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31"/>
      <c r="Z118" s="231"/>
    </row>
    <row r="119" spans="1:26" ht="12.75" customHeight="1">
      <c r="A119" s="231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31"/>
      <c r="O119" s="231"/>
      <c r="P119" s="231"/>
      <c r="Q119" s="231"/>
      <c r="R119" s="231"/>
      <c r="S119" s="231"/>
      <c r="T119" s="231"/>
      <c r="U119" s="231"/>
      <c r="V119" s="231"/>
      <c r="W119" s="231"/>
      <c r="X119" s="231"/>
      <c r="Y119" s="231"/>
      <c r="Z119" s="231"/>
    </row>
    <row r="120" spans="1:26" ht="12.75" customHeight="1">
      <c r="A120" s="231"/>
      <c r="B120" s="231"/>
      <c r="C120" s="231"/>
      <c r="D120" s="231"/>
      <c r="E120" s="231"/>
      <c r="F120" s="231"/>
      <c r="G120" s="231"/>
      <c r="H120" s="231"/>
      <c r="I120" s="231"/>
      <c r="J120" s="231"/>
      <c r="K120" s="231"/>
      <c r="L120" s="231"/>
      <c r="M120" s="231"/>
      <c r="N120" s="231"/>
      <c r="O120" s="231"/>
      <c r="P120" s="231"/>
      <c r="Q120" s="231"/>
      <c r="R120" s="231"/>
      <c r="S120" s="231"/>
      <c r="T120" s="231"/>
      <c r="U120" s="231"/>
      <c r="V120" s="231"/>
      <c r="W120" s="231"/>
      <c r="X120" s="231"/>
      <c r="Y120" s="231"/>
      <c r="Z120" s="231"/>
    </row>
    <row r="121" spans="1:26" ht="12.75" customHeight="1">
      <c r="A121" s="231"/>
      <c r="B121" s="231"/>
      <c r="C121" s="231"/>
      <c r="D121" s="231"/>
      <c r="E121" s="231"/>
      <c r="F121" s="231"/>
      <c r="G121" s="231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31"/>
      <c r="Z121" s="231"/>
    </row>
    <row r="122" spans="1:26" ht="12.75" customHeight="1">
      <c r="A122" s="231"/>
      <c r="B122" s="231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231"/>
    </row>
    <row r="123" spans="1:26" ht="12.75" customHeight="1">
      <c r="A123" s="231"/>
      <c r="B123" s="231"/>
      <c r="C123" s="231"/>
      <c r="D123" s="231"/>
      <c r="E123" s="231"/>
      <c r="F123" s="231"/>
      <c r="G123" s="231"/>
      <c r="H123" s="231"/>
      <c r="I123" s="231"/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1"/>
      <c r="X123" s="231"/>
      <c r="Y123" s="231"/>
      <c r="Z123" s="231"/>
    </row>
    <row r="124" spans="1:26" ht="12.75" customHeight="1">
      <c r="A124" s="231"/>
      <c r="B124" s="231"/>
      <c r="C124" s="231"/>
      <c r="D124" s="231"/>
      <c r="E124" s="231"/>
      <c r="F124" s="231"/>
      <c r="G124" s="231"/>
      <c r="H124" s="231"/>
      <c r="I124" s="231"/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1"/>
      <c r="X124" s="231"/>
      <c r="Y124" s="231"/>
      <c r="Z124" s="231"/>
    </row>
    <row r="125" spans="1:26" ht="12.75" customHeight="1">
      <c r="A125" s="231"/>
      <c r="B125" s="231"/>
      <c r="C125" s="231"/>
      <c r="D125" s="231"/>
      <c r="E125" s="231"/>
      <c r="F125" s="231"/>
      <c r="G125" s="231"/>
      <c r="H125" s="231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1"/>
      <c r="X125" s="231"/>
      <c r="Y125" s="231"/>
      <c r="Z125" s="231"/>
    </row>
    <row r="126" spans="1:26" ht="12.75" customHeight="1">
      <c r="A126" s="231"/>
      <c r="B126" s="231"/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</row>
    <row r="127" spans="1:26" ht="12.75" customHeight="1">
      <c r="A127" s="231"/>
      <c r="B127" s="231"/>
      <c r="C127" s="231"/>
      <c r="D127" s="231"/>
      <c r="E127" s="231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1"/>
      <c r="S127" s="231"/>
      <c r="T127" s="231"/>
      <c r="U127" s="231"/>
      <c r="V127" s="231"/>
      <c r="W127" s="231"/>
      <c r="X127" s="231"/>
      <c r="Y127" s="231"/>
      <c r="Z127" s="231"/>
    </row>
    <row r="128" spans="1:26" ht="12.75" customHeight="1">
      <c r="A128" s="231"/>
      <c r="B128" s="231"/>
      <c r="C128" s="231"/>
      <c r="D128" s="231"/>
      <c r="E128" s="231"/>
      <c r="F128" s="231"/>
      <c r="G128" s="231"/>
      <c r="H128" s="231"/>
      <c r="I128" s="231"/>
      <c r="J128" s="231"/>
      <c r="K128" s="231"/>
      <c r="L128" s="231"/>
      <c r="M128" s="231"/>
      <c r="N128" s="231"/>
      <c r="O128" s="231"/>
      <c r="P128" s="231"/>
      <c r="Q128" s="231"/>
      <c r="R128" s="231"/>
      <c r="S128" s="231"/>
      <c r="T128" s="231"/>
      <c r="U128" s="231"/>
      <c r="V128" s="231"/>
      <c r="W128" s="231"/>
      <c r="X128" s="231"/>
      <c r="Y128" s="231"/>
      <c r="Z128" s="231"/>
    </row>
    <row r="129" spans="1:26" ht="12.75" customHeight="1">
      <c r="A129" s="231"/>
      <c r="B129" s="231"/>
      <c r="C129" s="231"/>
      <c r="D129" s="231"/>
      <c r="E129" s="231"/>
      <c r="F129" s="231"/>
      <c r="G129" s="231"/>
      <c r="H129" s="231"/>
      <c r="I129" s="231"/>
      <c r="J129" s="231"/>
      <c r="K129" s="231"/>
      <c r="L129" s="231"/>
      <c r="M129" s="231"/>
      <c r="N129" s="231"/>
      <c r="O129" s="231"/>
      <c r="P129" s="231"/>
      <c r="Q129" s="231"/>
      <c r="R129" s="231"/>
      <c r="S129" s="231"/>
      <c r="T129" s="231"/>
      <c r="U129" s="231"/>
      <c r="V129" s="231"/>
      <c r="W129" s="231"/>
      <c r="X129" s="231"/>
      <c r="Y129" s="231"/>
      <c r="Z129" s="231"/>
    </row>
    <row r="130" spans="1:26" ht="12.75" customHeight="1">
      <c r="A130" s="231"/>
      <c r="B130" s="231"/>
      <c r="C130" s="231"/>
      <c r="D130" s="231"/>
      <c r="E130" s="231"/>
      <c r="F130" s="231"/>
      <c r="G130" s="231"/>
      <c r="H130" s="231"/>
      <c r="I130" s="231"/>
      <c r="J130" s="231"/>
      <c r="K130" s="231"/>
      <c r="L130" s="231"/>
      <c r="M130" s="231"/>
      <c r="N130" s="231"/>
      <c r="O130" s="231"/>
      <c r="P130" s="231"/>
      <c r="Q130" s="231"/>
      <c r="R130" s="231"/>
      <c r="S130" s="231"/>
      <c r="T130" s="231"/>
      <c r="U130" s="231"/>
      <c r="V130" s="231"/>
      <c r="W130" s="231"/>
      <c r="X130" s="231"/>
      <c r="Y130" s="231"/>
      <c r="Z130" s="231"/>
    </row>
    <row r="131" spans="1:26" ht="12.75" customHeight="1">
      <c r="A131" s="231"/>
      <c r="B131" s="231"/>
      <c r="C131" s="231"/>
      <c r="D131" s="231"/>
      <c r="E131" s="231"/>
      <c r="F131" s="231"/>
      <c r="G131" s="231"/>
      <c r="H131" s="231"/>
      <c r="I131" s="231"/>
      <c r="J131" s="231"/>
      <c r="K131" s="231"/>
      <c r="L131" s="231"/>
      <c r="M131" s="231"/>
      <c r="N131" s="231"/>
      <c r="O131" s="231"/>
      <c r="P131" s="231"/>
      <c r="Q131" s="231"/>
      <c r="R131" s="231"/>
      <c r="S131" s="231"/>
      <c r="T131" s="231"/>
      <c r="U131" s="231"/>
      <c r="V131" s="231"/>
      <c r="W131" s="231"/>
      <c r="X131" s="231"/>
      <c r="Y131" s="231"/>
      <c r="Z131" s="231"/>
    </row>
    <row r="132" spans="1:26" ht="12.75" customHeight="1">
      <c r="A132" s="231"/>
      <c r="B132" s="231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  <c r="Q132" s="231"/>
      <c r="R132" s="231"/>
      <c r="S132" s="231"/>
      <c r="T132" s="231"/>
      <c r="U132" s="231"/>
      <c r="V132" s="231"/>
      <c r="W132" s="231"/>
      <c r="X132" s="231"/>
      <c r="Y132" s="231"/>
      <c r="Z132" s="231"/>
    </row>
    <row r="133" spans="1:26" ht="12.75" customHeight="1">
      <c r="A133" s="231"/>
      <c r="B133" s="231"/>
      <c r="C133" s="231"/>
      <c r="D133" s="231"/>
      <c r="E133" s="231"/>
      <c r="F133" s="231"/>
      <c r="G133" s="231"/>
      <c r="H133" s="231"/>
      <c r="I133" s="231"/>
      <c r="J133" s="231"/>
      <c r="K133" s="231"/>
      <c r="L133" s="231"/>
      <c r="M133" s="231"/>
      <c r="N133" s="231"/>
      <c r="O133" s="231"/>
      <c r="P133" s="231"/>
      <c r="Q133" s="231"/>
      <c r="R133" s="231"/>
      <c r="S133" s="231"/>
      <c r="T133" s="231"/>
      <c r="U133" s="231"/>
      <c r="V133" s="231"/>
      <c r="W133" s="231"/>
      <c r="X133" s="231"/>
      <c r="Y133" s="231"/>
      <c r="Z133" s="231"/>
    </row>
    <row r="134" spans="1:26" ht="12.75" customHeight="1">
      <c r="A134" s="231"/>
      <c r="B134" s="231"/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  <c r="M134" s="231"/>
      <c r="N134" s="231"/>
      <c r="O134" s="231"/>
      <c r="P134" s="231"/>
      <c r="Q134" s="231"/>
      <c r="R134" s="231"/>
      <c r="S134" s="231"/>
      <c r="T134" s="231"/>
      <c r="U134" s="231"/>
      <c r="V134" s="231"/>
      <c r="W134" s="231"/>
      <c r="X134" s="231"/>
      <c r="Y134" s="231"/>
      <c r="Z134" s="231"/>
    </row>
    <row r="135" spans="1:26" ht="12.75" customHeight="1">
      <c r="A135" s="231"/>
      <c r="B135" s="231"/>
      <c r="C135" s="231"/>
      <c r="D135" s="231"/>
      <c r="E135" s="231"/>
      <c r="F135" s="231"/>
      <c r="G135" s="231"/>
      <c r="H135" s="231"/>
      <c r="I135" s="231"/>
      <c r="J135" s="231"/>
      <c r="K135" s="231"/>
      <c r="L135" s="231"/>
      <c r="M135" s="231"/>
      <c r="N135" s="231"/>
      <c r="O135" s="231"/>
      <c r="P135" s="231"/>
      <c r="Q135" s="231"/>
      <c r="R135" s="231"/>
      <c r="S135" s="231"/>
      <c r="T135" s="231"/>
      <c r="U135" s="231"/>
      <c r="V135" s="231"/>
      <c r="W135" s="231"/>
      <c r="X135" s="231"/>
      <c r="Y135" s="231"/>
      <c r="Z135" s="231"/>
    </row>
    <row r="136" spans="1:26" ht="12.75" customHeight="1">
      <c r="A136" s="231"/>
      <c r="B136" s="231"/>
      <c r="C136" s="231"/>
      <c r="D136" s="231"/>
      <c r="E136" s="231"/>
      <c r="F136" s="231"/>
      <c r="G136" s="231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31"/>
      <c r="Z136" s="231"/>
    </row>
    <row r="137" spans="1:26" ht="12.75" customHeight="1">
      <c r="A137" s="231"/>
      <c r="B137" s="231"/>
      <c r="C137" s="231"/>
      <c r="D137" s="231"/>
      <c r="E137" s="231"/>
      <c r="F137" s="231"/>
      <c r="G137" s="231"/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</row>
    <row r="138" spans="1:26" ht="12.75" customHeight="1">
      <c r="A138" s="231"/>
      <c r="B138" s="231"/>
      <c r="C138" s="231"/>
      <c r="D138" s="231"/>
      <c r="E138" s="231"/>
      <c r="F138" s="231"/>
      <c r="G138" s="231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</row>
    <row r="139" spans="1:26" ht="12.75" customHeight="1">
      <c r="A139" s="231"/>
      <c r="B139" s="231"/>
      <c r="C139" s="231"/>
      <c r="D139" s="231"/>
      <c r="E139" s="231"/>
      <c r="F139" s="231"/>
      <c r="G139" s="231"/>
      <c r="H139" s="231"/>
      <c r="I139" s="231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</row>
    <row r="140" spans="1:26" ht="12.75" customHeight="1">
      <c r="A140" s="231"/>
      <c r="B140" s="231"/>
      <c r="C140" s="231"/>
      <c r="D140" s="231"/>
      <c r="E140" s="231"/>
      <c r="F140" s="231"/>
      <c r="G140" s="231"/>
      <c r="H140" s="231"/>
      <c r="I140" s="231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</row>
    <row r="141" spans="1:26" ht="12.75" customHeight="1">
      <c r="A141" s="231"/>
      <c r="B141" s="231"/>
      <c r="C141" s="231"/>
      <c r="D141" s="231"/>
      <c r="E141" s="231"/>
      <c r="F141" s="231"/>
      <c r="G141" s="231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</row>
    <row r="142" spans="1:26" ht="12.75" customHeight="1">
      <c r="A142" s="231"/>
      <c r="B142" s="231"/>
      <c r="C142" s="231"/>
      <c r="D142" s="231"/>
      <c r="E142" s="231"/>
      <c r="F142" s="231"/>
      <c r="G142" s="231"/>
      <c r="H142" s="231"/>
      <c r="I142" s="231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</row>
    <row r="143" spans="1:26" ht="12.75" customHeight="1">
      <c r="A143" s="231"/>
      <c r="B143" s="231"/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  <c r="P143" s="231"/>
      <c r="Q143" s="231"/>
      <c r="R143" s="231"/>
      <c r="S143" s="231"/>
      <c r="T143" s="231"/>
      <c r="U143" s="231"/>
      <c r="V143" s="231"/>
      <c r="W143" s="231"/>
      <c r="X143" s="231"/>
      <c r="Y143" s="231"/>
      <c r="Z143" s="231"/>
    </row>
    <row r="144" spans="1:26" ht="12.75" customHeight="1">
      <c r="A144" s="231"/>
      <c r="B144" s="231"/>
      <c r="C144" s="231"/>
      <c r="D144" s="231"/>
      <c r="E144" s="231"/>
      <c r="F144" s="231"/>
      <c r="G144" s="231"/>
      <c r="H144" s="231"/>
      <c r="I144" s="231"/>
      <c r="J144" s="231"/>
      <c r="K144" s="231"/>
      <c r="L144" s="231"/>
      <c r="M144" s="231"/>
      <c r="N144" s="231"/>
      <c r="O144" s="231"/>
      <c r="P144" s="231"/>
      <c r="Q144" s="231"/>
      <c r="R144" s="231"/>
      <c r="S144" s="231"/>
      <c r="T144" s="231"/>
      <c r="U144" s="231"/>
      <c r="V144" s="231"/>
      <c r="W144" s="231"/>
      <c r="X144" s="231"/>
      <c r="Y144" s="231"/>
      <c r="Z144" s="231"/>
    </row>
    <row r="145" spans="1:26" ht="12.75" customHeight="1">
      <c r="A145" s="231"/>
      <c r="B145" s="231"/>
      <c r="C145" s="231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</row>
    <row r="146" spans="1:26" ht="12.75" customHeight="1">
      <c r="A146" s="231"/>
      <c r="B146" s="231"/>
      <c r="C146" s="231"/>
      <c r="D146" s="231"/>
      <c r="E146" s="231"/>
      <c r="F146" s="231"/>
      <c r="G146" s="231"/>
      <c r="H146" s="231"/>
      <c r="I146" s="231"/>
      <c r="J146" s="231"/>
      <c r="K146" s="231"/>
      <c r="L146" s="231"/>
      <c r="M146" s="231"/>
      <c r="N146" s="231"/>
      <c r="O146" s="231"/>
      <c r="P146" s="231"/>
      <c r="Q146" s="231"/>
      <c r="R146" s="231"/>
      <c r="S146" s="231"/>
      <c r="T146" s="231"/>
      <c r="U146" s="231"/>
      <c r="V146" s="231"/>
      <c r="W146" s="231"/>
      <c r="X146" s="231"/>
      <c r="Y146" s="231"/>
      <c r="Z146" s="231"/>
    </row>
    <row r="147" spans="1:26" ht="12.75" customHeight="1">
      <c r="A147" s="231"/>
      <c r="B147" s="231"/>
      <c r="C147" s="231"/>
      <c r="D147" s="231"/>
      <c r="E147" s="231"/>
      <c r="F147" s="231"/>
      <c r="G147" s="231"/>
      <c r="H147" s="231"/>
      <c r="I147" s="231"/>
      <c r="J147" s="231"/>
      <c r="K147" s="231"/>
      <c r="L147" s="231"/>
      <c r="M147" s="231"/>
      <c r="N147" s="231"/>
      <c r="O147" s="231"/>
      <c r="P147" s="231"/>
      <c r="Q147" s="231"/>
      <c r="R147" s="231"/>
      <c r="S147" s="231"/>
      <c r="T147" s="231"/>
      <c r="U147" s="231"/>
      <c r="V147" s="231"/>
      <c r="W147" s="231"/>
      <c r="X147" s="231"/>
      <c r="Y147" s="231"/>
      <c r="Z147" s="231"/>
    </row>
    <row r="148" spans="1:26" ht="12.75" customHeight="1">
      <c r="A148" s="231"/>
      <c r="B148" s="231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  <c r="Q148" s="231"/>
      <c r="R148" s="231"/>
      <c r="S148" s="231"/>
      <c r="T148" s="231"/>
      <c r="U148" s="231"/>
      <c r="V148" s="231"/>
      <c r="W148" s="231"/>
      <c r="X148" s="231"/>
      <c r="Y148" s="231"/>
      <c r="Z148" s="231"/>
    </row>
    <row r="149" spans="1:26" ht="12.75" customHeight="1">
      <c r="A149" s="231"/>
      <c r="B149" s="231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  <c r="Q149" s="231"/>
      <c r="R149" s="231"/>
      <c r="S149" s="231"/>
      <c r="T149" s="231"/>
      <c r="U149" s="231"/>
      <c r="V149" s="231"/>
      <c r="W149" s="231"/>
      <c r="X149" s="231"/>
      <c r="Y149" s="231"/>
      <c r="Z149" s="231"/>
    </row>
    <row r="150" spans="1:26" ht="12.75" customHeight="1">
      <c r="A150" s="231"/>
      <c r="B150" s="231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  <c r="Q150" s="231"/>
      <c r="R150" s="231"/>
      <c r="S150" s="231"/>
      <c r="T150" s="231"/>
      <c r="U150" s="231"/>
      <c r="V150" s="231"/>
      <c r="W150" s="231"/>
      <c r="X150" s="231"/>
      <c r="Y150" s="231"/>
      <c r="Z150" s="231"/>
    </row>
    <row r="151" spans="1:26" ht="12.75" customHeight="1">
      <c r="A151" s="231"/>
      <c r="B151" s="231"/>
      <c r="C151" s="231"/>
      <c r="D151" s="231"/>
      <c r="E151" s="231"/>
      <c r="F151" s="231"/>
      <c r="G151" s="231"/>
      <c r="H151" s="231"/>
      <c r="I151" s="231"/>
      <c r="J151" s="231"/>
      <c r="K151" s="231"/>
      <c r="L151" s="231"/>
      <c r="M151" s="231"/>
      <c r="N151" s="231"/>
      <c r="O151" s="231"/>
      <c r="P151" s="231"/>
      <c r="Q151" s="231"/>
      <c r="R151" s="231"/>
      <c r="S151" s="231"/>
      <c r="T151" s="231"/>
      <c r="U151" s="231"/>
      <c r="V151" s="231"/>
      <c r="W151" s="231"/>
      <c r="X151" s="231"/>
      <c r="Y151" s="231"/>
      <c r="Z151" s="231"/>
    </row>
    <row r="152" spans="1:26" ht="12.75" customHeight="1">
      <c r="A152" s="231"/>
      <c r="B152" s="231"/>
      <c r="C152" s="231"/>
      <c r="D152" s="231"/>
      <c r="E152" s="231"/>
      <c r="F152" s="231"/>
      <c r="G152" s="231"/>
      <c r="H152" s="231"/>
      <c r="I152" s="231"/>
      <c r="J152" s="231"/>
      <c r="K152" s="231"/>
      <c r="L152" s="231"/>
      <c r="M152" s="231"/>
      <c r="N152" s="231"/>
      <c r="O152" s="231"/>
      <c r="P152" s="231"/>
      <c r="Q152" s="231"/>
      <c r="R152" s="231"/>
      <c r="S152" s="231"/>
      <c r="T152" s="231"/>
      <c r="U152" s="231"/>
      <c r="V152" s="231"/>
      <c r="W152" s="231"/>
      <c r="X152" s="231"/>
      <c r="Y152" s="231"/>
      <c r="Z152" s="231"/>
    </row>
    <row r="153" spans="1:26" ht="12.75" customHeight="1">
      <c r="A153" s="231"/>
      <c r="B153" s="231"/>
      <c r="C153" s="231"/>
      <c r="D153" s="231"/>
      <c r="E153" s="231"/>
      <c r="F153" s="231"/>
      <c r="G153" s="231"/>
      <c r="H153" s="231"/>
      <c r="I153" s="231"/>
      <c r="J153" s="231"/>
      <c r="K153" s="231"/>
      <c r="L153" s="231"/>
      <c r="M153" s="231"/>
      <c r="N153" s="231"/>
      <c r="O153" s="231"/>
      <c r="P153" s="231"/>
      <c r="Q153" s="231"/>
      <c r="R153" s="231"/>
      <c r="S153" s="231"/>
      <c r="T153" s="231"/>
      <c r="U153" s="231"/>
      <c r="V153" s="231"/>
      <c r="W153" s="231"/>
      <c r="X153" s="231"/>
      <c r="Y153" s="231"/>
      <c r="Z153" s="231"/>
    </row>
    <row r="154" spans="1:26" ht="12.75" customHeight="1">
      <c r="A154" s="231"/>
      <c r="B154" s="231"/>
      <c r="C154" s="231"/>
      <c r="D154" s="231"/>
      <c r="E154" s="231"/>
      <c r="F154" s="231"/>
      <c r="G154" s="231"/>
      <c r="H154" s="231"/>
      <c r="I154" s="231"/>
      <c r="J154" s="231"/>
      <c r="K154" s="231"/>
      <c r="L154" s="231"/>
      <c r="M154" s="231"/>
      <c r="N154" s="231"/>
      <c r="O154" s="231"/>
      <c r="P154" s="231"/>
      <c r="Q154" s="231"/>
      <c r="R154" s="231"/>
      <c r="S154" s="231"/>
      <c r="T154" s="231"/>
      <c r="U154" s="231"/>
      <c r="V154" s="231"/>
      <c r="W154" s="231"/>
      <c r="X154" s="231"/>
      <c r="Y154" s="231"/>
      <c r="Z154" s="231"/>
    </row>
    <row r="155" spans="1:26" ht="12.75" customHeight="1">
      <c r="A155" s="231"/>
      <c r="B155" s="231"/>
      <c r="C155" s="231"/>
      <c r="D155" s="231"/>
      <c r="E155" s="231"/>
      <c r="F155" s="231"/>
      <c r="G155" s="231"/>
      <c r="H155" s="231"/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231"/>
    </row>
    <row r="156" spans="1:26" ht="12.75" customHeight="1">
      <c r="A156" s="231"/>
      <c r="B156" s="231"/>
      <c r="C156" s="231"/>
      <c r="D156" s="231"/>
      <c r="E156" s="231"/>
      <c r="F156" s="231"/>
      <c r="G156" s="231"/>
      <c r="H156" s="231"/>
      <c r="I156" s="231"/>
      <c r="J156" s="231"/>
      <c r="K156" s="231"/>
      <c r="L156" s="231"/>
      <c r="M156" s="231"/>
      <c r="N156" s="231"/>
      <c r="O156" s="231"/>
      <c r="P156" s="231"/>
      <c r="Q156" s="231"/>
      <c r="R156" s="231"/>
      <c r="S156" s="231"/>
      <c r="T156" s="231"/>
      <c r="U156" s="231"/>
      <c r="V156" s="231"/>
      <c r="W156" s="231"/>
      <c r="X156" s="231"/>
      <c r="Y156" s="231"/>
      <c r="Z156" s="231"/>
    </row>
    <row r="157" spans="1:26" ht="12.75" customHeight="1">
      <c r="A157" s="231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1"/>
    </row>
    <row r="158" spans="1:26" ht="12.75" customHeight="1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</row>
    <row r="159" spans="1:26" ht="12.75" customHeight="1">
      <c r="A159" s="231"/>
      <c r="B159" s="231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  <c r="S159" s="231"/>
      <c r="T159" s="231"/>
      <c r="U159" s="231"/>
      <c r="V159" s="231"/>
      <c r="W159" s="231"/>
      <c r="X159" s="231"/>
      <c r="Y159" s="231"/>
      <c r="Z159" s="231"/>
    </row>
    <row r="160" spans="1:26" ht="12.75" customHeight="1">
      <c r="A160" s="231"/>
      <c r="B160" s="231"/>
      <c r="C160" s="231"/>
      <c r="D160" s="231"/>
      <c r="E160" s="231"/>
      <c r="F160" s="231"/>
      <c r="G160" s="231"/>
      <c r="H160" s="231"/>
      <c r="I160" s="231"/>
      <c r="J160" s="231"/>
      <c r="K160" s="231"/>
      <c r="L160" s="231"/>
      <c r="M160" s="231"/>
      <c r="N160" s="231"/>
      <c r="O160" s="231"/>
      <c r="P160" s="231"/>
      <c r="Q160" s="231"/>
      <c r="R160" s="231"/>
      <c r="S160" s="231"/>
      <c r="T160" s="231"/>
      <c r="U160" s="231"/>
      <c r="V160" s="231"/>
      <c r="W160" s="231"/>
      <c r="X160" s="231"/>
      <c r="Y160" s="231"/>
      <c r="Z160" s="231"/>
    </row>
    <row r="161" spans="1:26" ht="12.75" customHeight="1">
      <c r="A161" s="231"/>
      <c r="B161" s="231"/>
      <c r="C161" s="231"/>
      <c r="D161" s="231"/>
      <c r="E161" s="231"/>
      <c r="F161" s="231"/>
      <c r="G161" s="231"/>
      <c r="H161" s="231"/>
      <c r="I161" s="231"/>
      <c r="J161" s="231"/>
      <c r="K161" s="231"/>
      <c r="L161" s="231"/>
      <c r="M161" s="231"/>
      <c r="N161" s="231"/>
      <c r="O161" s="231"/>
      <c r="P161" s="231"/>
      <c r="Q161" s="231"/>
      <c r="R161" s="231"/>
      <c r="S161" s="231"/>
      <c r="T161" s="231"/>
      <c r="U161" s="231"/>
      <c r="V161" s="231"/>
      <c r="W161" s="231"/>
      <c r="X161" s="231"/>
      <c r="Y161" s="231"/>
      <c r="Z161" s="231"/>
    </row>
    <row r="162" spans="1:26" ht="12.75" customHeight="1">
      <c r="A162" s="231"/>
      <c r="B162" s="231"/>
      <c r="C162" s="231"/>
      <c r="D162" s="231"/>
      <c r="E162" s="231"/>
      <c r="F162" s="231"/>
      <c r="G162" s="231"/>
      <c r="H162" s="231"/>
      <c r="I162" s="231"/>
      <c r="J162" s="231"/>
      <c r="K162" s="231"/>
      <c r="L162" s="231"/>
      <c r="M162" s="231"/>
      <c r="N162" s="231"/>
      <c r="O162" s="231"/>
      <c r="P162" s="231"/>
      <c r="Q162" s="231"/>
      <c r="R162" s="231"/>
      <c r="S162" s="231"/>
      <c r="T162" s="231"/>
      <c r="U162" s="231"/>
      <c r="V162" s="231"/>
      <c r="W162" s="231"/>
      <c r="X162" s="231"/>
      <c r="Y162" s="231"/>
      <c r="Z162" s="231"/>
    </row>
    <row r="163" spans="1:26" ht="12.75" customHeight="1">
      <c r="A163" s="231"/>
      <c r="B163" s="231"/>
      <c r="C163" s="231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</row>
    <row r="164" spans="1:26" ht="12.75" customHeight="1">
      <c r="A164" s="231"/>
      <c r="B164" s="231"/>
      <c r="C164" s="231"/>
      <c r="D164" s="231"/>
      <c r="E164" s="231"/>
      <c r="F164" s="231"/>
      <c r="G164" s="231"/>
      <c r="H164" s="231"/>
      <c r="I164" s="231"/>
      <c r="J164" s="231"/>
      <c r="K164" s="231"/>
      <c r="L164" s="231"/>
      <c r="M164" s="231"/>
      <c r="N164" s="231"/>
      <c r="O164" s="231"/>
      <c r="P164" s="231"/>
      <c r="Q164" s="231"/>
      <c r="R164" s="231"/>
      <c r="S164" s="231"/>
      <c r="T164" s="231"/>
      <c r="U164" s="231"/>
      <c r="V164" s="231"/>
      <c r="W164" s="231"/>
      <c r="X164" s="231"/>
      <c r="Y164" s="231"/>
      <c r="Z164" s="231"/>
    </row>
    <row r="165" spans="1:26" ht="12.75" customHeight="1">
      <c r="A165" s="231"/>
      <c r="B165" s="231"/>
      <c r="C165" s="231"/>
      <c r="D165" s="231"/>
      <c r="E165" s="231"/>
      <c r="F165" s="231"/>
      <c r="G165" s="231"/>
      <c r="H165" s="231"/>
      <c r="I165" s="231"/>
      <c r="J165" s="231"/>
      <c r="K165" s="231"/>
      <c r="L165" s="231"/>
      <c r="M165" s="231"/>
      <c r="N165" s="231"/>
      <c r="O165" s="231"/>
      <c r="P165" s="231"/>
      <c r="Q165" s="231"/>
      <c r="R165" s="231"/>
      <c r="S165" s="231"/>
      <c r="T165" s="231"/>
      <c r="U165" s="231"/>
      <c r="V165" s="231"/>
      <c r="W165" s="231"/>
      <c r="X165" s="231"/>
      <c r="Y165" s="231"/>
      <c r="Z165" s="231"/>
    </row>
    <row r="166" spans="1:26" ht="12.75" customHeight="1">
      <c r="A166" s="231"/>
      <c r="B166" s="231"/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  <c r="O166" s="231"/>
      <c r="P166" s="231"/>
      <c r="Q166" s="231"/>
      <c r="R166" s="231"/>
      <c r="S166" s="231"/>
      <c r="T166" s="231"/>
      <c r="U166" s="231"/>
      <c r="V166" s="231"/>
      <c r="W166" s="231"/>
      <c r="X166" s="231"/>
      <c r="Y166" s="231"/>
      <c r="Z166" s="231"/>
    </row>
    <row r="167" spans="1:26" ht="12.75" customHeight="1">
      <c r="A167" s="231"/>
      <c r="B167" s="231"/>
      <c r="C167" s="231"/>
      <c r="D167" s="231"/>
      <c r="E167" s="231"/>
      <c r="F167" s="231"/>
      <c r="G167" s="231"/>
      <c r="H167" s="231"/>
      <c r="I167" s="231"/>
      <c r="J167" s="231"/>
      <c r="K167" s="231"/>
      <c r="L167" s="231"/>
      <c r="M167" s="231"/>
      <c r="N167" s="231"/>
      <c r="O167" s="231"/>
      <c r="P167" s="231"/>
      <c r="Q167" s="231"/>
      <c r="R167" s="231"/>
      <c r="S167" s="231"/>
      <c r="T167" s="231"/>
      <c r="U167" s="231"/>
      <c r="V167" s="231"/>
      <c r="W167" s="231"/>
      <c r="X167" s="231"/>
      <c r="Y167" s="231"/>
      <c r="Z167" s="231"/>
    </row>
    <row r="168" spans="1:26" ht="12.75" customHeight="1">
      <c r="A168" s="231"/>
      <c r="B168" s="231"/>
      <c r="C168" s="231"/>
      <c r="D168" s="231"/>
      <c r="E168" s="231"/>
      <c r="F168" s="231"/>
      <c r="G168" s="231"/>
      <c r="H168" s="231"/>
      <c r="I168" s="231"/>
      <c r="J168" s="231"/>
      <c r="K168" s="231"/>
      <c r="L168" s="231"/>
      <c r="M168" s="231"/>
      <c r="N168" s="231"/>
      <c r="O168" s="231"/>
      <c r="P168" s="231"/>
      <c r="Q168" s="231"/>
      <c r="R168" s="231"/>
      <c r="S168" s="231"/>
      <c r="T168" s="231"/>
      <c r="U168" s="231"/>
      <c r="V168" s="231"/>
      <c r="W168" s="231"/>
      <c r="X168" s="231"/>
      <c r="Y168" s="231"/>
      <c r="Z168" s="231"/>
    </row>
    <row r="169" spans="1:26" ht="12.75" customHeight="1">
      <c r="A169" s="231"/>
      <c r="B169" s="231"/>
      <c r="C169" s="231"/>
      <c r="D169" s="231"/>
      <c r="E169" s="231"/>
      <c r="F169" s="231"/>
      <c r="G169" s="231"/>
      <c r="H169" s="231"/>
      <c r="I169" s="231"/>
      <c r="J169" s="231"/>
      <c r="K169" s="231"/>
      <c r="L169" s="231"/>
      <c r="M169" s="231"/>
      <c r="N169" s="231"/>
      <c r="O169" s="231"/>
      <c r="P169" s="231"/>
      <c r="Q169" s="231"/>
      <c r="R169" s="231"/>
      <c r="S169" s="231"/>
      <c r="T169" s="231"/>
      <c r="U169" s="231"/>
      <c r="V169" s="231"/>
      <c r="W169" s="231"/>
      <c r="X169" s="231"/>
      <c r="Y169" s="231"/>
      <c r="Z169" s="231"/>
    </row>
    <row r="170" spans="1:26" ht="12.75" customHeight="1">
      <c r="A170" s="231"/>
      <c r="B170" s="231"/>
      <c r="C170" s="231"/>
      <c r="D170" s="231"/>
      <c r="E170" s="231"/>
      <c r="F170" s="231"/>
      <c r="G170" s="231"/>
      <c r="H170" s="231"/>
      <c r="I170" s="231"/>
      <c r="J170" s="231"/>
      <c r="K170" s="231"/>
      <c r="L170" s="231"/>
      <c r="M170" s="231"/>
      <c r="N170" s="231"/>
      <c r="O170" s="231"/>
      <c r="P170" s="231"/>
      <c r="Q170" s="231"/>
      <c r="R170" s="231"/>
      <c r="S170" s="231"/>
      <c r="T170" s="231"/>
      <c r="U170" s="231"/>
      <c r="V170" s="231"/>
      <c r="W170" s="231"/>
      <c r="X170" s="231"/>
      <c r="Y170" s="231"/>
      <c r="Z170" s="231"/>
    </row>
    <row r="171" spans="1:26" ht="12.75" customHeight="1">
      <c r="A171" s="231"/>
      <c r="B171" s="231"/>
      <c r="C171" s="231"/>
      <c r="D171" s="231"/>
      <c r="E171" s="231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</row>
    <row r="172" spans="1:26" ht="12.75" customHeight="1">
      <c r="A172" s="231"/>
      <c r="B172" s="231"/>
      <c r="C172" s="231"/>
      <c r="D172" s="231"/>
      <c r="E172" s="231"/>
      <c r="F172" s="231"/>
      <c r="G172" s="231"/>
      <c r="H172" s="231"/>
      <c r="I172" s="231"/>
      <c r="J172" s="231"/>
      <c r="K172" s="231"/>
      <c r="L172" s="231"/>
      <c r="M172" s="231"/>
      <c r="N172" s="231"/>
      <c r="O172" s="231"/>
      <c r="P172" s="231"/>
      <c r="Q172" s="231"/>
      <c r="R172" s="231"/>
      <c r="S172" s="231"/>
      <c r="T172" s="231"/>
      <c r="U172" s="231"/>
      <c r="V172" s="231"/>
      <c r="W172" s="231"/>
      <c r="X172" s="231"/>
      <c r="Y172" s="231"/>
      <c r="Z172" s="231"/>
    </row>
    <row r="173" spans="1:26" ht="12.75" customHeight="1">
      <c r="A173" s="231"/>
      <c r="B173" s="231"/>
      <c r="C173" s="231"/>
      <c r="D173" s="231"/>
      <c r="E173" s="231"/>
      <c r="F173" s="231"/>
      <c r="G173" s="231"/>
      <c r="H173" s="231"/>
      <c r="I173" s="231"/>
      <c r="J173" s="231"/>
      <c r="K173" s="231"/>
      <c r="L173" s="231"/>
      <c r="M173" s="231"/>
      <c r="N173" s="231"/>
      <c r="O173" s="231"/>
      <c r="P173" s="231"/>
      <c r="Q173" s="231"/>
      <c r="R173" s="231"/>
      <c r="S173" s="231"/>
      <c r="T173" s="231"/>
      <c r="U173" s="231"/>
      <c r="V173" s="231"/>
      <c r="W173" s="231"/>
      <c r="X173" s="231"/>
      <c r="Y173" s="231"/>
      <c r="Z173" s="231"/>
    </row>
    <row r="174" spans="1:26" ht="12.75" customHeight="1">
      <c r="A174" s="231"/>
      <c r="B174" s="231"/>
      <c r="C174" s="231"/>
      <c r="D174" s="231"/>
      <c r="E174" s="231"/>
      <c r="F174" s="231"/>
      <c r="G174" s="231"/>
      <c r="H174" s="231"/>
      <c r="I174" s="231"/>
      <c r="J174" s="231"/>
      <c r="K174" s="231"/>
      <c r="L174" s="231"/>
      <c r="M174" s="231"/>
      <c r="N174" s="231"/>
      <c r="O174" s="231"/>
      <c r="P174" s="231"/>
      <c r="Q174" s="231"/>
      <c r="R174" s="231"/>
      <c r="S174" s="231"/>
      <c r="T174" s="231"/>
      <c r="U174" s="231"/>
      <c r="V174" s="231"/>
      <c r="W174" s="231"/>
      <c r="X174" s="231"/>
      <c r="Y174" s="231"/>
      <c r="Z174" s="231"/>
    </row>
    <row r="175" spans="1:26" ht="12.75" customHeight="1">
      <c r="A175" s="231"/>
      <c r="B175" s="231"/>
      <c r="C175" s="231"/>
      <c r="D175" s="231"/>
      <c r="E175" s="231"/>
      <c r="F175" s="231"/>
      <c r="G175" s="231"/>
      <c r="H175" s="231"/>
      <c r="I175" s="231"/>
      <c r="J175" s="231"/>
      <c r="K175" s="231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</row>
    <row r="176" spans="1:26" ht="12.75" customHeight="1">
      <c r="A176" s="231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</row>
    <row r="177" spans="1:26" ht="12.75" customHeight="1">
      <c r="A177" s="231"/>
      <c r="B177" s="231"/>
      <c r="C177" s="231"/>
      <c r="D177" s="231"/>
      <c r="E177" s="231"/>
      <c r="F177" s="231"/>
      <c r="G177" s="231"/>
      <c r="H177" s="231"/>
      <c r="I177" s="231"/>
      <c r="J177" s="231"/>
      <c r="K177" s="231"/>
      <c r="L177" s="231"/>
      <c r="M177" s="231"/>
      <c r="N177" s="231"/>
      <c r="O177" s="231"/>
      <c r="P177" s="231"/>
      <c r="Q177" s="231"/>
      <c r="R177" s="231"/>
      <c r="S177" s="231"/>
      <c r="T177" s="231"/>
      <c r="U177" s="231"/>
      <c r="V177" s="231"/>
      <c r="W177" s="231"/>
      <c r="X177" s="231"/>
      <c r="Y177" s="231"/>
      <c r="Z177" s="231"/>
    </row>
    <row r="178" spans="1:26" ht="12.75" customHeight="1">
      <c r="A178" s="231"/>
      <c r="B178" s="231"/>
      <c r="C178" s="231"/>
      <c r="D178" s="231"/>
      <c r="E178" s="231"/>
      <c r="F178" s="231"/>
      <c r="G178" s="231"/>
      <c r="H178" s="231"/>
      <c r="I178" s="231"/>
      <c r="J178" s="231"/>
      <c r="K178" s="231"/>
      <c r="L178" s="231"/>
      <c r="M178" s="231"/>
      <c r="N178" s="231"/>
      <c r="O178" s="231"/>
      <c r="P178" s="231"/>
      <c r="Q178" s="231"/>
      <c r="R178" s="231"/>
      <c r="S178" s="231"/>
      <c r="T178" s="231"/>
      <c r="U178" s="231"/>
      <c r="V178" s="231"/>
      <c r="W178" s="231"/>
      <c r="X178" s="231"/>
      <c r="Y178" s="231"/>
      <c r="Z178" s="231"/>
    </row>
    <row r="179" spans="1:26" ht="12.75" customHeight="1">
      <c r="A179" s="231"/>
      <c r="B179" s="231"/>
      <c r="C179" s="231"/>
      <c r="D179" s="231"/>
      <c r="E179" s="231"/>
      <c r="F179" s="231"/>
      <c r="G179" s="231"/>
      <c r="H179" s="231"/>
      <c r="I179" s="231"/>
      <c r="J179" s="231"/>
      <c r="K179" s="231"/>
      <c r="L179" s="231"/>
      <c r="M179" s="231"/>
      <c r="N179" s="231"/>
      <c r="O179" s="231"/>
      <c r="P179" s="231"/>
      <c r="Q179" s="231"/>
      <c r="R179" s="231"/>
      <c r="S179" s="231"/>
      <c r="T179" s="231"/>
      <c r="U179" s="231"/>
      <c r="V179" s="231"/>
      <c r="W179" s="231"/>
      <c r="X179" s="231"/>
      <c r="Y179" s="231"/>
      <c r="Z179" s="231"/>
    </row>
    <row r="180" spans="1:26" ht="12.75" customHeight="1">
      <c r="A180" s="231"/>
      <c r="B180" s="231"/>
      <c r="C180" s="231"/>
      <c r="D180" s="231"/>
      <c r="E180" s="231"/>
      <c r="F180" s="231"/>
      <c r="G180" s="231"/>
      <c r="H180" s="231"/>
      <c r="I180" s="231"/>
      <c r="J180" s="231"/>
      <c r="K180" s="231"/>
      <c r="L180" s="231"/>
      <c r="M180" s="231"/>
      <c r="N180" s="231"/>
      <c r="O180" s="231"/>
      <c r="P180" s="231"/>
      <c r="Q180" s="231"/>
      <c r="R180" s="231"/>
      <c r="S180" s="231"/>
      <c r="T180" s="231"/>
      <c r="U180" s="231"/>
      <c r="V180" s="231"/>
      <c r="W180" s="231"/>
      <c r="X180" s="231"/>
      <c r="Y180" s="231"/>
      <c r="Z180" s="231"/>
    </row>
    <row r="181" spans="1:26" ht="12.75" customHeight="1">
      <c r="A181" s="231"/>
      <c r="B181" s="231"/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</row>
    <row r="182" spans="1:26" ht="12.75" customHeight="1">
      <c r="A182" s="231"/>
      <c r="B182" s="231"/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1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1"/>
    </row>
    <row r="183" spans="1:26" ht="12.75" customHeight="1">
      <c r="A183" s="231"/>
      <c r="B183" s="231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  <c r="O183" s="231"/>
      <c r="P183" s="231"/>
      <c r="Q183" s="231"/>
      <c r="R183" s="231"/>
      <c r="S183" s="231"/>
      <c r="T183" s="231"/>
      <c r="U183" s="231"/>
      <c r="V183" s="231"/>
      <c r="W183" s="231"/>
      <c r="X183" s="231"/>
      <c r="Y183" s="231"/>
      <c r="Z183" s="231"/>
    </row>
    <row r="184" spans="1:26" ht="12.75" customHeight="1">
      <c r="A184" s="231"/>
      <c r="B184" s="231"/>
      <c r="C184" s="231"/>
      <c r="D184" s="231"/>
      <c r="E184" s="231"/>
      <c r="F184" s="231"/>
      <c r="G184" s="231"/>
      <c r="H184" s="231"/>
      <c r="I184" s="231"/>
      <c r="J184" s="231"/>
      <c r="K184" s="231"/>
      <c r="L184" s="231"/>
      <c r="M184" s="231"/>
      <c r="N184" s="231"/>
      <c r="O184" s="231"/>
      <c r="P184" s="231"/>
      <c r="Q184" s="231"/>
      <c r="R184" s="231"/>
      <c r="S184" s="231"/>
      <c r="T184" s="231"/>
      <c r="U184" s="231"/>
      <c r="V184" s="231"/>
      <c r="W184" s="231"/>
      <c r="X184" s="231"/>
      <c r="Y184" s="231"/>
      <c r="Z184" s="231"/>
    </row>
    <row r="185" spans="1:26" ht="12.75" customHeight="1">
      <c r="A185" s="231"/>
      <c r="B185" s="231"/>
      <c r="C185" s="231"/>
      <c r="D185" s="231"/>
      <c r="E185" s="231"/>
      <c r="F185" s="231"/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</row>
    <row r="186" spans="1:26" ht="12.75" customHeight="1">
      <c r="A186" s="231"/>
      <c r="B186" s="231"/>
      <c r="C186" s="231"/>
      <c r="D186" s="231"/>
      <c r="E186" s="231"/>
      <c r="F186" s="231"/>
      <c r="G186" s="231"/>
      <c r="H186" s="231"/>
      <c r="I186" s="231"/>
      <c r="J186" s="231"/>
      <c r="K186" s="231"/>
      <c r="L186" s="231"/>
      <c r="M186" s="231"/>
      <c r="N186" s="231"/>
      <c r="O186" s="231"/>
      <c r="P186" s="231"/>
      <c r="Q186" s="231"/>
      <c r="R186" s="231"/>
      <c r="S186" s="231"/>
      <c r="T186" s="231"/>
      <c r="U186" s="231"/>
      <c r="V186" s="231"/>
      <c r="W186" s="231"/>
      <c r="X186" s="231"/>
      <c r="Y186" s="231"/>
      <c r="Z186" s="231"/>
    </row>
    <row r="187" spans="1:26" ht="12.75" customHeight="1">
      <c r="A187" s="231"/>
      <c r="B187" s="231"/>
      <c r="C187" s="231"/>
      <c r="D187" s="231"/>
      <c r="E187" s="231"/>
      <c r="F187" s="231"/>
      <c r="G187" s="231"/>
      <c r="H187" s="231"/>
      <c r="I187" s="231"/>
      <c r="J187" s="231"/>
      <c r="K187" s="231"/>
      <c r="L187" s="231"/>
      <c r="M187" s="231"/>
      <c r="N187" s="231"/>
      <c r="O187" s="231"/>
      <c r="P187" s="231"/>
      <c r="Q187" s="231"/>
      <c r="R187" s="231"/>
      <c r="S187" s="231"/>
      <c r="T187" s="231"/>
      <c r="U187" s="231"/>
      <c r="V187" s="231"/>
      <c r="W187" s="231"/>
      <c r="X187" s="231"/>
      <c r="Y187" s="231"/>
      <c r="Z187" s="231"/>
    </row>
    <row r="188" spans="1:26" ht="12.75" customHeight="1">
      <c r="A188" s="231"/>
      <c r="B188" s="231"/>
      <c r="C188" s="231"/>
      <c r="D188" s="231"/>
      <c r="E188" s="231"/>
      <c r="F188" s="231"/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</row>
    <row r="189" spans="1:26" ht="12.75" customHeight="1">
      <c r="A189" s="231"/>
      <c r="B189" s="231"/>
      <c r="C189" s="231"/>
      <c r="D189" s="231"/>
      <c r="E189" s="231"/>
      <c r="F189" s="231"/>
      <c r="G189" s="231"/>
      <c r="H189" s="231"/>
      <c r="I189" s="231"/>
      <c r="J189" s="231"/>
      <c r="K189" s="231"/>
      <c r="L189" s="231"/>
      <c r="M189" s="231"/>
      <c r="N189" s="231"/>
      <c r="O189" s="231"/>
      <c r="P189" s="231"/>
      <c r="Q189" s="231"/>
      <c r="R189" s="231"/>
      <c r="S189" s="231"/>
      <c r="T189" s="231"/>
      <c r="U189" s="231"/>
      <c r="V189" s="231"/>
      <c r="W189" s="231"/>
      <c r="X189" s="231"/>
      <c r="Y189" s="231"/>
      <c r="Z189" s="231"/>
    </row>
    <row r="190" spans="1:26" ht="12.75" customHeight="1">
      <c r="A190" s="231"/>
      <c r="B190" s="231"/>
      <c r="C190" s="231"/>
      <c r="D190" s="231"/>
      <c r="E190" s="231"/>
      <c r="F190" s="231"/>
      <c r="G190" s="231"/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</row>
    <row r="191" spans="1:26" ht="12.75" customHeight="1">
      <c r="A191" s="231"/>
      <c r="B191" s="231"/>
      <c r="C191" s="231"/>
      <c r="D191" s="231"/>
      <c r="E191" s="231"/>
      <c r="F191" s="231"/>
      <c r="G191" s="231"/>
      <c r="H191" s="231"/>
      <c r="I191" s="231"/>
      <c r="J191" s="231"/>
      <c r="K191" s="231"/>
      <c r="L191" s="231"/>
      <c r="M191" s="231"/>
      <c r="N191" s="231"/>
      <c r="O191" s="231"/>
      <c r="P191" s="231"/>
      <c r="Q191" s="231"/>
      <c r="R191" s="231"/>
      <c r="S191" s="231"/>
      <c r="T191" s="231"/>
      <c r="U191" s="231"/>
      <c r="V191" s="231"/>
      <c r="W191" s="231"/>
      <c r="X191" s="231"/>
      <c r="Y191" s="231"/>
      <c r="Z191" s="231"/>
    </row>
    <row r="192" spans="1:26" ht="12.75" customHeight="1">
      <c r="A192" s="231"/>
      <c r="B192" s="231"/>
      <c r="C192" s="231"/>
      <c r="D192" s="231"/>
      <c r="E192" s="231"/>
      <c r="F192" s="231"/>
      <c r="G192" s="231"/>
      <c r="H192" s="231"/>
      <c r="I192" s="231"/>
      <c r="J192" s="231"/>
      <c r="K192" s="231"/>
      <c r="L192" s="231"/>
      <c r="M192" s="231"/>
      <c r="N192" s="231"/>
      <c r="O192" s="231"/>
      <c r="P192" s="231"/>
      <c r="Q192" s="231"/>
      <c r="R192" s="231"/>
      <c r="S192" s="231"/>
      <c r="T192" s="231"/>
      <c r="U192" s="231"/>
      <c r="V192" s="231"/>
      <c r="W192" s="231"/>
      <c r="X192" s="231"/>
      <c r="Y192" s="231"/>
      <c r="Z192" s="231"/>
    </row>
    <row r="193" spans="1:26" ht="12.75" customHeight="1">
      <c r="A193" s="231"/>
      <c r="B193" s="231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O193" s="231"/>
      <c r="P193" s="231"/>
      <c r="Q193" s="231"/>
      <c r="R193" s="231"/>
      <c r="S193" s="231"/>
      <c r="T193" s="231"/>
      <c r="U193" s="231"/>
      <c r="V193" s="231"/>
      <c r="W193" s="231"/>
      <c r="X193" s="231"/>
      <c r="Y193" s="231"/>
      <c r="Z193" s="231"/>
    </row>
    <row r="194" spans="1:26" ht="12.75" customHeight="1">
      <c r="A194" s="231"/>
      <c r="B194" s="231"/>
      <c r="C194" s="231"/>
      <c r="D194" s="231"/>
      <c r="E194" s="231"/>
      <c r="F194" s="231"/>
      <c r="G194" s="231"/>
      <c r="H194" s="231"/>
      <c r="I194" s="231"/>
      <c r="J194" s="231"/>
      <c r="K194" s="231"/>
      <c r="L194" s="231"/>
      <c r="M194" s="231"/>
      <c r="N194" s="231"/>
      <c r="O194" s="231"/>
      <c r="P194" s="231"/>
      <c r="Q194" s="231"/>
      <c r="R194" s="231"/>
      <c r="S194" s="231"/>
      <c r="T194" s="231"/>
      <c r="U194" s="231"/>
      <c r="V194" s="231"/>
      <c r="W194" s="231"/>
      <c r="X194" s="231"/>
      <c r="Y194" s="231"/>
      <c r="Z194" s="231"/>
    </row>
    <row r="195" spans="1:26" ht="12.75" customHeight="1">
      <c r="A195" s="231"/>
      <c r="B195" s="231"/>
      <c r="C195" s="231"/>
      <c r="D195" s="231"/>
      <c r="E195" s="231"/>
      <c r="F195" s="231"/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</row>
    <row r="196" spans="1:26" ht="12.75" customHeight="1">
      <c r="A196" s="231"/>
      <c r="B196" s="231"/>
      <c r="C196" s="231"/>
      <c r="D196" s="231"/>
      <c r="E196" s="231"/>
      <c r="F196" s="231"/>
      <c r="G196" s="231"/>
      <c r="H196" s="231"/>
      <c r="I196" s="231"/>
      <c r="J196" s="231"/>
      <c r="K196" s="231"/>
      <c r="L196" s="231"/>
      <c r="M196" s="231"/>
      <c r="N196" s="231"/>
      <c r="O196" s="231"/>
      <c r="P196" s="231"/>
      <c r="Q196" s="231"/>
      <c r="R196" s="231"/>
      <c r="S196" s="231"/>
      <c r="T196" s="231"/>
      <c r="U196" s="231"/>
      <c r="V196" s="231"/>
      <c r="W196" s="231"/>
      <c r="X196" s="231"/>
      <c r="Y196" s="231"/>
      <c r="Z196" s="231"/>
    </row>
    <row r="197" spans="1:26" ht="12.75" customHeight="1">
      <c r="A197" s="231"/>
      <c r="B197" s="231"/>
      <c r="C197" s="231"/>
      <c r="D197" s="231"/>
      <c r="E197" s="231"/>
      <c r="F197" s="231"/>
      <c r="G197" s="231"/>
      <c r="H197" s="231"/>
      <c r="I197" s="231"/>
      <c r="J197" s="231"/>
      <c r="K197" s="231"/>
      <c r="L197" s="231"/>
      <c r="M197" s="231"/>
      <c r="N197" s="231"/>
      <c r="O197" s="231"/>
      <c r="P197" s="231"/>
      <c r="Q197" s="231"/>
      <c r="R197" s="231"/>
      <c r="S197" s="231"/>
      <c r="T197" s="231"/>
      <c r="U197" s="231"/>
      <c r="V197" s="231"/>
      <c r="W197" s="231"/>
      <c r="X197" s="231"/>
      <c r="Y197" s="231"/>
      <c r="Z197" s="231"/>
    </row>
    <row r="198" spans="1:26" ht="12.75" customHeight="1">
      <c r="A198" s="231"/>
      <c r="B198" s="231"/>
      <c r="C198" s="231"/>
      <c r="D198" s="231"/>
      <c r="E198" s="231"/>
      <c r="F198" s="231"/>
      <c r="G198" s="231"/>
      <c r="H198" s="231"/>
      <c r="I198" s="231"/>
      <c r="J198" s="231"/>
      <c r="K198" s="231"/>
      <c r="L198" s="231"/>
      <c r="M198" s="231"/>
      <c r="N198" s="231"/>
      <c r="O198" s="231"/>
      <c r="P198" s="231"/>
      <c r="Q198" s="231"/>
      <c r="R198" s="231"/>
      <c r="S198" s="231"/>
      <c r="T198" s="231"/>
      <c r="U198" s="231"/>
      <c r="V198" s="231"/>
      <c r="W198" s="231"/>
      <c r="X198" s="231"/>
      <c r="Y198" s="231"/>
      <c r="Z198" s="231"/>
    </row>
    <row r="199" spans="1:26" ht="12.75" customHeight="1">
      <c r="A199" s="231"/>
      <c r="B199" s="231"/>
      <c r="C199" s="231"/>
      <c r="D199" s="231"/>
      <c r="E199" s="231"/>
      <c r="F199" s="231"/>
      <c r="G199" s="231"/>
      <c r="H199" s="231"/>
      <c r="I199" s="231"/>
      <c r="J199" s="231"/>
      <c r="K199" s="231"/>
      <c r="L199" s="231"/>
      <c r="M199" s="231"/>
      <c r="N199" s="231"/>
      <c r="O199" s="231"/>
      <c r="P199" s="231"/>
      <c r="Q199" s="231"/>
      <c r="R199" s="231"/>
      <c r="S199" s="231"/>
      <c r="T199" s="231"/>
      <c r="U199" s="231"/>
      <c r="V199" s="231"/>
      <c r="W199" s="231"/>
      <c r="X199" s="231"/>
      <c r="Y199" s="231"/>
      <c r="Z199" s="231"/>
    </row>
    <row r="200" spans="1:26" ht="12.75" customHeight="1">
      <c r="A200" s="231"/>
      <c r="B200" s="231"/>
      <c r="C200" s="231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</row>
    <row r="201" spans="1:26" ht="12.75" customHeight="1">
      <c r="A201" s="231"/>
      <c r="B201" s="231"/>
      <c r="C201" s="231"/>
      <c r="D201" s="231"/>
      <c r="E201" s="231"/>
      <c r="F201" s="231"/>
      <c r="G201" s="231"/>
      <c r="H201" s="231"/>
      <c r="I201" s="231"/>
      <c r="J201" s="231"/>
      <c r="K201" s="231"/>
      <c r="L201" s="231"/>
      <c r="M201" s="231"/>
      <c r="N201" s="231"/>
      <c r="O201" s="231"/>
      <c r="P201" s="231"/>
      <c r="Q201" s="231"/>
      <c r="R201" s="231"/>
      <c r="S201" s="231"/>
      <c r="T201" s="231"/>
      <c r="U201" s="231"/>
      <c r="V201" s="231"/>
      <c r="W201" s="231"/>
      <c r="X201" s="231"/>
      <c r="Y201" s="231"/>
      <c r="Z201" s="231"/>
    </row>
    <row r="202" spans="1:26" ht="12.75" customHeight="1">
      <c r="A202" s="231"/>
      <c r="B202" s="231"/>
      <c r="C202" s="231"/>
      <c r="D202" s="231"/>
      <c r="E202" s="231"/>
      <c r="F202" s="231"/>
      <c r="G202" s="231"/>
      <c r="H202" s="231"/>
      <c r="I202" s="231"/>
      <c r="J202" s="231"/>
      <c r="K202" s="231"/>
      <c r="L202" s="231"/>
      <c r="M202" s="231"/>
      <c r="N202" s="231"/>
      <c r="O202" s="231"/>
      <c r="P202" s="231"/>
      <c r="Q202" s="231"/>
      <c r="R202" s="231"/>
      <c r="S202" s="231"/>
      <c r="T202" s="231"/>
      <c r="U202" s="231"/>
      <c r="V202" s="231"/>
      <c r="W202" s="231"/>
      <c r="X202" s="231"/>
      <c r="Y202" s="231"/>
      <c r="Z202" s="231"/>
    </row>
    <row r="203" spans="1:26" ht="12.75" customHeight="1">
      <c r="A203" s="231"/>
      <c r="B203" s="231"/>
      <c r="C203" s="231"/>
      <c r="D203" s="231"/>
      <c r="E203" s="231"/>
      <c r="F203" s="231"/>
      <c r="G203" s="231"/>
      <c r="H203" s="231"/>
      <c r="I203" s="231"/>
      <c r="J203" s="231"/>
      <c r="K203" s="231"/>
      <c r="L203" s="231"/>
      <c r="M203" s="231"/>
      <c r="N203" s="231"/>
      <c r="O203" s="231"/>
      <c r="P203" s="231"/>
      <c r="Q203" s="231"/>
      <c r="R203" s="231"/>
      <c r="S203" s="231"/>
      <c r="T203" s="231"/>
      <c r="U203" s="231"/>
      <c r="V203" s="231"/>
      <c r="W203" s="231"/>
      <c r="X203" s="231"/>
      <c r="Y203" s="231"/>
      <c r="Z203" s="231"/>
    </row>
    <row r="204" spans="1:26" ht="12.75" customHeight="1">
      <c r="A204" s="231"/>
      <c r="B204" s="231"/>
      <c r="C204" s="231"/>
      <c r="D204" s="231"/>
      <c r="E204" s="231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</row>
    <row r="205" spans="1:26" ht="12.75" customHeight="1">
      <c r="A205" s="231"/>
      <c r="B205" s="231"/>
      <c r="C205" s="231"/>
      <c r="D205" s="231"/>
      <c r="E205" s="231"/>
      <c r="F205" s="231"/>
      <c r="G205" s="231"/>
      <c r="H205" s="231"/>
      <c r="I205" s="231"/>
      <c r="J205" s="231"/>
      <c r="K205" s="231"/>
      <c r="L205" s="231"/>
      <c r="M205" s="231"/>
      <c r="N205" s="231"/>
      <c r="O205" s="231"/>
      <c r="P205" s="231"/>
      <c r="Q205" s="231"/>
      <c r="R205" s="231"/>
      <c r="S205" s="231"/>
      <c r="T205" s="231"/>
      <c r="U205" s="231"/>
      <c r="V205" s="231"/>
      <c r="W205" s="231"/>
      <c r="X205" s="231"/>
      <c r="Y205" s="231"/>
      <c r="Z205" s="231"/>
    </row>
    <row r="206" spans="1:26" ht="12.75" customHeight="1">
      <c r="A206" s="231"/>
      <c r="B206" s="231"/>
      <c r="C206" s="231"/>
      <c r="D206" s="231"/>
      <c r="E206" s="231"/>
      <c r="F206" s="231"/>
      <c r="G206" s="231"/>
      <c r="H206" s="231"/>
      <c r="I206" s="231"/>
      <c r="J206" s="231"/>
      <c r="K206" s="231"/>
      <c r="L206" s="231"/>
      <c r="M206" s="231"/>
      <c r="N206" s="231"/>
      <c r="O206" s="231"/>
      <c r="P206" s="231"/>
      <c r="Q206" s="231"/>
      <c r="R206" s="231"/>
      <c r="S206" s="231"/>
      <c r="T206" s="231"/>
      <c r="U206" s="231"/>
      <c r="V206" s="231"/>
      <c r="W206" s="231"/>
      <c r="X206" s="231"/>
      <c r="Y206" s="231"/>
      <c r="Z206" s="231"/>
    </row>
    <row r="207" spans="1:26" ht="12.75" customHeight="1">
      <c r="A207" s="231"/>
      <c r="B207" s="231"/>
      <c r="C207" s="231"/>
      <c r="D207" s="231"/>
      <c r="E207" s="231"/>
      <c r="F207" s="231"/>
      <c r="G207" s="231"/>
      <c r="H207" s="231"/>
      <c r="I207" s="231"/>
      <c r="J207" s="231"/>
      <c r="K207" s="231"/>
      <c r="L207" s="231"/>
      <c r="M207" s="231"/>
      <c r="N207" s="231"/>
      <c r="O207" s="231"/>
      <c r="P207" s="231"/>
      <c r="Q207" s="231"/>
      <c r="R207" s="231"/>
      <c r="S207" s="231"/>
      <c r="T207" s="231"/>
      <c r="U207" s="231"/>
      <c r="V207" s="231"/>
      <c r="W207" s="231"/>
      <c r="X207" s="231"/>
      <c r="Y207" s="231"/>
      <c r="Z207" s="231"/>
    </row>
    <row r="208" spans="1:26" ht="12.75" customHeight="1">
      <c r="A208" s="231"/>
      <c r="B208" s="231"/>
      <c r="C208" s="231"/>
      <c r="D208" s="231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231"/>
      <c r="S208" s="231"/>
      <c r="T208" s="231"/>
      <c r="U208" s="231"/>
      <c r="V208" s="231"/>
      <c r="W208" s="231"/>
      <c r="X208" s="231"/>
      <c r="Y208" s="231"/>
      <c r="Z208" s="231"/>
    </row>
    <row r="209" spans="1:26" ht="12.75" customHeight="1">
      <c r="A209" s="231"/>
      <c r="B209" s="231"/>
      <c r="C209" s="231"/>
      <c r="D209" s="231"/>
      <c r="E209" s="231"/>
      <c r="F209" s="231"/>
      <c r="G209" s="231"/>
      <c r="H209" s="231"/>
      <c r="I209" s="231"/>
      <c r="J209" s="231"/>
      <c r="K209" s="231"/>
      <c r="L209" s="231"/>
      <c r="M209" s="231"/>
      <c r="N209" s="231"/>
      <c r="O209" s="231"/>
      <c r="P209" s="231"/>
      <c r="Q209" s="231"/>
      <c r="R209" s="231"/>
      <c r="S209" s="231"/>
      <c r="T209" s="231"/>
      <c r="U209" s="231"/>
      <c r="V209" s="231"/>
      <c r="W209" s="231"/>
      <c r="X209" s="231"/>
      <c r="Y209" s="231"/>
      <c r="Z209" s="231"/>
    </row>
    <row r="210" spans="1:26" ht="12.75" customHeight="1">
      <c r="A210" s="231"/>
      <c r="B210" s="231"/>
      <c r="C210" s="231"/>
      <c r="D210" s="231"/>
      <c r="E210" s="231"/>
      <c r="F210" s="231"/>
      <c r="G210" s="231"/>
      <c r="H210" s="231"/>
      <c r="I210" s="231"/>
      <c r="J210" s="231"/>
      <c r="K210" s="231"/>
      <c r="L210" s="231"/>
      <c r="M210" s="231"/>
      <c r="N210" s="231"/>
      <c r="O210" s="231"/>
      <c r="P210" s="231"/>
      <c r="Q210" s="231"/>
      <c r="R210" s="231"/>
      <c r="S210" s="231"/>
      <c r="T210" s="231"/>
      <c r="U210" s="231"/>
      <c r="V210" s="231"/>
      <c r="W210" s="231"/>
      <c r="X210" s="231"/>
      <c r="Y210" s="231"/>
      <c r="Z210" s="231"/>
    </row>
    <row r="211" spans="1:26" ht="12.75" customHeight="1">
      <c r="A211" s="231"/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1"/>
      <c r="U211" s="231"/>
      <c r="V211" s="231"/>
      <c r="W211" s="231"/>
      <c r="X211" s="231"/>
      <c r="Y211" s="231"/>
      <c r="Z211" s="231"/>
    </row>
    <row r="212" spans="1:26" ht="12.75" customHeight="1">
      <c r="A212" s="231"/>
      <c r="B212" s="231"/>
      <c r="C212" s="231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231"/>
      <c r="Y212" s="231"/>
      <c r="Z212" s="231"/>
    </row>
    <row r="213" spans="1:26" ht="12.75" customHeight="1">
      <c r="A213" s="231"/>
      <c r="B213" s="231"/>
      <c r="C213" s="231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231"/>
      <c r="Y213" s="231"/>
      <c r="Z213" s="231"/>
    </row>
    <row r="214" spans="1:26" ht="12.75" customHeight="1">
      <c r="A214" s="231"/>
      <c r="B214" s="231"/>
      <c r="C214" s="231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231"/>
      <c r="Y214" s="231"/>
      <c r="Z214" s="231"/>
    </row>
    <row r="215" spans="1:26" ht="12.75" customHeight="1">
      <c r="A215" s="231"/>
      <c r="B215" s="231"/>
      <c r="C215" s="231"/>
      <c r="D215" s="231"/>
      <c r="E215" s="231"/>
      <c r="F215" s="231"/>
      <c r="G215" s="231"/>
      <c r="H215" s="231"/>
      <c r="I215" s="231"/>
      <c r="J215" s="231"/>
      <c r="K215" s="231"/>
      <c r="L215" s="231"/>
      <c r="M215" s="231"/>
      <c r="N215" s="231"/>
      <c r="O215" s="231"/>
      <c r="P215" s="231"/>
      <c r="Q215" s="231"/>
      <c r="R215" s="231"/>
      <c r="S215" s="231"/>
      <c r="T215" s="231"/>
      <c r="U215" s="231"/>
      <c r="V215" s="231"/>
      <c r="W215" s="231"/>
      <c r="X215" s="231"/>
      <c r="Y215" s="231"/>
      <c r="Z215" s="231"/>
    </row>
    <row r="216" spans="1:26" ht="12.75" customHeight="1">
      <c r="A216" s="231"/>
      <c r="B216" s="231"/>
      <c r="C216" s="231"/>
      <c r="D216" s="231"/>
      <c r="E216" s="231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31"/>
    </row>
    <row r="217" spans="1:26" ht="12.75" customHeight="1">
      <c r="A217" s="231"/>
      <c r="B217" s="231"/>
      <c r="C217" s="231"/>
      <c r="D217" s="231"/>
      <c r="E217" s="231"/>
      <c r="F217" s="231"/>
      <c r="G217" s="231"/>
      <c r="H217" s="231"/>
      <c r="I217" s="231"/>
      <c r="J217" s="231"/>
      <c r="K217" s="231"/>
      <c r="L217" s="231"/>
      <c r="M217" s="231"/>
      <c r="N217" s="231"/>
      <c r="O217" s="231"/>
      <c r="P217" s="231"/>
      <c r="Q217" s="231"/>
      <c r="R217" s="231"/>
      <c r="S217" s="231"/>
      <c r="T217" s="231"/>
      <c r="U217" s="231"/>
      <c r="V217" s="231"/>
      <c r="W217" s="231"/>
      <c r="X217" s="231"/>
      <c r="Y217" s="231"/>
      <c r="Z217" s="231"/>
    </row>
    <row r="218" spans="1:26" ht="12.75" customHeight="1">
      <c r="A218" s="231"/>
      <c r="B218" s="231"/>
      <c r="C218" s="231"/>
      <c r="D218" s="231"/>
      <c r="E218" s="231"/>
      <c r="F218" s="231"/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1"/>
      <c r="T218" s="231"/>
      <c r="U218" s="231"/>
      <c r="V218" s="231"/>
      <c r="W218" s="231"/>
      <c r="X218" s="231"/>
      <c r="Y218" s="231"/>
      <c r="Z218" s="231"/>
    </row>
    <row r="219" spans="1:26" ht="12.75" customHeight="1">
      <c r="A219" s="231"/>
      <c r="B219" s="231"/>
      <c r="C219" s="231"/>
      <c r="D219" s="231"/>
      <c r="E219" s="231"/>
      <c r="F219" s="231"/>
      <c r="G219" s="231"/>
      <c r="H219" s="231"/>
      <c r="I219" s="231"/>
      <c r="J219" s="231"/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31"/>
    </row>
    <row r="220" spans="1:26" ht="12.75" customHeight="1">
      <c r="A220" s="231"/>
      <c r="B220" s="231"/>
      <c r="C220" s="231"/>
      <c r="D220" s="231"/>
      <c r="E220" s="231"/>
      <c r="F220" s="231"/>
      <c r="G220" s="231"/>
      <c r="H220" s="231"/>
      <c r="I220" s="231"/>
      <c r="J220" s="231"/>
      <c r="K220" s="231"/>
      <c r="L220" s="231"/>
      <c r="M220" s="231"/>
      <c r="N220" s="231"/>
      <c r="O220" s="231"/>
      <c r="P220" s="231"/>
      <c r="Q220" s="231"/>
      <c r="R220" s="231"/>
      <c r="S220" s="231"/>
      <c r="T220" s="231"/>
      <c r="U220" s="231"/>
      <c r="V220" s="231"/>
      <c r="W220" s="231"/>
      <c r="X220" s="231"/>
      <c r="Y220" s="231"/>
      <c r="Z220" s="231"/>
    </row>
    <row r="221" spans="1:26" ht="12.75" customHeight="1">
      <c r="A221" s="231"/>
      <c r="B221" s="231"/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1"/>
      <c r="U221" s="231"/>
      <c r="V221" s="231"/>
      <c r="W221" s="231"/>
      <c r="X221" s="231"/>
      <c r="Y221" s="231"/>
      <c r="Z221" s="231"/>
    </row>
    <row r="222" spans="1:26" ht="12.75" customHeight="1">
      <c r="A222" s="231"/>
      <c r="B222" s="231"/>
      <c r="C222" s="231"/>
      <c r="D222" s="231"/>
      <c r="E222" s="231"/>
      <c r="F222" s="231"/>
      <c r="G222" s="231"/>
      <c r="H222" s="231"/>
      <c r="I222" s="231"/>
      <c r="J222" s="231"/>
      <c r="K222" s="231"/>
      <c r="L222" s="231"/>
      <c r="M222" s="231"/>
      <c r="N222" s="231"/>
      <c r="O222" s="231"/>
      <c r="P222" s="231"/>
      <c r="Q222" s="231"/>
      <c r="R222" s="231"/>
      <c r="S222" s="231"/>
      <c r="T222" s="231"/>
      <c r="U222" s="231"/>
      <c r="V222" s="231"/>
      <c r="W222" s="231"/>
      <c r="X222" s="231"/>
      <c r="Y222" s="231"/>
      <c r="Z222" s="231"/>
    </row>
    <row r="223" spans="1:26" ht="12.75" customHeight="1">
      <c r="A223" s="231"/>
      <c r="B223" s="231"/>
      <c r="C223" s="231"/>
      <c r="D223" s="231"/>
      <c r="E223" s="231"/>
      <c r="F223" s="231"/>
      <c r="G223" s="231"/>
      <c r="H223" s="231"/>
      <c r="I223" s="231"/>
      <c r="J223" s="231"/>
      <c r="K223" s="231"/>
      <c r="L223" s="231"/>
      <c r="M223" s="231"/>
      <c r="N223" s="231"/>
      <c r="O223" s="231"/>
      <c r="P223" s="231"/>
      <c r="Q223" s="231"/>
      <c r="R223" s="231"/>
      <c r="S223" s="231"/>
      <c r="T223" s="231"/>
      <c r="U223" s="231"/>
      <c r="V223" s="231"/>
      <c r="W223" s="231"/>
      <c r="X223" s="231"/>
      <c r="Y223" s="231"/>
      <c r="Z223" s="231"/>
    </row>
    <row r="224" spans="1:26" ht="12.75" customHeight="1">
      <c r="A224" s="231"/>
      <c r="B224" s="231"/>
      <c r="C224" s="231"/>
      <c r="D224" s="231"/>
      <c r="E224" s="231"/>
      <c r="F224" s="231"/>
      <c r="G224" s="231"/>
      <c r="H224" s="231"/>
      <c r="I224" s="231"/>
      <c r="J224" s="231"/>
      <c r="K224" s="231"/>
      <c r="L224" s="231"/>
      <c r="M224" s="231"/>
      <c r="N224" s="231"/>
      <c r="O224" s="231"/>
      <c r="P224" s="231"/>
      <c r="Q224" s="231"/>
      <c r="R224" s="231"/>
      <c r="S224" s="231"/>
      <c r="T224" s="231"/>
      <c r="U224" s="231"/>
      <c r="V224" s="231"/>
      <c r="W224" s="231"/>
      <c r="X224" s="231"/>
      <c r="Y224" s="231"/>
      <c r="Z224" s="231"/>
    </row>
    <row r="225" spans="1:26" ht="12.75" customHeight="1">
      <c r="A225" s="231"/>
      <c r="B225" s="231"/>
      <c r="C225" s="231"/>
      <c r="D225" s="231"/>
      <c r="E225" s="231"/>
      <c r="F225" s="231"/>
      <c r="G225" s="231"/>
      <c r="H225" s="231"/>
      <c r="I225" s="231"/>
      <c r="J225" s="231"/>
      <c r="K225" s="231"/>
      <c r="L225" s="231"/>
      <c r="M225" s="231"/>
      <c r="N225" s="231"/>
      <c r="O225" s="231"/>
      <c r="P225" s="231"/>
      <c r="Q225" s="231"/>
      <c r="R225" s="231"/>
      <c r="S225" s="231"/>
      <c r="T225" s="231"/>
      <c r="U225" s="231"/>
      <c r="V225" s="231"/>
      <c r="W225" s="231"/>
      <c r="X225" s="231"/>
      <c r="Y225" s="231"/>
      <c r="Z225" s="231"/>
    </row>
    <row r="226" spans="1:26" ht="12.75" customHeight="1">
      <c r="A226" s="231"/>
      <c r="B226" s="231"/>
      <c r="C226" s="231"/>
      <c r="D226" s="231"/>
      <c r="E226" s="231"/>
      <c r="F226" s="231"/>
      <c r="G226" s="231"/>
      <c r="H226" s="231"/>
      <c r="I226" s="231"/>
      <c r="J226" s="231"/>
      <c r="K226" s="231"/>
      <c r="L226" s="231"/>
      <c r="M226" s="231"/>
      <c r="N226" s="231"/>
      <c r="O226" s="231"/>
      <c r="P226" s="231"/>
      <c r="Q226" s="231"/>
      <c r="R226" s="231"/>
      <c r="S226" s="231"/>
      <c r="T226" s="231"/>
      <c r="U226" s="231"/>
      <c r="V226" s="231"/>
      <c r="W226" s="231"/>
      <c r="X226" s="231"/>
      <c r="Y226" s="231"/>
      <c r="Z226" s="231"/>
    </row>
    <row r="227" spans="1:26" ht="12.75" customHeight="1">
      <c r="A227" s="231"/>
      <c r="B227" s="231"/>
      <c r="C227" s="231"/>
      <c r="D227" s="231"/>
      <c r="E227" s="231"/>
      <c r="F227" s="231"/>
      <c r="G227" s="231"/>
      <c r="H227" s="231"/>
      <c r="I227" s="231"/>
      <c r="J227" s="231"/>
      <c r="K227" s="231"/>
      <c r="L227" s="231"/>
      <c r="M227" s="231"/>
      <c r="N227" s="231"/>
      <c r="O227" s="231"/>
      <c r="P227" s="231"/>
      <c r="Q227" s="231"/>
      <c r="R227" s="231"/>
      <c r="S227" s="231"/>
      <c r="T227" s="231"/>
      <c r="U227" s="231"/>
      <c r="V227" s="231"/>
      <c r="W227" s="231"/>
      <c r="X227" s="231"/>
      <c r="Y227" s="231"/>
      <c r="Z227" s="231"/>
    </row>
    <row r="228" spans="1:26" ht="12.75" customHeight="1">
      <c r="A228" s="231"/>
      <c r="B228" s="231"/>
      <c r="C228" s="231"/>
      <c r="D228" s="231"/>
      <c r="E228" s="231"/>
      <c r="F228" s="231"/>
      <c r="G228" s="231"/>
      <c r="H228" s="231"/>
      <c r="I228" s="231"/>
      <c r="J228" s="231"/>
      <c r="K228" s="231"/>
      <c r="L228" s="231"/>
      <c r="M228" s="231"/>
      <c r="N228" s="231"/>
      <c r="O228" s="231"/>
      <c r="P228" s="231"/>
      <c r="Q228" s="231"/>
      <c r="R228" s="231"/>
      <c r="S228" s="231"/>
      <c r="T228" s="231"/>
      <c r="U228" s="231"/>
      <c r="V228" s="231"/>
      <c r="W228" s="231"/>
      <c r="X228" s="231"/>
      <c r="Y228" s="231"/>
      <c r="Z228" s="231"/>
    </row>
    <row r="229" spans="1:26" ht="12.75" customHeight="1">
      <c r="A229" s="231"/>
      <c r="B229" s="231"/>
      <c r="C229" s="231"/>
      <c r="D229" s="231"/>
      <c r="E229" s="231"/>
      <c r="F229" s="231"/>
      <c r="G229" s="231"/>
      <c r="H229" s="231"/>
      <c r="I229" s="231"/>
      <c r="J229" s="231"/>
      <c r="K229" s="231"/>
      <c r="L229" s="231"/>
      <c r="M229" s="231"/>
      <c r="N229" s="231"/>
      <c r="O229" s="231"/>
      <c r="P229" s="231"/>
      <c r="Q229" s="231"/>
      <c r="R229" s="231"/>
      <c r="S229" s="231"/>
      <c r="T229" s="231"/>
      <c r="U229" s="231"/>
      <c r="V229" s="231"/>
      <c r="W229" s="231"/>
      <c r="X229" s="231"/>
      <c r="Y229" s="231"/>
      <c r="Z229" s="231"/>
    </row>
    <row r="230" spans="1:26" ht="12.75" customHeight="1">
      <c r="A230" s="231"/>
      <c r="B230" s="231"/>
      <c r="C230" s="231"/>
      <c r="D230" s="231"/>
      <c r="E230" s="231"/>
      <c r="F230" s="231"/>
      <c r="G230" s="231"/>
      <c r="H230" s="231"/>
      <c r="I230" s="231"/>
      <c r="J230" s="231"/>
      <c r="K230" s="231"/>
      <c r="L230" s="231"/>
      <c r="M230" s="231"/>
      <c r="N230" s="231"/>
      <c r="O230" s="231"/>
      <c r="P230" s="231"/>
      <c r="Q230" s="231"/>
      <c r="R230" s="231"/>
      <c r="S230" s="231"/>
      <c r="T230" s="231"/>
      <c r="U230" s="231"/>
      <c r="V230" s="231"/>
      <c r="W230" s="231"/>
      <c r="X230" s="231"/>
      <c r="Y230" s="231"/>
      <c r="Z230" s="231"/>
    </row>
    <row r="231" spans="1:26" ht="12.75" customHeight="1">
      <c r="A231" s="231"/>
      <c r="B231" s="231"/>
      <c r="C231" s="231"/>
      <c r="D231" s="231"/>
      <c r="E231" s="231"/>
      <c r="F231" s="231"/>
      <c r="G231" s="231"/>
      <c r="H231" s="231"/>
      <c r="I231" s="231"/>
      <c r="J231" s="231"/>
      <c r="K231" s="231"/>
      <c r="L231" s="231"/>
      <c r="M231" s="231"/>
      <c r="N231" s="231"/>
      <c r="O231" s="231"/>
      <c r="P231" s="231"/>
      <c r="Q231" s="231"/>
      <c r="R231" s="231"/>
      <c r="S231" s="231"/>
      <c r="T231" s="231"/>
      <c r="U231" s="231"/>
      <c r="V231" s="231"/>
      <c r="W231" s="231"/>
      <c r="X231" s="231"/>
      <c r="Y231" s="231"/>
      <c r="Z231" s="231"/>
    </row>
    <row r="232" spans="1:26" ht="12.75" customHeight="1">
      <c r="A232" s="231"/>
      <c r="B232" s="231"/>
      <c r="C232" s="231"/>
      <c r="D232" s="231"/>
      <c r="E232" s="231"/>
      <c r="F232" s="231"/>
      <c r="G232" s="231"/>
      <c r="H232" s="231"/>
      <c r="I232" s="231"/>
      <c r="J232" s="231"/>
      <c r="K232" s="231"/>
      <c r="L232" s="231"/>
      <c r="M232" s="231"/>
      <c r="N232" s="231"/>
      <c r="O232" s="231"/>
      <c r="P232" s="231"/>
      <c r="Q232" s="231"/>
      <c r="R232" s="231"/>
      <c r="S232" s="231"/>
      <c r="T232" s="231"/>
      <c r="U232" s="231"/>
      <c r="V232" s="231"/>
      <c r="W232" s="231"/>
      <c r="X232" s="231"/>
      <c r="Y232" s="231"/>
      <c r="Z232" s="231"/>
    </row>
    <row r="233" spans="1:26" ht="12.75" customHeight="1">
      <c r="A233" s="231"/>
      <c r="B233" s="231"/>
      <c r="C233" s="231"/>
      <c r="D233" s="231"/>
      <c r="E233" s="231"/>
      <c r="F233" s="231"/>
      <c r="G233" s="231"/>
      <c r="H233" s="231"/>
      <c r="I233" s="231"/>
      <c r="J233" s="231"/>
      <c r="K233" s="231"/>
      <c r="L233" s="231"/>
      <c r="M233" s="231"/>
      <c r="N233" s="231"/>
      <c r="O233" s="231"/>
      <c r="P233" s="231"/>
      <c r="Q233" s="231"/>
      <c r="R233" s="231"/>
      <c r="S233" s="231"/>
      <c r="T233" s="231"/>
      <c r="U233" s="231"/>
      <c r="V233" s="231"/>
      <c r="W233" s="231"/>
      <c r="X233" s="231"/>
      <c r="Y233" s="231"/>
      <c r="Z233" s="231"/>
    </row>
    <row r="234" spans="1:26" ht="12.75" customHeight="1">
      <c r="A234" s="231"/>
      <c r="B234" s="231"/>
      <c r="C234" s="231"/>
      <c r="D234" s="231"/>
      <c r="E234" s="231"/>
      <c r="F234" s="231"/>
      <c r="G234" s="231"/>
      <c r="H234" s="231"/>
      <c r="I234" s="231"/>
      <c r="J234" s="231"/>
      <c r="K234" s="231"/>
      <c r="L234" s="231"/>
      <c r="M234" s="231"/>
      <c r="N234" s="231"/>
      <c r="O234" s="231"/>
      <c r="P234" s="231"/>
      <c r="Q234" s="231"/>
      <c r="R234" s="231"/>
      <c r="S234" s="231"/>
      <c r="T234" s="231"/>
      <c r="U234" s="231"/>
      <c r="V234" s="231"/>
      <c r="W234" s="231"/>
      <c r="X234" s="231"/>
      <c r="Y234" s="231"/>
      <c r="Z234" s="231"/>
    </row>
    <row r="235" spans="1:26" ht="12.75" customHeight="1">
      <c r="A235" s="231"/>
      <c r="B235" s="231"/>
      <c r="C235" s="231"/>
      <c r="D235" s="231"/>
      <c r="E235" s="231"/>
      <c r="F235" s="231"/>
      <c r="G235" s="231"/>
      <c r="H235" s="231"/>
      <c r="I235" s="231"/>
      <c r="J235" s="231"/>
      <c r="K235" s="231"/>
      <c r="L235" s="231"/>
      <c r="M235" s="231"/>
      <c r="N235" s="231"/>
      <c r="O235" s="231"/>
      <c r="P235" s="231"/>
      <c r="Q235" s="231"/>
      <c r="R235" s="231"/>
      <c r="S235" s="231"/>
      <c r="T235" s="231"/>
      <c r="U235" s="231"/>
      <c r="V235" s="231"/>
      <c r="W235" s="231"/>
      <c r="X235" s="231"/>
      <c r="Y235" s="231"/>
      <c r="Z235" s="231"/>
    </row>
    <row r="236" spans="1:26" ht="12.75" customHeight="1">
      <c r="A236" s="231"/>
      <c r="B236" s="231"/>
      <c r="C236" s="231"/>
      <c r="D236" s="231"/>
      <c r="E236" s="231"/>
      <c r="F236" s="231"/>
      <c r="G236" s="231"/>
      <c r="H236" s="231"/>
      <c r="I236" s="231"/>
      <c r="J236" s="231"/>
      <c r="K236" s="231"/>
      <c r="L236" s="231"/>
      <c r="M236" s="231"/>
      <c r="N236" s="231"/>
      <c r="O236" s="231"/>
      <c r="P236" s="231"/>
      <c r="Q236" s="231"/>
      <c r="R236" s="231"/>
      <c r="S236" s="231"/>
      <c r="T236" s="231"/>
      <c r="U236" s="231"/>
      <c r="V236" s="231"/>
      <c r="W236" s="231"/>
      <c r="X236" s="231"/>
      <c r="Y236" s="231"/>
      <c r="Z236" s="231"/>
    </row>
    <row r="237" spans="1:26" ht="12.75" customHeight="1">
      <c r="A237" s="231"/>
      <c r="B237" s="231"/>
      <c r="C237" s="231"/>
      <c r="D237" s="231"/>
      <c r="E237" s="231"/>
      <c r="F237" s="231"/>
      <c r="G237" s="231"/>
      <c r="H237" s="231"/>
      <c r="I237" s="231"/>
      <c r="J237" s="231"/>
      <c r="K237" s="231"/>
      <c r="L237" s="231"/>
      <c r="M237" s="231"/>
      <c r="N237" s="231"/>
      <c r="O237" s="231"/>
      <c r="P237" s="231"/>
      <c r="Q237" s="231"/>
      <c r="R237" s="231"/>
      <c r="S237" s="231"/>
      <c r="T237" s="231"/>
      <c r="U237" s="231"/>
      <c r="V237" s="231"/>
      <c r="W237" s="231"/>
      <c r="X237" s="231"/>
      <c r="Y237" s="231"/>
      <c r="Z237" s="231"/>
    </row>
    <row r="238" spans="1:26" ht="12.75" customHeight="1">
      <c r="A238" s="231"/>
      <c r="B238" s="231"/>
      <c r="C238" s="231"/>
      <c r="D238" s="231"/>
      <c r="E238" s="231"/>
      <c r="F238" s="231"/>
      <c r="G238" s="231"/>
      <c r="H238" s="231"/>
      <c r="I238" s="231"/>
      <c r="J238" s="231"/>
      <c r="K238" s="231"/>
      <c r="L238" s="231"/>
      <c r="M238" s="231"/>
      <c r="N238" s="231"/>
      <c r="O238" s="231"/>
      <c r="P238" s="231"/>
      <c r="Q238" s="231"/>
      <c r="R238" s="231"/>
      <c r="S238" s="231"/>
      <c r="T238" s="231"/>
      <c r="U238" s="231"/>
      <c r="V238" s="231"/>
      <c r="W238" s="231"/>
      <c r="X238" s="231"/>
      <c r="Y238" s="231"/>
      <c r="Z238" s="231"/>
    </row>
    <row r="239" spans="1:26" ht="12.75" customHeight="1">
      <c r="A239" s="231"/>
      <c r="B239" s="231"/>
      <c r="C239" s="231"/>
      <c r="D239" s="231"/>
      <c r="E239" s="231"/>
      <c r="F239" s="231"/>
      <c r="G239" s="231"/>
      <c r="H239" s="231"/>
      <c r="I239" s="231"/>
      <c r="J239" s="231"/>
      <c r="K239" s="231"/>
      <c r="L239" s="231"/>
      <c r="M239" s="231"/>
      <c r="N239" s="231"/>
      <c r="O239" s="231"/>
      <c r="P239" s="231"/>
      <c r="Q239" s="231"/>
      <c r="R239" s="231"/>
      <c r="S239" s="231"/>
      <c r="T239" s="231"/>
      <c r="U239" s="231"/>
      <c r="V239" s="231"/>
      <c r="W239" s="231"/>
      <c r="X239" s="231"/>
      <c r="Y239" s="231"/>
      <c r="Z239" s="231"/>
    </row>
    <row r="240" spans="1:26" ht="12.75" customHeight="1">
      <c r="A240" s="231"/>
      <c r="B240" s="231"/>
      <c r="C240" s="231"/>
      <c r="D240" s="231"/>
      <c r="E240" s="231"/>
      <c r="F240" s="231"/>
      <c r="G240" s="231"/>
      <c r="H240" s="231"/>
      <c r="I240" s="231"/>
      <c r="J240" s="231"/>
      <c r="K240" s="231"/>
      <c r="L240" s="231"/>
      <c r="M240" s="231"/>
      <c r="N240" s="231"/>
      <c r="O240" s="231"/>
      <c r="P240" s="231"/>
      <c r="Q240" s="231"/>
      <c r="R240" s="231"/>
      <c r="S240" s="231"/>
      <c r="T240" s="231"/>
      <c r="U240" s="231"/>
      <c r="V240" s="231"/>
      <c r="W240" s="231"/>
      <c r="X240" s="231"/>
      <c r="Y240" s="231"/>
      <c r="Z240" s="231"/>
    </row>
    <row r="241" spans="1:26" ht="12.75" customHeight="1">
      <c r="A241" s="231"/>
      <c r="B241" s="231"/>
      <c r="C241" s="231"/>
      <c r="D241" s="231"/>
      <c r="E241" s="231"/>
      <c r="F241" s="231"/>
      <c r="G241" s="231"/>
      <c r="H241" s="231"/>
      <c r="I241" s="231"/>
      <c r="J241" s="231"/>
      <c r="K241" s="231"/>
      <c r="L241" s="231"/>
      <c r="M241" s="231"/>
      <c r="N241" s="231"/>
      <c r="O241" s="231"/>
      <c r="P241" s="231"/>
      <c r="Q241" s="231"/>
      <c r="R241" s="231"/>
      <c r="S241" s="231"/>
      <c r="T241" s="231"/>
      <c r="U241" s="231"/>
      <c r="V241" s="231"/>
      <c r="W241" s="231"/>
      <c r="X241" s="231"/>
      <c r="Y241" s="231"/>
      <c r="Z241" s="231"/>
    </row>
    <row r="242" spans="1:26" ht="12.75" customHeight="1">
      <c r="A242" s="231"/>
      <c r="B242" s="231"/>
      <c r="C242" s="231"/>
      <c r="D242" s="231"/>
      <c r="E242" s="231"/>
      <c r="F242" s="231"/>
      <c r="G242" s="231"/>
      <c r="H242" s="231"/>
      <c r="I242" s="231"/>
      <c r="J242" s="231"/>
      <c r="K242" s="231"/>
      <c r="L242" s="231"/>
      <c r="M242" s="231"/>
      <c r="N242" s="231"/>
      <c r="O242" s="231"/>
      <c r="P242" s="231"/>
      <c r="Q242" s="231"/>
      <c r="R242" s="231"/>
      <c r="S242" s="231"/>
      <c r="T242" s="231"/>
      <c r="U242" s="231"/>
      <c r="V242" s="231"/>
      <c r="W242" s="231"/>
      <c r="X242" s="231"/>
      <c r="Y242" s="231"/>
      <c r="Z242" s="231"/>
    </row>
    <row r="243" spans="1:26" ht="12.75" customHeight="1">
      <c r="A243" s="231"/>
      <c r="B243" s="231"/>
      <c r="C243" s="231"/>
      <c r="D243" s="231"/>
      <c r="E243" s="231"/>
      <c r="F243" s="231"/>
      <c r="G243" s="231"/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</row>
    <row r="244" spans="1:26" ht="12.75" customHeight="1">
      <c r="A244" s="231"/>
      <c r="B244" s="231"/>
      <c r="C244" s="231"/>
      <c r="D244" s="231"/>
      <c r="E244" s="231"/>
      <c r="F244" s="231"/>
      <c r="G244" s="231"/>
      <c r="H244" s="231"/>
      <c r="I244" s="231"/>
      <c r="J244" s="231"/>
      <c r="K244" s="231"/>
      <c r="L244" s="231"/>
      <c r="M244" s="231"/>
      <c r="N244" s="231"/>
      <c r="O244" s="231"/>
      <c r="P244" s="231"/>
      <c r="Q244" s="231"/>
      <c r="R244" s="231"/>
      <c r="S244" s="231"/>
      <c r="T244" s="231"/>
      <c r="U244" s="231"/>
      <c r="V244" s="231"/>
      <c r="W244" s="231"/>
      <c r="X244" s="231"/>
      <c r="Y244" s="231"/>
      <c r="Z244" s="231"/>
    </row>
    <row r="245" spans="1:26" ht="12.75" customHeight="1">
      <c r="A245" s="231"/>
      <c r="B245" s="231"/>
      <c r="C245" s="231"/>
      <c r="D245" s="231"/>
      <c r="E245" s="231"/>
      <c r="F245" s="231"/>
      <c r="G245" s="231"/>
      <c r="H245" s="231"/>
      <c r="I245" s="231"/>
      <c r="J245" s="231"/>
      <c r="K245" s="231"/>
      <c r="L245" s="231"/>
      <c r="M245" s="231"/>
      <c r="N245" s="231"/>
      <c r="O245" s="231"/>
      <c r="P245" s="231"/>
      <c r="Q245" s="231"/>
      <c r="R245" s="231"/>
      <c r="S245" s="231"/>
      <c r="T245" s="231"/>
      <c r="U245" s="231"/>
      <c r="V245" s="231"/>
      <c r="W245" s="231"/>
      <c r="X245" s="231"/>
      <c r="Y245" s="231"/>
      <c r="Z245" s="231"/>
    </row>
    <row r="246" spans="1:26" ht="12.75" customHeight="1">
      <c r="A246" s="231"/>
      <c r="B246" s="231"/>
      <c r="C246" s="231"/>
      <c r="D246" s="231"/>
      <c r="E246" s="231"/>
      <c r="F246" s="231"/>
      <c r="G246" s="231"/>
      <c r="H246" s="231"/>
      <c r="I246" s="231"/>
      <c r="J246" s="231"/>
      <c r="K246" s="231"/>
      <c r="L246" s="231"/>
      <c r="M246" s="231"/>
      <c r="N246" s="231"/>
      <c r="O246" s="231"/>
      <c r="P246" s="231"/>
      <c r="Q246" s="231"/>
      <c r="R246" s="231"/>
      <c r="S246" s="231"/>
      <c r="T246" s="231"/>
      <c r="U246" s="231"/>
      <c r="V246" s="231"/>
      <c r="W246" s="231"/>
      <c r="X246" s="231"/>
      <c r="Y246" s="231"/>
      <c r="Z246" s="231"/>
    </row>
    <row r="247" spans="1:26" ht="12.75" customHeight="1">
      <c r="A247" s="231"/>
      <c r="B247" s="231"/>
      <c r="C247" s="231"/>
      <c r="D247" s="231"/>
      <c r="E247" s="231"/>
      <c r="F247" s="231"/>
      <c r="G247" s="231"/>
      <c r="H247" s="231"/>
      <c r="I247" s="231"/>
      <c r="J247" s="231"/>
      <c r="K247" s="231"/>
      <c r="L247" s="231"/>
      <c r="M247" s="231"/>
      <c r="N247" s="231"/>
      <c r="O247" s="231"/>
      <c r="P247" s="231"/>
      <c r="Q247" s="231"/>
      <c r="R247" s="231"/>
      <c r="S247" s="231"/>
      <c r="T247" s="231"/>
      <c r="U247" s="231"/>
      <c r="V247" s="231"/>
      <c r="W247" s="231"/>
      <c r="X247" s="231"/>
      <c r="Y247" s="231"/>
      <c r="Z247" s="231"/>
    </row>
    <row r="248" spans="1:26" ht="12.75" customHeight="1">
      <c r="A248" s="231"/>
      <c r="B248" s="231"/>
      <c r="C248" s="231"/>
      <c r="D248" s="231"/>
      <c r="E248" s="231"/>
      <c r="F248" s="231"/>
      <c r="G248" s="231"/>
      <c r="H248" s="231"/>
      <c r="I248" s="231"/>
      <c r="J248" s="231"/>
      <c r="K248" s="231"/>
      <c r="L248" s="231"/>
      <c r="M248" s="231"/>
      <c r="N248" s="231"/>
      <c r="O248" s="231"/>
      <c r="P248" s="231"/>
      <c r="Q248" s="231"/>
      <c r="R248" s="231"/>
      <c r="S248" s="231"/>
      <c r="T248" s="231"/>
      <c r="U248" s="231"/>
      <c r="V248" s="231"/>
      <c r="W248" s="231"/>
      <c r="X248" s="231"/>
      <c r="Y248" s="231"/>
      <c r="Z248" s="231"/>
    </row>
    <row r="249" spans="1:26" ht="12.75" customHeight="1">
      <c r="A249" s="231"/>
      <c r="B249" s="231"/>
      <c r="C249" s="231"/>
      <c r="D249" s="231"/>
      <c r="E249" s="231"/>
      <c r="F249" s="231"/>
      <c r="G249" s="231"/>
      <c r="H249" s="231"/>
      <c r="I249" s="231"/>
      <c r="J249" s="231"/>
      <c r="K249" s="231"/>
      <c r="L249" s="231"/>
      <c r="M249" s="231"/>
      <c r="N249" s="231"/>
      <c r="O249" s="231"/>
      <c r="P249" s="231"/>
      <c r="Q249" s="231"/>
      <c r="R249" s="231"/>
      <c r="S249" s="231"/>
      <c r="T249" s="231"/>
      <c r="U249" s="231"/>
      <c r="V249" s="231"/>
      <c r="W249" s="231"/>
      <c r="X249" s="231"/>
      <c r="Y249" s="231"/>
      <c r="Z249" s="231"/>
    </row>
    <row r="250" spans="1:26" ht="12.75" customHeight="1">
      <c r="A250" s="231"/>
      <c r="B250" s="231"/>
      <c r="C250" s="231"/>
      <c r="D250" s="231"/>
      <c r="E250" s="231"/>
      <c r="F250" s="231"/>
      <c r="G250" s="231"/>
      <c r="H250" s="231"/>
      <c r="I250" s="231"/>
      <c r="J250" s="231"/>
      <c r="K250" s="231"/>
      <c r="L250" s="231"/>
      <c r="M250" s="231"/>
      <c r="N250" s="231"/>
      <c r="O250" s="231"/>
      <c r="P250" s="231"/>
      <c r="Q250" s="231"/>
      <c r="R250" s="231"/>
      <c r="S250" s="231"/>
      <c r="T250" s="231"/>
      <c r="U250" s="231"/>
      <c r="V250" s="231"/>
      <c r="W250" s="231"/>
      <c r="X250" s="231"/>
      <c r="Y250" s="231"/>
      <c r="Z250" s="231"/>
    </row>
    <row r="251" spans="1:26" ht="12.75" customHeight="1">
      <c r="A251" s="231"/>
      <c r="B251" s="231"/>
      <c r="C251" s="231"/>
      <c r="D251" s="231"/>
      <c r="E251" s="231"/>
      <c r="F251" s="231"/>
      <c r="G251" s="231"/>
      <c r="H251" s="231"/>
      <c r="I251" s="231"/>
      <c r="J251" s="231"/>
      <c r="K251" s="231"/>
      <c r="L251" s="231"/>
      <c r="M251" s="231"/>
      <c r="N251" s="231"/>
      <c r="O251" s="231"/>
      <c r="P251" s="231"/>
      <c r="Q251" s="231"/>
      <c r="R251" s="231"/>
      <c r="S251" s="231"/>
      <c r="T251" s="231"/>
      <c r="U251" s="231"/>
      <c r="V251" s="231"/>
      <c r="W251" s="231"/>
      <c r="X251" s="231"/>
      <c r="Y251" s="231"/>
      <c r="Z251" s="231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DIM TECNICO - Consumo de MP - P</vt:lpstr>
      <vt:lpstr>DIM TECNICO - Balance Anual - M</vt:lpstr>
      <vt:lpstr>Conformación de Datos</vt:lpstr>
      <vt:lpstr>Energìa e Impuestos</vt:lpstr>
      <vt:lpstr>InfoInicial</vt:lpstr>
      <vt:lpstr>E-Inv AF y Am</vt:lpstr>
      <vt:lpstr>Marcha Credito Act. Trabajo REN</vt:lpstr>
      <vt:lpstr>E-Costos</vt:lpstr>
      <vt:lpstr>E-InvAT</vt:lpstr>
      <vt:lpstr>E-Cal Inv.</vt:lpstr>
      <vt:lpstr>E-IVA </vt:lpstr>
      <vt:lpstr>E-Form</vt:lpstr>
      <vt:lpstr>F-Cred</vt:lpstr>
      <vt:lpstr>Marcha Credito Act. Fijo NO REN</vt:lpstr>
      <vt:lpstr>F-CRes</vt:lpstr>
      <vt:lpstr>F-2 Estructura</vt:lpstr>
      <vt:lpstr>F-IVA</vt:lpstr>
      <vt:lpstr>F-Balance</vt:lpstr>
      <vt:lpstr>F- CFyU</vt:lpstr>
      <vt:lpstr>F-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 Boullon</cp:lastModifiedBy>
  <dcterms:modified xsi:type="dcterms:W3CDTF">2018-11-20T01:36:26Z</dcterms:modified>
</cp:coreProperties>
</file>