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b\Documents\"/>
    </mc:Choice>
  </mc:AlternateContent>
  <xr:revisionPtr revIDLastSave="0" documentId="8_{1AAC4C12-A57E-4A9E-893A-A9283F02A98B}" xr6:coauthVersionLast="38" xr6:coauthVersionMax="38" xr10:uidLastSave="{00000000-0000-0000-0000-000000000000}"/>
  <bookViews>
    <workbookView xWindow="0" yWindow="0" windowWidth="19008" windowHeight="9060" activeTab="20" xr2:uid="{00000000-000D-0000-FFFF-FFFF00000000}"/>
  </bookViews>
  <sheets>
    <sheet name="DIM TECNICO - Evolución de la P" sheetId="1" r:id="rId1"/>
    <sheet name="DIM TECNICO - Consumo de MP - P" sheetId="2" state="hidden" r:id="rId2"/>
    <sheet name="DIM TECNICO - Balance Anual - M" sheetId="3" state="hidden" r:id="rId3"/>
    <sheet name="Conformación de Datos" sheetId="4" r:id="rId4"/>
    <sheet name="Energìa e Impuestos" sheetId="5" r:id="rId5"/>
    <sheet name="InfoInicial" sheetId="6" r:id="rId6"/>
    <sheet name="E-Inv AF y Am" sheetId="7" r:id="rId7"/>
    <sheet name="E-Form" sheetId="8" r:id="rId8"/>
    <sheet name="Marcha Credito Act. Trabajo REN" sheetId="9" state="hidden" r:id="rId9"/>
    <sheet name="E-Costos" sheetId="10" r:id="rId10"/>
    <sheet name="E-Cal Inv." sheetId="11" r:id="rId11"/>
    <sheet name="E-IVA " sheetId="12" r:id="rId12"/>
    <sheet name="E-InvAT" sheetId="13" r:id="rId13"/>
    <sheet name="F-Cred" sheetId="14" r:id="rId14"/>
    <sheet name="Marcha Credito Act. Fijo NO REN" sheetId="15" r:id="rId15"/>
    <sheet name="F-CRes" sheetId="16" r:id="rId16"/>
    <sheet name="F-IVA" sheetId="17" r:id="rId17"/>
    <sheet name="F-2 Estructura" sheetId="18" r:id="rId18"/>
    <sheet name="F-Balance" sheetId="19" r:id="rId19"/>
    <sheet name="F- CFyU" sheetId="20" r:id="rId20"/>
    <sheet name="F- Form" sheetId="21" r:id="rId21"/>
  </sheets>
  <externalReferences>
    <externalReference r:id="rId22"/>
  </externalReferences>
  <calcPr calcId="181029"/>
</workbook>
</file>

<file path=xl/calcChain.xml><?xml version="1.0" encoding="utf-8"?>
<calcChain xmlns="http://schemas.openxmlformats.org/spreadsheetml/2006/main">
  <c r="D31" i="21" l="1"/>
  <c r="B28" i="21"/>
  <c r="C28" i="21" s="1"/>
  <c r="B27" i="21"/>
  <c r="C27" i="21" s="1"/>
  <c r="B26" i="21"/>
  <c r="C26" i="21" s="1"/>
  <c r="B9" i="21"/>
  <c r="B8" i="21"/>
  <c r="B7" i="21"/>
  <c r="K5" i="21"/>
  <c r="J5" i="21"/>
  <c r="F5" i="21"/>
  <c r="E5" i="21"/>
  <c r="G1" i="21"/>
  <c r="B28" i="20"/>
  <c r="E24" i="21" s="1"/>
  <c r="H22" i="20"/>
  <c r="H20" i="20"/>
  <c r="B11" i="20"/>
  <c r="C9" i="20"/>
  <c r="B8" i="20"/>
  <c r="E1" i="20"/>
  <c r="G25" i="19"/>
  <c r="B23" i="19"/>
  <c r="B11" i="19"/>
  <c r="B9" i="19"/>
  <c r="C8" i="19"/>
  <c r="B8" i="19"/>
  <c r="E1" i="19"/>
  <c r="B13" i="18"/>
  <c r="C6" i="18"/>
  <c r="D1" i="18"/>
  <c r="B21" i="17"/>
  <c r="B12" i="17"/>
  <c r="B8" i="17"/>
  <c r="B7" i="17"/>
  <c r="B6" i="17"/>
  <c r="E1" i="17"/>
  <c r="F1" i="16"/>
  <c r="I50" i="15"/>
  <c r="G50" i="15"/>
  <c r="G1" i="15"/>
  <c r="A15" i="14"/>
  <c r="A14" i="14"/>
  <c r="A13" i="14"/>
  <c r="F1" i="14"/>
  <c r="B31" i="13"/>
  <c r="B16" i="13"/>
  <c r="E1" i="13"/>
  <c r="C34" i="12"/>
  <c r="G1" i="12"/>
  <c r="H21" i="11"/>
  <c r="G21" i="11"/>
  <c r="F21" i="11"/>
  <c r="E21" i="11"/>
  <c r="B18" i="11"/>
  <c r="B22" i="11" s="1"/>
  <c r="G1" i="11"/>
  <c r="F100" i="10"/>
  <c r="E100" i="10"/>
  <c r="D100" i="10"/>
  <c r="C100" i="10"/>
  <c r="B100" i="10"/>
  <c r="F72" i="10"/>
  <c r="E72" i="10"/>
  <c r="D72" i="10"/>
  <c r="C72" i="10"/>
  <c r="B72" i="10"/>
  <c r="F57" i="10"/>
  <c r="E57" i="10"/>
  <c r="D57" i="10"/>
  <c r="C57" i="10"/>
  <c r="B57" i="10"/>
  <c r="E3" i="10"/>
  <c r="G1" i="9"/>
  <c r="J9" i="8"/>
  <c r="B8" i="8"/>
  <c r="B7" i="8"/>
  <c r="B6" i="8"/>
  <c r="K4" i="8"/>
  <c r="G1" i="8"/>
  <c r="B64" i="7"/>
  <c r="F57" i="7"/>
  <c r="C57" i="7"/>
  <c r="C54" i="7"/>
  <c r="F52" i="7"/>
  <c r="C51" i="7"/>
  <c r="C49" i="7"/>
  <c r="C48" i="7"/>
  <c r="B48" i="7"/>
  <c r="E48" i="7" s="1"/>
  <c r="C47" i="7"/>
  <c r="C46" i="7"/>
  <c r="C45" i="7"/>
  <c r="E37" i="7"/>
  <c r="E32" i="7"/>
  <c r="E34" i="7" s="1"/>
  <c r="D32" i="7"/>
  <c r="D34" i="7" s="1"/>
  <c r="B25" i="7"/>
  <c r="E21" i="7"/>
  <c r="D21" i="7"/>
  <c r="D37" i="7" s="1"/>
  <c r="C21" i="7"/>
  <c r="D11" i="7"/>
  <c r="E1" i="7"/>
  <c r="B27" i="6"/>
  <c r="D52" i="5"/>
  <c r="G41" i="5"/>
  <c r="G40" i="5"/>
  <c r="G39" i="5"/>
  <c r="G38" i="5"/>
  <c r="G42" i="5" s="1"/>
  <c r="G47" i="5" s="1"/>
  <c r="G48" i="5" s="1"/>
  <c r="G3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6" i="5" s="1"/>
  <c r="F27" i="5" s="1"/>
  <c r="D295" i="4"/>
  <c r="D289" i="4"/>
  <c r="D285" i="4"/>
  <c r="D283" i="4"/>
  <c r="D281" i="4"/>
  <c r="E270" i="4"/>
  <c r="E271" i="4" s="1"/>
  <c r="D291" i="4" s="1"/>
  <c r="D191" i="4"/>
  <c r="G187" i="4"/>
  <c r="G180" i="4"/>
  <c r="G179" i="4"/>
  <c r="H190" i="4" s="1"/>
  <c r="F170" i="4"/>
  <c r="F111" i="4"/>
  <c r="F168" i="4" s="1"/>
  <c r="F106" i="4"/>
  <c r="D106" i="4"/>
  <c r="G105" i="4"/>
  <c r="F105" i="4"/>
  <c r="I105" i="4" s="1"/>
  <c r="H104" i="4"/>
  <c r="H105" i="4" s="1"/>
  <c r="H106" i="4" s="1"/>
  <c r="G104" i="4"/>
  <c r="F104" i="4"/>
  <c r="I104" i="4" s="1"/>
  <c r="G103" i="4"/>
  <c r="F103" i="4"/>
  <c r="I103" i="4" s="1"/>
  <c r="I102" i="4"/>
  <c r="G102" i="4"/>
  <c r="F102" i="4"/>
  <c r="C92" i="4"/>
  <c r="C27" i="7" s="1"/>
  <c r="D90" i="4"/>
  <c r="B85" i="4"/>
  <c r="G79" i="4"/>
  <c r="B79" i="4"/>
  <c r="G78" i="4"/>
  <c r="B78" i="4"/>
  <c r="G77" i="4"/>
  <c r="B77" i="4"/>
  <c r="G76" i="4"/>
  <c r="B76" i="4"/>
  <c r="G75" i="4"/>
  <c r="B75" i="4"/>
  <c r="G74" i="4"/>
  <c r="B74" i="4"/>
  <c r="G71" i="4"/>
  <c r="B71" i="4"/>
  <c r="G70" i="4"/>
  <c r="B70" i="4"/>
  <c r="G69" i="4"/>
  <c r="B69" i="4"/>
  <c r="G68" i="4"/>
  <c r="B68" i="4"/>
  <c r="G67" i="4"/>
  <c r="G66" i="4"/>
  <c r="B66" i="4"/>
  <c r="G65" i="4"/>
  <c r="B65" i="4"/>
  <c r="G64" i="4"/>
  <c r="B64" i="4"/>
  <c r="G63" i="4"/>
  <c r="B63" i="4"/>
  <c r="G62" i="4"/>
  <c r="B62" i="4"/>
  <c r="G61" i="4"/>
  <c r="B61" i="4"/>
  <c r="G60" i="4"/>
  <c r="B60" i="4"/>
  <c r="G59" i="4"/>
  <c r="B59" i="4"/>
  <c r="G58" i="4"/>
  <c r="B58" i="4"/>
  <c r="G57" i="4"/>
  <c r="B57" i="4"/>
  <c r="G56" i="4"/>
  <c r="B56" i="4"/>
  <c r="G55" i="4"/>
  <c r="B55" i="4"/>
  <c r="G54" i="4"/>
  <c r="B54" i="4"/>
  <c r="G53" i="4"/>
  <c r="B53" i="4"/>
  <c r="G52" i="4"/>
  <c r="B52" i="4"/>
  <c r="G51" i="4"/>
  <c r="B51" i="4"/>
  <c r="G50" i="4"/>
  <c r="G49" i="4"/>
  <c r="B49" i="4"/>
  <c r="G48" i="4"/>
  <c r="B48" i="4"/>
  <c r="G47" i="4"/>
  <c r="B47" i="4"/>
  <c r="G46" i="4"/>
  <c r="G81" i="4" s="1"/>
  <c r="B17" i="7" s="1"/>
  <c r="D41" i="4"/>
  <c r="C41" i="4"/>
  <c r="E41" i="4" s="1"/>
  <c r="F38" i="4"/>
  <c r="K33" i="4"/>
  <c r="F33" i="4"/>
  <c r="E33" i="4"/>
  <c r="F32" i="4"/>
  <c r="E32" i="4"/>
  <c r="K31" i="4"/>
  <c r="E31" i="4"/>
  <c r="K30" i="4"/>
  <c r="E30" i="4"/>
  <c r="K29" i="4"/>
  <c r="F29" i="4"/>
  <c r="E29" i="4"/>
  <c r="K28" i="4"/>
  <c r="F28" i="4"/>
  <c r="E28" i="4"/>
  <c r="L27" i="4"/>
  <c r="K27" i="4"/>
  <c r="F27" i="4"/>
  <c r="E27" i="4"/>
  <c r="K26" i="4"/>
  <c r="F26" i="4"/>
  <c r="E26" i="4"/>
  <c r="L25" i="4"/>
  <c r="K25" i="4"/>
  <c r="F25" i="4"/>
  <c r="E25" i="4"/>
  <c r="E35" i="4" s="1"/>
  <c r="L24" i="4"/>
  <c r="K24" i="4"/>
  <c r="K34" i="4" s="1"/>
  <c r="B15" i="7" s="1"/>
  <c r="B51" i="7" s="1"/>
  <c r="F24" i="4"/>
  <c r="E24" i="4"/>
  <c r="G12" i="4"/>
  <c r="F86" i="10" s="1"/>
  <c r="F12" i="4"/>
  <c r="E86" i="10" s="1"/>
  <c r="E12" i="4"/>
  <c r="D86" i="10" s="1"/>
  <c r="D12" i="4"/>
  <c r="C86" i="10" s="1"/>
  <c r="C12" i="4"/>
  <c r="B20" i="6" s="1"/>
  <c r="B10" i="4"/>
  <c r="B15" i="4" s="1"/>
  <c r="G6" i="4"/>
  <c r="F85" i="10" s="1"/>
  <c r="F6" i="4"/>
  <c r="E85" i="10" s="1"/>
  <c r="E6" i="4"/>
  <c r="D85" i="10" s="1"/>
  <c r="D6" i="4"/>
  <c r="E73" i="10" s="1"/>
  <c r="C6" i="4"/>
  <c r="B19" i="6" s="1"/>
  <c r="C4" i="4"/>
  <c r="P15" i="2"/>
  <c r="P13" i="2"/>
  <c r="P11" i="2"/>
  <c r="D38" i="4" l="1"/>
  <c r="B7" i="7" s="1"/>
  <c r="B8" i="7"/>
  <c r="C15" i="19"/>
  <c r="D7" i="11"/>
  <c r="C32" i="7"/>
  <c r="C34" i="7" s="1"/>
  <c r="C35" i="7" s="1"/>
  <c r="C37" i="7" s="1"/>
  <c r="I106" i="4"/>
  <c r="I107" i="4" s="1"/>
  <c r="B49" i="7"/>
  <c r="F28" i="5"/>
  <c r="F32" i="5"/>
  <c r="F33" i="5" s="1"/>
  <c r="G51" i="7"/>
  <c r="E51" i="7"/>
  <c r="D51" i="7"/>
  <c r="H183" i="4"/>
  <c r="H185" i="4"/>
  <c r="B86" i="10"/>
  <c r="B85" i="10"/>
  <c r="B144" i="10" s="1"/>
  <c r="B73" i="10"/>
  <c r="C15" i="4"/>
  <c r="C17" i="4" s="1"/>
  <c r="G15" i="4"/>
  <c r="G17" i="4" s="1"/>
  <c r="E34" i="4"/>
  <c r="B12" i="7" s="1"/>
  <c r="D73" i="10"/>
  <c r="B154" i="10"/>
  <c r="C73" i="10"/>
  <c r="F73" i="10"/>
  <c r="D15" i="4"/>
  <c r="D17" i="4" s="1"/>
  <c r="G106" i="4"/>
  <c r="H179" i="4"/>
  <c r="H181" i="4"/>
  <c r="H189" i="4"/>
  <c r="B13" i="7"/>
  <c r="E15" i="4"/>
  <c r="E17" i="4" s="1"/>
  <c r="H184" i="4"/>
  <c r="H187" i="4"/>
  <c r="D48" i="7"/>
  <c r="G48" i="7" s="1"/>
  <c r="C153" i="10"/>
  <c r="C152" i="10"/>
  <c r="C151" i="10"/>
  <c r="C150" i="10"/>
  <c r="F15" i="4"/>
  <c r="F17" i="4" s="1"/>
  <c r="H180" i="4"/>
  <c r="H182" i="4"/>
  <c r="H188" i="4"/>
  <c r="C85" i="10"/>
  <c r="F24" i="21"/>
  <c r="E7" i="10" l="1"/>
  <c r="D7" i="10"/>
  <c r="F7" i="10"/>
  <c r="I110" i="4"/>
  <c r="I109" i="4"/>
  <c r="E22" i="12"/>
  <c r="D87" i="10"/>
  <c r="C149" i="10"/>
  <c r="C143" i="10"/>
  <c r="C142" i="10"/>
  <c r="C141" i="10"/>
  <c r="C140" i="10"/>
  <c r="C139" i="10"/>
  <c r="F52" i="10"/>
  <c r="E52" i="10"/>
  <c r="D52" i="10"/>
  <c r="C52" i="10"/>
  <c r="B14" i="7"/>
  <c r="D212" i="4"/>
  <c r="C144" i="10"/>
  <c r="B47" i="7"/>
  <c r="D49" i="7"/>
  <c r="G49" i="7"/>
  <c r="E49" i="7"/>
  <c r="C15" i="10"/>
  <c r="C33" i="10" s="1"/>
  <c r="F15" i="10"/>
  <c r="F33" i="10" s="1"/>
  <c r="B15" i="10"/>
  <c r="E15" i="10"/>
  <c r="E33" i="10" s="1"/>
  <c r="D15" i="10"/>
  <c r="D33" i="10" s="1"/>
  <c r="B9" i="7"/>
  <c r="B46" i="7" s="1"/>
  <c r="B45" i="7"/>
  <c r="D69" i="10"/>
  <c r="C69" i="10"/>
  <c r="F69" i="10"/>
  <c r="E69" i="10"/>
  <c r="B11" i="10"/>
  <c r="C8" i="10"/>
  <c r="H192" i="4"/>
  <c r="L188" i="4"/>
  <c r="G22" i="12"/>
  <c r="F87" i="10"/>
  <c r="D13" i="10"/>
  <c r="C13" i="10"/>
  <c r="F13" i="10"/>
  <c r="E13" i="10"/>
  <c r="G31" i="10"/>
  <c r="B24" i="7"/>
  <c r="B44" i="7"/>
  <c r="B19" i="7"/>
  <c r="B50" i="7" s="1"/>
  <c r="B26" i="7"/>
  <c r="E87" i="10"/>
  <c r="F22" i="12"/>
  <c r="F7" i="13"/>
  <c r="G6" i="13"/>
  <c r="C6" i="13"/>
  <c r="E7" i="13"/>
  <c r="F6" i="13"/>
  <c r="D22" i="12"/>
  <c r="D7" i="13"/>
  <c r="E6" i="13"/>
  <c r="G7" i="13"/>
  <c r="D6" i="13"/>
  <c r="C87" i="10"/>
  <c r="C154" i="10"/>
  <c r="C22" i="12"/>
  <c r="C7" i="13"/>
  <c r="B87" i="10"/>
  <c r="C7" i="18"/>
  <c r="C8" i="18" s="1"/>
  <c r="D8" i="11"/>
  <c r="B4" i="16" l="1"/>
  <c r="E7" i="19"/>
  <c r="F11" i="11"/>
  <c r="F13" i="17"/>
  <c r="D8" i="12"/>
  <c r="C55" i="10"/>
  <c r="F31" i="10"/>
  <c r="F304" i="4" s="1"/>
  <c r="E31" i="10"/>
  <c r="D31" i="10"/>
  <c r="B13" i="10"/>
  <c r="C31" i="10"/>
  <c r="C304" i="4" s="1"/>
  <c r="E58" i="10"/>
  <c r="E74" i="10" s="1"/>
  <c r="D58" i="10"/>
  <c r="D74" i="10" s="1"/>
  <c r="C58" i="10"/>
  <c r="C74" i="10" s="1"/>
  <c r="B33" i="10"/>
  <c r="F58" i="10"/>
  <c r="F74" i="10" s="1"/>
  <c r="B58" i="10"/>
  <c r="B74" i="10" s="1"/>
  <c r="C13" i="18"/>
  <c r="D13" i="18" s="1"/>
  <c r="E4" i="16"/>
  <c r="E8" i="12"/>
  <c r="D55" i="10"/>
  <c r="D71" i="10" s="1"/>
  <c r="D304" i="4"/>
  <c r="G46" i="7"/>
  <c r="E46" i="7"/>
  <c r="D46" i="7"/>
  <c r="D4" i="16"/>
  <c r="G6" i="12"/>
  <c r="F89" i="10"/>
  <c r="L189" i="4"/>
  <c r="L191" i="4"/>
  <c r="D45" i="7"/>
  <c r="G45" i="7"/>
  <c r="E45" i="7"/>
  <c r="D28" i="9"/>
  <c r="F172" i="4"/>
  <c r="B7" i="10" s="1"/>
  <c r="D29" i="9"/>
  <c r="E29" i="9" s="1"/>
  <c r="K170" i="4"/>
  <c r="G25" i="10" s="1"/>
  <c r="D293" i="4"/>
  <c r="K169" i="4"/>
  <c r="F112" i="4"/>
  <c r="K168" i="4"/>
  <c r="C4" i="16"/>
  <c r="C7" i="19"/>
  <c r="C12" i="18"/>
  <c r="B6" i="13"/>
  <c r="D11" i="11"/>
  <c r="D50" i="7"/>
  <c r="G50" i="7" s="1"/>
  <c r="E50" i="7"/>
  <c r="C14" i="20"/>
  <c r="D21" i="11"/>
  <c r="B5" i="8"/>
  <c r="C13" i="17"/>
  <c r="D7" i="19"/>
  <c r="E11" i="11"/>
  <c r="D13" i="17"/>
  <c r="G7" i="19"/>
  <c r="H11" i="11"/>
  <c r="B52" i="7"/>
  <c r="E44" i="7"/>
  <c r="D44" i="7"/>
  <c r="G44" i="7"/>
  <c r="F8" i="12"/>
  <c r="E55" i="10"/>
  <c r="E71" i="10" s="1"/>
  <c r="E304" i="4"/>
  <c r="F4" i="16"/>
  <c r="D8" i="10"/>
  <c r="D90" i="10" s="1"/>
  <c r="F8" i="10"/>
  <c r="F90" i="10" s="1"/>
  <c r="B8" i="10"/>
  <c r="B90" i="10" s="1"/>
  <c r="C90" i="10"/>
  <c r="E8" i="10"/>
  <c r="E90" i="10" s="1"/>
  <c r="D214" i="4"/>
  <c r="B69" i="10"/>
  <c r="B70" i="10"/>
  <c r="C70" i="10"/>
  <c r="E5" i="15"/>
  <c r="D5" i="14"/>
  <c r="E47" i="7"/>
  <c r="E5" i="9"/>
  <c r="D47" i="7"/>
  <c r="G47" i="7" s="1"/>
  <c r="E13" i="17"/>
  <c r="E6" i="12"/>
  <c r="D89" i="10"/>
  <c r="B7" i="11"/>
  <c r="B30" i="7"/>
  <c r="B32" i="7" s="1"/>
  <c r="F7" i="19"/>
  <c r="G11" i="11"/>
  <c r="B21" i="7"/>
  <c r="C6" i="11" s="1"/>
  <c r="G8" i="12"/>
  <c r="F55" i="10"/>
  <c r="F71" i="10" s="1"/>
  <c r="G13" i="17"/>
  <c r="C11" i="10"/>
  <c r="L181" i="4"/>
  <c r="L184" i="4" s="1"/>
  <c r="B29" i="10" s="1"/>
  <c r="D75" i="10"/>
  <c r="D70" i="10"/>
  <c r="E19" i="12" s="1"/>
  <c r="E8" i="17" s="1"/>
  <c r="E70" i="10"/>
  <c r="F19" i="12" s="1"/>
  <c r="F8" i="17" s="1"/>
  <c r="F70" i="10"/>
  <c r="B52" i="10"/>
  <c r="F6" i="12"/>
  <c r="E89" i="10"/>
  <c r="C7" i="11" l="1"/>
  <c r="B34" i="7"/>
  <c r="B35" i="7" s="1"/>
  <c r="B37" i="7" s="1"/>
  <c r="B54" i="7"/>
  <c r="E75" i="10"/>
  <c r="G52" i="7"/>
  <c r="G57" i="7" s="1"/>
  <c r="D10" i="20"/>
  <c r="E77" i="10"/>
  <c r="J14" i="15"/>
  <c r="I14" i="14" s="1"/>
  <c r="C13" i="15"/>
  <c r="C14" i="15"/>
  <c r="C15" i="15"/>
  <c r="J13" i="15"/>
  <c r="D52" i="7"/>
  <c r="B6" i="21"/>
  <c r="L192" i="4"/>
  <c r="L194" i="4"/>
  <c r="C8" i="12"/>
  <c r="B31" i="10"/>
  <c r="F56" i="5"/>
  <c r="B304" i="4"/>
  <c r="B55" i="10"/>
  <c r="B71" i="10" s="1"/>
  <c r="B75" i="10" s="1"/>
  <c r="C71" i="10"/>
  <c r="C75" i="10" s="1"/>
  <c r="E10" i="13"/>
  <c r="D10" i="13"/>
  <c r="G10" i="13"/>
  <c r="F10" i="13"/>
  <c r="C10" i="13"/>
  <c r="B10" i="13"/>
  <c r="F11" i="10"/>
  <c r="E11" i="10"/>
  <c r="D11" i="10"/>
  <c r="L180" i="4"/>
  <c r="L183" i="4" s="1"/>
  <c r="D19" i="12"/>
  <c r="D8" i="17" s="1"/>
  <c r="E52" i="7"/>
  <c r="C7" i="10"/>
  <c r="F113" i="4"/>
  <c r="E10" i="20"/>
  <c r="F10" i="20"/>
  <c r="B6" i="18"/>
  <c r="C8" i="11"/>
  <c r="I6" i="11"/>
  <c r="B8" i="11"/>
  <c r="I7" i="11"/>
  <c r="B30" i="18"/>
  <c r="G10" i="20"/>
  <c r="E28" i="9"/>
  <c r="D30" i="9"/>
  <c r="C77" i="10"/>
  <c r="G19" i="12"/>
  <c r="G8" i="17" s="1"/>
  <c r="D77" i="10"/>
  <c r="E79" i="10"/>
  <c r="E80" i="10" s="1"/>
  <c r="C79" i="10"/>
  <c r="C80" i="10" s="1"/>
  <c r="B19" i="19"/>
  <c r="B22" i="19" s="1"/>
  <c r="C19" i="19" s="1"/>
  <c r="D211" i="4"/>
  <c r="C9" i="18"/>
  <c r="B12" i="18"/>
  <c r="B7" i="19"/>
  <c r="C11" i="11"/>
  <c r="F25" i="10"/>
  <c r="B25" i="10"/>
  <c r="E25" i="10"/>
  <c r="D25" i="10"/>
  <c r="C25" i="10"/>
  <c r="C6" i="12"/>
  <c r="B89" i="10"/>
  <c r="B302" i="4"/>
  <c r="F75" i="10"/>
  <c r="F77" i="10" s="1"/>
  <c r="C10" i="20"/>
  <c r="H10" i="20" s="1"/>
  <c r="G4" i="16"/>
  <c r="G5" i="16"/>
  <c r="F109" i="10" l="1"/>
  <c r="F9" i="16" s="1"/>
  <c r="F79" i="10"/>
  <c r="F80" i="10" s="1"/>
  <c r="F132" i="10" s="1"/>
  <c r="F40" i="18" s="1"/>
  <c r="D6" i="12"/>
  <c r="C89" i="10"/>
  <c r="D213" i="4"/>
  <c r="C302" i="4"/>
  <c r="F30" i="13"/>
  <c r="G14" i="11"/>
  <c r="D26" i="10"/>
  <c r="C26" i="10"/>
  <c r="F26" i="10"/>
  <c r="B26" i="10"/>
  <c r="E26" i="10"/>
  <c r="C21" i="19"/>
  <c r="D57" i="7"/>
  <c r="I13" i="14"/>
  <c r="I21" i="14" s="1"/>
  <c r="I54" i="14" s="1"/>
  <c r="J50" i="15"/>
  <c r="J21" i="15"/>
  <c r="E54" i="7"/>
  <c r="D54" i="7"/>
  <c r="G54" i="7"/>
  <c r="F302" i="4"/>
  <c r="D12" i="18"/>
  <c r="B57" i="7"/>
  <c r="C19" i="12"/>
  <c r="C8" i="17" s="1"/>
  <c r="C132" i="10"/>
  <c r="C40" i="18" s="1"/>
  <c r="C109" i="10"/>
  <c r="C9" i="16" s="1"/>
  <c r="C131" i="10"/>
  <c r="C41" i="18" s="1"/>
  <c r="B9" i="20"/>
  <c r="H9" i="20" s="1"/>
  <c r="D30" i="18"/>
  <c r="I8" i="11"/>
  <c r="E29" i="10"/>
  <c r="D29" i="10"/>
  <c r="C29" i="10"/>
  <c r="F29" i="10"/>
  <c r="G30" i="13"/>
  <c r="H14" i="11"/>
  <c r="B77" i="10"/>
  <c r="D31" i="15"/>
  <c r="C31" i="14" s="1"/>
  <c r="D29" i="15"/>
  <c r="C29" i="14" s="1"/>
  <c r="D27" i="15"/>
  <c r="C27" i="14" s="1"/>
  <c r="D25" i="15"/>
  <c r="C25" i="14" s="1"/>
  <c r="D23" i="15"/>
  <c r="C22" i="15"/>
  <c r="B15" i="14"/>
  <c r="D32" i="15"/>
  <c r="D30" i="15"/>
  <c r="D28" i="15"/>
  <c r="D26" i="15"/>
  <c r="D24" i="15"/>
  <c r="E14" i="15"/>
  <c r="B13" i="14"/>
  <c r="E132" i="10"/>
  <c r="E40" i="18" s="1"/>
  <c r="E109" i="10"/>
  <c r="E9" i="16" s="1"/>
  <c r="E131" i="10"/>
  <c r="E41" i="18" s="1"/>
  <c r="B5" i="19"/>
  <c r="D302" i="4"/>
  <c r="I11" i="11"/>
  <c r="H211" i="4"/>
  <c r="C21" i="11"/>
  <c r="B14" i="18"/>
  <c r="B15" i="18" s="1"/>
  <c r="B10" i="19"/>
  <c r="B30" i="13"/>
  <c r="B34" i="13" s="1"/>
  <c r="B21" i="18" s="1"/>
  <c r="B9" i="13"/>
  <c r="B15" i="13" s="1"/>
  <c r="C14" i="11"/>
  <c r="D30" i="13"/>
  <c r="E14" i="11"/>
  <c r="E15" i="15"/>
  <c r="D15" i="14" s="1"/>
  <c r="B14" i="14"/>
  <c r="L196" i="4"/>
  <c r="G26" i="10" s="1"/>
  <c r="E302" i="4"/>
  <c r="C10" i="18"/>
  <c r="C25" i="18" s="1"/>
  <c r="C22" i="19"/>
  <c r="D19" i="19" s="1"/>
  <c r="D109" i="10"/>
  <c r="D9" i="16" s="1"/>
  <c r="D79" i="10"/>
  <c r="D80" i="10" s="1"/>
  <c r="D132" i="10" s="1"/>
  <c r="D40" i="18" s="1"/>
  <c r="G29" i="9"/>
  <c r="G28" i="9"/>
  <c r="E30" i="9"/>
  <c r="B21" i="11"/>
  <c r="B4" i="8"/>
  <c r="D6" i="18"/>
  <c r="E57" i="7"/>
  <c r="C30" i="13"/>
  <c r="D14" i="11"/>
  <c r="E30" i="13"/>
  <c r="F14" i="11"/>
  <c r="B10" i="21"/>
  <c r="B9" i="8"/>
  <c r="B20" i="18" l="1"/>
  <c r="B22" i="18"/>
  <c r="C28" i="14"/>
  <c r="E28" i="14" s="1"/>
  <c r="F28" i="15"/>
  <c r="B5" i="14"/>
  <c r="C5" i="15"/>
  <c r="C5" i="9"/>
  <c r="B11" i="8"/>
  <c r="F25" i="20"/>
  <c r="E124" i="10"/>
  <c r="B61" i="7"/>
  <c r="C28" i="10" s="1"/>
  <c r="B23" i="11"/>
  <c r="I21" i="11"/>
  <c r="G30" i="9"/>
  <c r="E32" i="9" s="1"/>
  <c r="E12" i="9" s="1"/>
  <c r="E12" i="10"/>
  <c r="D12" i="10"/>
  <c r="C12" i="10"/>
  <c r="B12" i="10"/>
  <c r="H212" i="4"/>
  <c r="F12" i="10"/>
  <c r="D14" i="14"/>
  <c r="D21" i="14" s="1"/>
  <c r="G21" i="14" s="1"/>
  <c r="B9" i="18" s="1"/>
  <c r="E21" i="15"/>
  <c r="H21" i="15" s="1"/>
  <c r="C30" i="14"/>
  <c r="F30" i="15"/>
  <c r="E23" i="15"/>
  <c r="B22" i="14"/>
  <c r="E30" i="14"/>
  <c r="C16" i="19"/>
  <c r="F131" i="10"/>
  <c r="F41" i="18" s="1"/>
  <c r="D131" i="10"/>
  <c r="D41" i="18" s="1"/>
  <c r="I14" i="11"/>
  <c r="C24" i="14"/>
  <c r="F24" i="15"/>
  <c r="C32" i="14"/>
  <c r="F32" i="15"/>
  <c r="D50" i="15"/>
  <c r="C23" i="14"/>
  <c r="E32" i="14"/>
  <c r="C25" i="20"/>
  <c r="B124" i="10"/>
  <c r="E53" i="10"/>
  <c r="C10" i="10"/>
  <c r="D53" i="10"/>
  <c r="F10" i="10"/>
  <c r="B10" i="10"/>
  <c r="C53" i="10"/>
  <c r="E10" i="10"/>
  <c r="B62" i="7"/>
  <c r="B28" i="10" s="1"/>
  <c r="C17" i="13" s="1"/>
  <c r="F53" i="10"/>
  <c r="D10" i="10"/>
  <c r="B53" i="10"/>
  <c r="B24" i="13"/>
  <c r="B15" i="20" s="1"/>
  <c r="B22" i="13"/>
  <c r="B25" i="13" s="1"/>
  <c r="C26" i="14"/>
  <c r="F26" i="15"/>
  <c r="C23" i="15"/>
  <c r="E26" i="14"/>
  <c r="B109" i="10"/>
  <c r="B9" i="16" s="1"/>
  <c r="G9" i="16" s="1"/>
  <c r="B79" i="10"/>
  <c r="B80" i="10" s="1"/>
  <c r="B132" i="10" s="1"/>
  <c r="B40" i="18" s="1"/>
  <c r="E21" i="19"/>
  <c r="D21" i="19"/>
  <c r="D22" i="19" s="1"/>
  <c r="E19" i="19" s="1"/>
  <c r="E22" i="19" s="1"/>
  <c r="F19" i="19" s="1"/>
  <c r="F22" i="19" s="1"/>
  <c r="G19" i="19" s="1"/>
  <c r="G22" i="19" s="1"/>
  <c r="G21" i="19"/>
  <c r="F21" i="19"/>
  <c r="D27" i="19" l="1"/>
  <c r="D25" i="19" s="1"/>
  <c r="D18" i="20"/>
  <c r="B21" i="20"/>
  <c r="C16" i="17"/>
  <c r="D9" i="18"/>
  <c r="E24" i="15"/>
  <c r="H24" i="15" s="1"/>
  <c r="C24" i="15"/>
  <c r="E16" i="10"/>
  <c r="E91" i="10" s="1"/>
  <c r="G7" i="12"/>
  <c r="G12" i="12" s="1"/>
  <c r="D7" i="12"/>
  <c r="D12" i="12" s="1"/>
  <c r="G284" i="4"/>
  <c r="F124" i="10"/>
  <c r="I9" i="8" s="1"/>
  <c r="I8" i="8"/>
  <c r="E18" i="20"/>
  <c r="B131" i="10"/>
  <c r="B41" i="18" s="1"/>
  <c r="B36" i="13"/>
  <c r="C4" i="8"/>
  <c r="D16" i="10"/>
  <c r="D91" i="10" s="1"/>
  <c r="C16" i="10"/>
  <c r="C91" i="10" s="1"/>
  <c r="G18" i="20"/>
  <c r="F27" i="19"/>
  <c r="F25" i="19" s="1"/>
  <c r="F18" i="20"/>
  <c r="E27" i="19"/>
  <c r="E25" i="19" s="1"/>
  <c r="H213" i="4"/>
  <c r="H216" i="4"/>
  <c r="E7" i="12"/>
  <c r="E12" i="12" s="1"/>
  <c r="B25" i="11"/>
  <c r="G5" i="15"/>
  <c r="C5" i="21"/>
  <c r="B16" i="10"/>
  <c r="B17" i="10"/>
  <c r="B20" i="10" s="1"/>
  <c r="B47" i="10" s="1"/>
  <c r="E24" i="14"/>
  <c r="C54" i="14"/>
  <c r="F50" i="15"/>
  <c r="D6" i="14"/>
  <c r="F7" i="12"/>
  <c r="F12" i="12" s="1"/>
  <c r="F5" i="14"/>
  <c r="F16" i="10"/>
  <c r="F17" i="10" s="1"/>
  <c r="D124" i="10"/>
  <c r="I7" i="8" s="1"/>
  <c r="I5" i="8"/>
  <c r="C124" i="10"/>
  <c r="I6" i="8" s="1"/>
  <c r="J6" i="21"/>
  <c r="D25" i="20"/>
  <c r="E16" i="19"/>
  <c r="G16" i="19"/>
  <c r="F16" i="19"/>
  <c r="D16" i="19"/>
  <c r="I5" i="21"/>
  <c r="B14" i="19"/>
  <c r="B17" i="19" s="1"/>
  <c r="B7" i="18"/>
  <c r="B14" i="20"/>
  <c r="C7" i="12"/>
  <c r="C12" i="12" s="1"/>
  <c r="F12" i="9"/>
  <c r="G13" i="9" s="1"/>
  <c r="F13" i="9"/>
  <c r="D17" i="13"/>
  <c r="F28" i="10"/>
  <c r="E28" i="10"/>
  <c r="D28" i="10"/>
  <c r="G25" i="20"/>
  <c r="J10" i="21" s="1"/>
  <c r="J9" i="21"/>
  <c r="G5" i="9"/>
  <c r="B23" i="18"/>
  <c r="F91" i="10" l="1"/>
  <c r="I11" i="8"/>
  <c r="M18" i="8" s="1"/>
  <c r="B19" i="10"/>
  <c r="B46" i="10" s="1"/>
  <c r="B91" i="10"/>
  <c r="C17" i="10"/>
  <c r="C19" i="10" s="1"/>
  <c r="C46" i="10" s="1"/>
  <c r="E17" i="10"/>
  <c r="F93" i="10"/>
  <c r="F39" i="10"/>
  <c r="F20" i="10"/>
  <c r="F47" i="10" s="1"/>
  <c r="C29" i="18"/>
  <c r="D8" i="14"/>
  <c r="E17" i="13"/>
  <c r="C14" i="19"/>
  <c r="C17" i="19" s="1"/>
  <c r="B12" i="19"/>
  <c r="B24" i="19" s="1"/>
  <c r="J7" i="21"/>
  <c r="E25" i="20"/>
  <c r="F19" i="10"/>
  <c r="F46" i="10" s="1"/>
  <c r="F48" i="13" s="1"/>
  <c r="D17" i="10"/>
  <c r="D7" i="18"/>
  <c r="B8" i="18"/>
  <c r="F17" i="13"/>
  <c r="B23" i="14"/>
  <c r="C93" i="10"/>
  <c r="C39" i="10"/>
  <c r="C20" i="10"/>
  <c r="C47" i="10" s="1"/>
  <c r="B26" i="18"/>
  <c r="L5" i="21"/>
  <c r="G17" i="13"/>
  <c r="H14" i="20"/>
  <c r="B13" i="20"/>
  <c r="B5" i="21"/>
  <c r="D30" i="10"/>
  <c r="D35" i="10" s="1"/>
  <c r="C30" i="10"/>
  <c r="F30" i="10"/>
  <c r="F35" i="10" s="1"/>
  <c r="G12" i="13" s="1"/>
  <c r="B30" i="10"/>
  <c r="E30" i="10"/>
  <c r="H217" i="4"/>
  <c r="H218" i="4" s="1"/>
  <c r="G30" i="10" s="1"/>
  <c r="G35" i="10" s="1"/>
  <c r="D23" i="14"/>
  <c r="C18" i="20"/>
  <c r="H18" i="20" s="1"/>
  <c r="C27" i="19"/>
  <c r="C25" i="19" s="1"/>
  <c r="B27" i="19"/>
  <c r="B25" i="19" s="1"/>
  <c r="E54" i="14"/>
  <c r="B93" i="10"/>
  <c r="B39" i="10"/>
  <c r="C48" i="13"/>
  <c r="E39" i="10"/>
  <c r="E25" i="15"/>
  <c r="C25" i="15"/>
  <c r="D5" i="21"/>
  <c r="E19" i="10" l="1"/>
  <c r="E46" i="10" s="1"/>
  <c r="E20" i="10"/>
  <c r="E47" i="10" s="1"/>
  <c r="E93" i="10"/>
  <c r="C13" i="12"/>
  <c r="C17" i="12" s="1"/>
  <c r="B41" i="10"/>
  <c r="D32" i="13"/>
  <c r="E15" i="12" s="1"/>
  <c r="C303" i="4"/>
  <c r="C307" i="4" s="1"/>
  <c r="C35" i="10"/>
  <c r="E12" i="13"/>
  <c r="B29" i="19"/>
  <c r="F32" i="13"/>
  <c r="G15" i="12" s="1"/>
  <c r="E303" i="4"/>
  <c r="E307" i="4" s="1"/>
  <c r="E308" i="4" s="1"/>
  <c r="F33" i="13" s="1"/>
  <c r="G16" i="12" s="1"/>
  <c r="E32" i="13"/>
  <c r="F15" i="12" s="1"/>
  <c r="D303" i="4"/>
  <c r="D307" i="4" s="1"/>
  <c r="C128" i="10"/>
  <c r="C127" i="10"/>
  <c r="E35" i="10"/>
  <c r="E26" i="15"/>
  <c r="H26" i="15" s="1"/>
  <c r="C26" i="15"/>
  <c r="E128" i="10"/>
  <c r="E127" i="10"/>
  <c r="B128" i="10"/>
  <c r="B127" i="10"/>
  <c r="C32" i="13"/>
  <c r="D15" i="12" s="1"/>
  <c r="B35" i="10"/>
  <c r="B303" i="4"/>
  <c r="B307" i="4" s="1"/>
  <c r="B308" i="4" s="1"/>
  <c r="C33" i="13" s="1"/>
  <c r="D16" i="12" s="1"/>
  <c r="D24" i="14"/>
  <c r="B24" i="14"/>
  <c r="D14" i="19"/>
  <c r="D17" i="19" s="1"/>
  <c r="F128" i="10"/>
  <c r="F127" i="10"/>
  <c r="G32" i="13"/>
  <c r="F303" i="4"/>
  <c r="F307" i="4" s="1"/>
  <c r="B12" i="21"/>
  <c r="G5" i="21"/>
  <c r="B10" i="18"/>
  <c r="D8" i="18"/>
  <c r="D93" i="10"/>
  <c r="D39" i="10"/>
  <c r="D19" i="10"/>
  <c r="D46" i="10" s="1"/>
  <c r="D48" i="13" s="1"/>
  <c r="D20" i="10"/>
  <c r="D47" i="10" s="1"/>
  <c r="J8" i="21"/>
  <c r="J12" i="21" s="1"/>
  <c r="H25" i="20"/>
  <c r="C8" i="20"/>
  <c r="H8" i="20" s="1"/>
  <c r="D29" i="18"/>
  <c r="F308" i="4" l="1"/>
  <c r="G33" i="13" s="1"/>
  <c r="E48" i="13"/>
  <c r="F37" i="18"/>
  <c r="E14" i="19"/>
  <c r="E17" i="19" s="1"/>
  <c r="E37" i="18"/>
  <c r="C36" i="18"/>
  <c r="B28" i="19"/>
  <c r="B30" i="19" s="1"/>
  <c r="B31" i="19" s="1"/>
  <c r="B35" i="19" s="1"/>
  <c r="C29" i="19"/>
  <c r="C308" i="4"/>
  <c r="D33" i="13" s="1"/>
  <c r="E16" i="12" s="1"/>
  <c r="E17" i="12" s="1"/>
  <c r="F36" i="18"/>
  <c r="D25" i="14"/>
  <c r="B25" i="14"/>
  <c r="F24" i="14"/>
  <c r="B37" i="18"/>
  <c r="E36" i="18"/>
  <c r="F12" i="13"/>
  <c r="F42" i="10"/>
  <c r="G17" i="12"/>
  <c r="M5" i="21"/>
  <c r="L25" i="21"/>
  <c r="C12" i="13"/>
  <c r="D16" i="11" s="1"/>
  <c r="C42" i="10"/>
  <c r="B42" i="10"/>
  <c r="B36" i="18"/>
  <c r="D308" i="4"/>
  <c r="E33" i="13" s="1"/>
  <c r="F16" i="12" s="1"/>
  <c r="G24" i="14"/>
  <c r="B48" i="13"/>
  <c r="B96" i="10"/>
  <c r="B25" i="18"/>
  <c r="D10" i="18"/>
  <c r="D127" i="10"/>
  <c r="D128" i="10"/>
  <c r="D17" i="12"/>
  <c r="E27" i="15"/>
  <c r="C27" i="15"/>
  <c r="C37" i="18"/>
  <c r="F17" i="12"/>
  <c r="E42" i="10"/>
  <c r="D12" i="13"/>
  <c r="E16" i="11" s="1"/>
  <c r="D42" i="10"/>
  <c r="D97" i="10" s="1"/>
  <c r="D99" i="10" s="1"/>
  <c r="D101" i="10" s="1"/>
  <c r="C6" i="17"/>
  <c r="E6" i="17" l="1"/>
  <c r="D104" i="10"/>
  <c r="E13" i="13" s="1"/>
  <c r="F97" i="10"/>
  <c r="F99" i="10" s="1"/>
  <c r="F101" i="10" s="1"/>
  <c r="F43" i="10"/>
  <c r="F44" i="10" s="1"/>
  <c r="D29" i="19"/>
  <c r="C28" i="19"/>
  <c r="C30" i="19" s="1"/>
  <c r="F6" i="17"/>
  <c r="D6" i="17"/>
  <c r="D37" i="18"/>
  <c r="E97" i="10"/>
  <c r="E99" i="10" s="1"/>
  <c r="E101" i="10" s="1"/>
  <c r="E43" i="10"/>
  <c r="E44" i="10" s="1"/>
  <c r="E28" i="15"/>
  <c r="H28" i="15" s="1"/>
  <c r="C28" i="15"/>
  <c r="D36" i="18"/>
  <c r="B27" i="18"/>
  <c r="B31" i="18" s="1"/>
  <c r="D25" i="18"/>
  <c r="H24" i="14"/>
  <c r="B10" i="16"/>
  <c r="B97" i="10"/>
  <c r="B43" i="10"/>
  <c r="B44" i="10" s="1"/>
  <c r="G16" i="11"/>
  <c r="H16" i="11"/>
  <c r="D26" i="14"/>
  <c r="B26" i="14"/>
  <c r="B38" i="19"/>
  <c r="D43" i="10"/>
  <c r="D44" i="10" s="1"/>
  <c r="C97" i="10"/>
  <c r="C99" i="10" s="1"/>
  <c r="C101" i="10" s="1"/>
  <c r="C43" i="10"/>
  <c r="N5" i="21"/>
  <c r="G26" i="14"/>
  <c r="F14" i="19"/>
  <c r="F17" i="19" s="1"/>
  <c r="B99" i="10"/>
  <c r="B101" i="10" s="1"/>
  <c r="G6" i="17"/>
  <c r="F16" i="11"/>
  <c r="I16" i="11" s="1"/>
  <c r="I6" i="21" l="1"/>
  <c r="B42" i="18"/>
  <c r="C9" i="17"/>
  <c r="B7" i="20"/>
  <c r="B32" i="18"/>
  <c r="D106" i="10"/>
  <c r="C10" i="16"/>
  <c r="C44" i="10"/>
  <c r="E54" i="10"/>
  <c r="F54" i="10"/>
  <c r="C54" i="10"/>
  <c r="D54" i="10"/>
  <c r="E29" i="19"/>
  <c r="D28" i="19"/>
  <c r="D30" i="19" s="1"/>
  <c r="E18" i="13"/>
  <c r="C104" i="10"/>
  <c r="D13" i="13" s="1"/>
  <c r="B27" i="14"/>
  <c r="D27" i="14"/>
  <c r="F26" i="14"/>
  <c r="H26" i="14" s="1"/>
  <c r="E104" i="10"/>
  <c r="F13" i="13" s="1"/>
  <c r="B104" i="10"/>
  <c r="C13" i="13" s="1"/>
  <c r="D143" i="10"/>
  <c r="D142" i="10"/>
  <c r="D141" i="10"/>
  <c r="D140" i="10"/>
  <c r="D139" i="10"/>
  <c r="B106" i="10"/>
  <c r="D144" i="10"/>
  <c r="G14" i="19"/>
  <c r="G17" i="19" s="1"/>
  <c r="E29" i="15"/>
  <c r="C29" i="15"/>
  <c r="D153" i="10"/>
  <c r="D152" i="10"/>
  <c r="D151" i="10"/>
  <c r="D150" i="10"/>
  <c r="D149" i="10"/>
  <c r="F104" i="10"/>
  <c r="G13" i="13" s="1"/>
  <c r="F106" i="10"/>
  <c r="D154" i="10"/>
  <c r="E106" i="10" l="1"/>
  <c r="E30" i="15"/>
  <c r="H30" i="15" s="1"/>
  <c r="C30" i="15"/>
  <c r="C18" i="13"/>
  <c r="C106" i="10"/>
  <c r="D18" i="12"/>
  <c r="B54" i="10"/>
  <c r="G285" i="4"/>
  <c r="D11" i="13"/>
  <c r="C59" i="10"/>
  <c r="C61" i="10" s="1"/>
  <c r="I7" i="21"/>
  <c r="C42" i="18"/>
  <c r="D9" i="17"/>
  <c r="E5" i="16"/>
  <c r="D18" i="13"/>
  <c r="F29" i="19"/>
  <c r="E28" i="19"/>
  <c r="E30" i="19" s="1"/>
  <c r="G18" i="12"/>
  <c r="G11" i="13"/>
  <c r="F61" i="10"/>
  <c r="F59" i="10"/>
  <c r="F5" i="16"/>
  <c r="G18" i="13"/>
  <c r="H17" i="11" s="1"/>
  <c r="B5" i="16"/>
  <c r="F18" i="13"/>
  <c r="F18" i="12"/>
  <c r="E59" i="10"/>
  <c r="E61" i="10" s="1"/>
  <c r="F11" i="13"/>
  <c r="D5" i="16"/>
  <c r="B24" i="21"/>
  <c r="B5" i="20"/>
  <c r="B24" i="20" s="1"/>
  <c r="B32" i="19"/>
  <c r="B28" i="14"/>
  <c r="D28" i="14"/>
  <c r="G28" i="14" s="1"/>
  <c r="E18" i="12"/>
  <c r="D59" i="10"/>
  <c r="D61" i="10" s="1"/>
  <c r="E11" i="13"/>
  <c r="E17" i="11" l="1"/>
  <c r="E20" i="13"/>
  <c r="D10" i="16"/>
  <c r="D108" i="10"/>
  <c r="D63" i="10"/>
  <c r="D64" i="10" s="1"/>
  <c r="D130" i="10" s="1"/>
  <c r="C108" i="10"/>
  <c r="C8" i="16" s="1"/>
  <c r="C130" i="10"/>
  <c r="C63" i="10"/>
  <c r="C64" i="10" s="1"/>
  <c r="E108" i="10"/>
  <c r="E63" i="10"/>
  <c r="E64" i="10" s="1"/>
  <c r="E130" i="10" s="1"/>
  <c r="C24" i="21"/>
  <c r="B6" i="16"/>
  <c r="E31" i="13"/>
  <c r="E34" i="13" s="1"/>
  <c r="F15" i="11"/>
  <c r="E10" i="19"/>
  <c r="E9" i="13"/>
  <c r="E15" i="13" s="1"/>
  <c r="E7" i="17"/>
  <c r="E21" i="12"/>
  <c r="E23" i="12" s="1"/>
  <c r="F7" i="17"/>
  <c r="F21" i="12"/>
  <c r="F23" i="12" s="1"/>
  <c r="G7" i="17"/>
  <c r="G21" i="12"/>
  <c r="G23" i="12" s="1"/>
  <c r="D7" i="17"/>
  <c r="D21" i="12"/>
  <c r="D23" i="12" s="1"/>
  <c r="F20" i="13"/>
  <c r="F108" i="10"/>
  <c r="D10" i="19"/>
  <c r="D9" i="13"/>
  <c r="D15" i="13" s="1"/>
  <c r="C5" i="16"/>
  <c r="F31" i="13"/>
  <c r="F34" i="13" s="1"/>
  <c r="G15" i="11"/>
  <c r="F9" i="13"/>
  <c r="F15" i="13" s="1"/>
  <c r="F10" i="19"/>
  <c r="D29" i="14"/>
  <c r="B29" i="14"/>
  <c r="F28" i="14"/>
  <c r="H28" i="14" s="1"/>
  <c r="G17" i="11"/>
  <c r="F63" i="10"/>
  <c r="F64" i="10" s="1"/>
  <c r="F130" i="10" s="1"/>
  <c r="F28" i="19"/>
  <c r="F30" i="19" s="1"/>
  <c r="G29" i="19"/>
  <c r="G28" i="19" s="1"/>
  <c r="G30" i="19" s="1"/>
  <c r="E6" i="16"/>
  <c r="C18" i="18"/>
  <c r="D18" i="18" s="1"/>
  <c r="C17" i="18"/>
  <c r="D17" i="18" s="1"/>
  <c r="C20" i="13"/>
  <c r="E31" i="15"/>
  <c r="C31" i="15"/>
  <c r="D6" i="16"/>
  <c r="G20" i="13"/>
  <c r="F6" i="16"/>
  <c r="G31" i="13"/>
  <c r="G34" i="13" s="1"/>
  <c r="H15" i="11"/>
  <c r="G10" i="19"/>
  <c r="G9" i="13"/>
  <c r="G15" i="13" s="1"/>
  <c r="D20" i="13"/>
  <c r="F17" i="11"/>
  <c r="D10" i="17"/>
  <c r="D12" i="17" s="1"/>
  <c r="D14" i="17" s="1"/>
  <c r="C18" i="12"/>
  <c r="B59" i="10"/>
  <c r="B61" i="10" s="1"/>
  <c r="C11" i="13"/>
  <c r="D31" i="13" s="1"/>
  <c r="D34" i="13" s="1"/>
  <c r="D17" i="11"/>
  <c r="E129" i="10" l="1"/>
  <c r="I17" i="11"/>
  <c r="C111" i="10"/>
  <c r="C113" i="10" s="1"/>
  <c r="F38" i="18"/>
  <c r="F133" i="10"/>
  <c r="F43" i="18" s="1"/>
  <c r="E38" i="18"/>
  <c r="E133" i="10"/>
  <c r="E43" i="18" s="1"/>
  <c r="E39" i="18"/>
  <c r="E152" i="10"/>
  <c r="F152" i="10" s="1"/>
  <c r="E154" i="10"/>
  <c r="F154" i="10" s="1"/>
  <c r="E151" i="10"/>
  <c r="F151" i="10" s="1"/>
  <c r="E153" i="10"/>
  <c r="F153" i="10" s="1"/>
  <c r="E150" i="10"/>
  <c r="F150" i="10" s="1"/>
  <c r="E149" i="10"/>
  <c r="F149" i="10" s="1"/>
  <c r="C7" i="17"/>
  <c r="C10" i="17" s="1"/>
  <c r="C12" i="17" s="1"/>
  <c r="C14" i="17" s="1"/>
  <c r="C21" i="12"/>
  <c r="C23" i="12" s="1"/>
  <c r="D30" i="14"/>
  <c r="B30" i="14"/>
  <c r="D8" i="16"/>
  <c r="E16" i="20" s="1"/>
  <c r="D111" i="10"/>
  <c r="B108" i="10"/>
  <c r="B130" i="10"/>
  <c r="E32" i="15"/>
  <c r="C32" i="15"/>
  <c r="D38" i="18"/>
  <c r="D133" i="10"/>
  <c r="D43" i="18" s="1"/>
  <c r="C31" i="13"/>
  <c r="C34" i="13" s="1"/>
  <c r="C21" i="18" s="1"/>
  <c r="D15" i="11"/>
  <c r="C15" i="11"/>
  <c r="C14" i="18"/>
  <c r="C9" i="13"/>
  <c r="C15" i="13" s="1"/>
  <c r="D24" i="13" s="1"/>
  <c r="D15" i="20" s="1"/>
  <c r="C10" i="19"/>
  <c r="G24" i="13"/>
  <c r="G15" i="20" s="1"/>
  <c r="G30" i="14"/>
  <c r="F8" i="16"/>
  <c r="F111" i="10"/>
  <c r="E24" i="13"/>
  <c r="E15" i="20" s="1"/>
  <c r="F24" i="13"/>
  <c r="F15" i="20" s="1"/>
  <c r="D16" i="20"/>
  <c r="C6" i="16"/>
  <c r="C11" i="16" s="1"/>
  <c r="G24" i="21"/>
  <c r="C38" i="18"/>
  <c r="C133" i="10"/>
  <c r="C43" i="18" s="1"/>
  <c r="B63" i="10"/>
  <c r="B64" i="10" s="1"/>
  <c r="C115" i="10"/>
  <c r="E15" i="11"/>
  <c r="F129" i="10"/>
  <c r="E8" i="16"/>
  <c r="E111" i="10"/>
  <c r="C129" i="10"/>
  <c r="D129" i="10"/>
  <c r="I8" i="21"/>
  <c r="I12" i="21" s="1"/>
  <c r="E9" i="17"/>
  <c r="E10" i="17" s="1"/>
  <c r="E12" i="17" s="1"/>
  <c r="E14" i="17" s="1"/>
  <c r="D42" i="18"/>
  <c r="E113" i="10" l="1"/>
  <c r="E115" i="10"/>
  <c r="C116" i="10"/>
  <c r="C119" i="10"/>
  <c r="H6" i="8"/>
  <c r="C117" i="10"/>
  <c r="F6" i="8" s="1"/>
  <c r="C15" i="18"/>
  <c r="D14" i="18"/>
  <c r="B38" i="18"/>
  <c r="B133" i="10"/>
  <c r="B43" i="18" s="1"/>
  <c r="H24" i="21"/>
  <c r="G6" i="16"/>
  <c r="I15" i="11"/>
  <c r="C18" i="11"/>
  <c r="B8" i="16"/>
  <c r="B111" i="10"/>
  <c r="E134" i="10"/>
  <c r="H7" i="21"/>
  <c r="C7" i="21"/>
  <c r="D39" i="18"/>
  <c r="D44" i="18" s="1"/>
  <c r="D134" i="10"/>
  <c r="F39" i="18"/>
  <c r="F134" i="10"/>
  <c r="C8" i="21"/>
  <c r="F113" i="10"/>
  <c r="F115" i="10"/>
  <c r="D11" i="16"/>
  <c r="B129" i="10"/>
  <c r="C39" i="18"/>
  <c r="C44" i="18" s="1"/>
  <c r="C134" i="10"/>
  <c r="C9" i="21"/>
  <c r="C24" i="13"/>
  <c r="C15" i="20" s="1"/>
  <c r="C21" i="20"/>
  <c r="C17" i="17"/>
  <c r="C18" i="17" s="1"/>
  <c r="D21" i="18"/>
  <c r="H32" i="15"/>
  <c r="H50" i="15" s="1"/>
  <c r="E50" i="15"/>
  <c r="D113" i="10"/>
  <c r="D115" i="10"/>
  <c r="B31" i="14"/>
  <c r="D31" i="14"/>
  <c r="F30" i="14"/>
  <c r="E10" i="16" s="1"/>
  <c r="E42" i="18" l="1"/>
  <c r="E44" i="18" s="1"/>
  <c r="F9" i="17"/>
  <c r="F10" i="17" s="1"/>
  <c r="F12" i="17" s="1"/>
  <c r="F14" i="17" s="1"/>
  <c r="F16" i="20"/>
  <c r="E11" i="16"/>
  <c r="C23" i="19"/>
  <c r="C12" i="19" s="1"/>
  <c r="C19" i="17"/>
  <c r="C21" i="17"/>
  <c r="D16" i="17"/>
  <c r="C22" i="11"/>
  <c r="C123" i="10"/>
  <c r="C125" i="10" s="1"/>
  <c r="C120" i="10"/>
  <c r="D19" i="13" s="1"/>
  <c r="D6" i="21"/>
  <c r="E6" i="9"/>
  <c r="E6" i="15"/>
  <c r="H30" i="14"/>
  <c r="C12" i="16"/>
  <c r="E6" i="8"/>
  <c r="F117" i="10"/>
  <c r="F9" i="8" s="1"/>
  <c r="F116" i="10"/>
  <c r="F119" i="10" s="1"/>
  <c r="H9" i="8"/>
  <c r="K9" i="8" s="1"/>
  <c r="D32" i="14"/>
  <c r="D54" i="14" s="1"/>
  <c r="B32" i="14"/>
  <c r="B39" i="18"/>
  <c r="B44" i="18" s="1"/>
  <c r="E140" i="10"/>
  <c r="F140" i="10" s="1"/>
  <c r="E143" i="10"/>
  <c r="F143" i="10" s="1"/>
  <c r="E139" i="10"/>
  <c r="F139" i="10" s="1"/>
  <c r="E142" i="10"/>
  <c r="F142" i="10" s="1"/>
  <c r="B134" i="10"/>
  <c r="E141" i="10"/>
  <c r="F141" i="10" s="1"/>
  <c r="E144" i="10"/>
  <c r="F144" i="10" s="1"/>
  <c r="B113" i="10"/>
  <c r="B115" i="10"/>
  <c r="E117" i="10"/>
  <c r="F8" i="8" s="1"/>
  <c r="E116" i="10"/>
  <c r="E119" i="10" s="1"/>
  <c r="H8" i="8"/>
  <c r="D117" i="10"/>
  <c r="F7" i="8" s="1"/>
  <c r="H7" i="8"/>
  <c r="D116" i="10"/>
  <c r="D119" i="10" s="1"/>
  <c r="C6" i="21"/>
  <c r="H15" i="20"/>
  <c r="H8" i="21"/>
  <c r="G8" i="16"/>
  <c r="C16" i="20"/>
  <c r="B11" i="16"/>
  <c r="C22" i="18"/>
  <c r="D22" i="18" s="1"/>
  <c r="D15" i="18"/>
  <c r="D120" i="10" l="1"/>
  <c r="E19" i="13" s="1"/>
  <c r="D123" i="10"/>
  <c r="D125" i="10" s="1"/>
  <c r="E123" i="10"/>
  <c r="E125" i="10" s="1"/>
  <c r="E120" i="10"/>
  <c r="F19" i="13" s="1"/>
  <c r="E21" i="9"/>
  <c r="E16" i="9"/>
  <c r="F17" i="9" s="1"/>
  <c r="E13" i="9"/>
  <c r="F14" i="9" s="1"/>
  <c r="E19" i="9"/>
  <c r="F20" i="9" s="1"/>
  <c r="E14" i="9"/>
  <c r="F15" i="9" s="1"/>
  <c r="E18" i="9"/>
  <c r="F19" i="9" s="1"/>
  <c r="E15" i="9"/>
  <c r="F16" i="9" s="1"/>
  <c r="G17" i="9" s="1"/>
  <c r="E20" i="9"/>
  <c r="F21" i="9" s="1"/>
  <c r="E17" i="9"/>
  <c r="F18" i="9" s="1"/>
  <c r="E8" i="9"/>
  <c r="C12" i="21"/>
  <c r="L27" i="21" s="1"/>
  <c r="D19" i="20"/>
  <c r="E7" i="21" s="1"/>
  <c r="C13" i="16"/>
  <c r="D17" i="20" s="1"/>
  <c r="C14" i="16"/>
  <c r="D33" i="19" s="1"/>
  <c r="G32" i="14"/>
  <c r="C11" i="19"/>
  <c r="C11" i="20"/>
  <c r="F12" i="16"/>
  <c r="G19" i="20" s="1"/>
  <c r="E10" i="21" s="1"/>
  <c r="E9" i="8"/>
  <c r="D16" i="13"/>
  <c r="D22" i="13" s="1"/>
  <c r="C23" i="11"/>
  <c r="H6" i="21"/>
  <c r="B13" i="16"/>
  <c r="F123" i="10"/>
  <c r="F125" i="10" s="1"/>
  <c r="F120" i="10"/>
  <c r="G19" i="13" s="1"/>
  <c r="D12" i="16"/>
  <c r="E7" i="8"/>
  <c r="B117" i="10"/>
  <c r="F5" i="8" s="1"/>
  <c r="F11" i="8" s="1"/>
  <c r="B116" i="10"/>
  <c r="H5" i="8"/>
  <c r="F32" i="14"/>
  <c r="F10" i="16" s="1"/>
  <c r="B54" i="14"/>
  <c r="C10" i="21"/>
  <c r="B29" i="21"/>
  <c r="C29" i="21" s="1"/>
  <c r="E12" i="16"/>
  <c r="F19" i="20" s="1"/>
  <c r="E9" i="21" s="1"/>
  <c r="E8" i="8"/>
  <c r="E8" i="15"/>
  <c r="H9" i="21"/>
  <c r="B119" i="10" l="1"/>
  <c r="E13" i="16"/>
  <c r="G19" i="9"/>
  <c r="G12" i="11"/>
  <c r="F16" i="13"/>
  <c r="F22" i="13" s="1"/>
  <c r="H11" i="8"/>
  <c r="E19" i="20"/>
  <c r="E8" i="21" s="1"/>
  <c r="D13" i="16"/>
  <c r="E17" i="20" s="1"/>
  <c r="C17" i="20"/>
  <c r="K6" i="21"/>
  <c r="L6" i="21" s="1"/>
  <c r="F7" i="21"/>
  <c r="G15" i="9"/>
  <c r="B12" i="16"/>
  <c r="E5" i="8"/>
  <c r="E11" i="8" s="1"/>
  <c r="C25" i="12"/>
  <c r="B27" i="12"/>
  <c r="B30" i="12" s="1"/>
  <c r="D4" i="8"/>
  <c r="B26" i="12"/>
  <c r="C25" i="11"/>
  <c r="B123" i="10"/>
  <c r="B125" i="10" s="1"/>
  <c r="B120" i="10"/>
  <c r="C19" i="13" s="1"/>
  <c r="F42" i="18"/>
  <c r="F44" i="18" s="1"/>
  <c r="G9" i="17"/>
  <c r="G10" i="17" s="1"/>
  <c r="G12" i="17" s="1"/>
  <c r="G14" i="17" s="1"/>
  <c r="F11" i="16"/>
  <c r="G16" i="20"/>
  <c r="G10" i="16"/>
  <c r="H12" i="11"/>
  <c r="G16" i="13"/>
  <c r="G22" i="13" s="1"/>
  <c r="H32" i="14"/>
  <c r="G54" i="14"/>
  <c r="G21" i="9"/>
  <c r="F12" i="11"/>
  <c r="E16" i="13"/>
  <c r="E22" i="13" s="1"/>
  <c r="E25" i="13" s="1"/>
  <c r="F17" i="20" l="1"/>
  <c r="F9" i="21" s="1"/>
  <c r="E14" i="16"/>
  <c r="F33" i="19" s="1"/>
  <c r="G25" i="13"/>
  <c r="G36" i="13" s="1"/>
  <c r="C9" i="8"/>
  <c r="F8" i="21"/>
  <c r="D13" i="8"/>
  <c r="G9" i="19"/>
  <c r="H18" i="11"/>
  <c r="D12" i="11"/>
  <c r="C16" i="13"/>
  <c r="C22" i="13" s="1"/>
  <c r="D14" i="16"/>
  <c r="E33" i="19" s="1"/>
  <c r="H10" i="21"/>
  <c r="F13" i="16"/>
  <c r="G17" i="20" s="1"/>
  <c r="F10" i="21" s="1"/>
  <c r="F14" i="16"/>
  <c r="G33" i="19" s="1"/>
  <c r="G11" i="16"/>
  <c r="E36" i="13"/>
  <c r="C7" i="8"/>
  <c r="G4" i="8"/>
  <c r="G13" i="16"/>
  <c r="F25" i="13"/>
  <c r="E9" i="19"/>
  <c r="F18" i="11"/>
  <c r="H16" i="20"/>
  <c r="C19" i="20"/>
  <c r="C13" i="20" s="1"/>
  <c r="G12" i="16"/>
  <c r="B14" i="16"/>
  <c r="H17" i="20"/>
  <c r="F6" i="21"/>
  <c r="F9" i="19"/>
  <c r="G18" i="11"/>
  <c r="G22" i="11" l="1"/>
  <c r="G23" i="11" s="1"/>
  <c r="F36" i="13"/>
  <c r="C8" i="8"/>
  <c r="C33" i="19"/>
  <c r="D34" i="19" s="1"/>
  <c r="E34" i="19" s="1"/>
  <c r="F34" i="19" s="1"/>
  <c r="G34" i="19" s="1"/>
  <c r="G14" i="16"/>
  <c r="C19" i="18"/>
  <c r="F22" i="11"/>
  <c r="F23" i="11" s="1"/>
  <c r="F25" i="11" s="1"/>
  <c r="C25" i="13"/>
  <c r="D25" i="13"/>
  <c r="L4" i="8"/>
  <c r="H12" i="21"/>
  <c r="H22" i="11"/>
  <c r="H23" i="11" s="1"/>
  <c r="H25" i="11"/>
  <c r="F12" i="21"/>
  <c r="E6" i="21"/>
  <c r="H19" i="20"/>
  <c r="C9" i="19"/>
  <c r="C5" i="19" s="1"/>
  <c r="C24" i="19" s="1"/>
  <c r="I12" i="11"/>
  <c r="I18" i="11" s="1"/>
  <c r="D18" i="11"/>
  <c r="E12" i="11"/>
  <c r="D22" i="11" l="1"/>
  <c r="M4" i="8"/>
  <c r="B6" i="14"/>
  <c r="C6" i="15"/>
  <c r="C6" i="9"/>
  <c r="E12" i="21"/>
  <c r="G6" i="21"/>
  <c r="G17" i="17"/>
  <c r="G21" i="20" s="1"/>
  <c r="G26" i="12"/>
  <c r="D9" i="8"/>
  <c r="G9" i="8" s="1"/>
  <c r="L9" i="8" s="1"/>
  <c r="D36" i="13"/>
  <c r="C6" i="8"/>
  <c r="C31" i="19"/>
  <c r="C35" i="19" s="1"/>
  <c r="C38" i="19" s="1"/>
  <c r="C36" i="13"/>
  <c r="C5" i="8"/>
  <c r="D19" i="18"/>
  <c r="C20" i="18"/>
  <c r="D9" i="19"/>
  <c r="E18" i="11"/>
  <c r="F17" i="17"/>
  <c r="F21" i="20" s="1"/>
  <c r="F26" i="12"/>
  <c r="D8" i="8"/>
  <c r="G8" i="8" s="1"/>
  <c r="E17" i="17"/>
  <c r="E21" i="20" s="1"/>
  <c r="E26" i="12"/>
  <c r="D7" i="8"/>
  <c r="G7" i="8" s="1"/>
  <c r="G25" i="11"/>
  <c r="D9" i="21" l="1"/>
  <c r="G9" i="21" s="1"/>
  <c r="F13" i="20"/>
  <c r="C23" i="18"/>
  <c r="D20" i="18"/>
  <c r="F6" i="14"/>
  <c r="D23" i="11"/>
  <c r="I22" i="11"/>
  <c r="E25" i="11"/>
  <c r="E22" i="11"/>
  <c r="E23" i="11" s="1"/>
  <c r="C11" i="8"/>
  <c r="M20" i="8" s="1"/>
  <c r="D10" i="21"/>
  <c r="G10" i="21" s="1"/>
  <c r="G13" i="20"/>
  <c r="G6" i="9"/>
  <c r="D8" i="21"/>
  <c r="G8" i="21" s="1"/>
  <c r="E13" i="20"/>
  <c r="M6" i="21"/>
  <c r="G6" i="15"/>
  <c r="C26" i="18" l="1"/>
  <c r="C27" i="18" s="1"/>
  <c r="C31" i="18" s="1"/>
  <c r="D23" i="18"/>
  <c r="D26" i="18" s="1"/>
  <c r="D27" i="18" s="1"/>
  <c r="N6" i="21"/>
  <c r="C26" i="12"/>
  <c r="D5" i="8"/>
  <c r="I23" i="11"/>
  <c r="D25" i="11"/>
  <c r="D17" i="17"/>
  <c r="D26" i="12"/>
  <c r="D6" i="8"/>
  <c r="G6" i="8" s="1"/>
  <c r="D21" i="20" l="1"/>
  <c r="D18" i="17"/>
  <c r="C7" i="15"/>
  <c r="B7" i="14"/>
  <c r="C7" i="9"/>
  <c r="I25" i="11"/>
  <c r="D11" i="8"/>
  <c r="I14" i="8"/>
  <c r="G5" i="8"/>
  <c r="G11" i="8" s="1"/>
  <c r="C27" i="12"/>
  <c r="I23" i="12"/>
  <c r="C28" i="12"/>
  <c r="J5" i="8" s="1"/>
  <c r="C7" i="20"/>
  <c r="C32" i="18"/>
  <c r="D32" i="18" s="1"/>
  <c r="D31" i="18"/>
  <c r="E31" i="18" s="1"/>
  <c r="K5" i="8" l="1"/>
  <c r="F7" i="14"/>
  <c r="B8" i="14"/>
  <c r="C7" i="14" s="1"/>
  <c r="E32" i="18"/>
  <c r="E30" i="18"/>
  <c r="E29" i="18"/>
  <c r="G7" i="15"/>
  <c r="C8" i="15"/>
  <c r="D7" i="15" s="1"/>
  <c r="B25" i="21"/>
  <c r="C5" i="20"/>
  <c r="C24" i="20" s="1"/>
  <c r="C27" i="20" s="1"/>
  <c r="H7" i="20"/>
  <c r="D25" i="12"/>
  <c r="C30" i="12"/>
  <c r="D19" i="17"/>
  <c r="D21" i="17"/>
  <c r="E16" i="17"/>
  <c r="E18" i="17" s="1"/>
  <c r="D23" i="19"/>
  <c r="D12" i="19" s="1"/>
  <c r="D7" i="9"/>
  <c r="G7" i="9"/>
  <c r="C8" i="9"/>
  <c r="D7" i="21"/>
  <c r="H21" i="20"/>
  <c r="H13" i="20" s="1"/>
  <c r="D13" i="20"/>
  <c r="H7" i="9" l="1"/>
  <c r="G8" i="9"/>
  <c r="D11" i="20"/>
  <c r="D11" i="19"/>
  <c r="C28" i="20"/>
  <c r="D6" i="20"/>
  <c r="H7" i="15"/>
  <c r="G8" i="15"/>
  <c r="L5" i="8"/>
  <c r="G7" i="21"/>
  <c r="G12" i="21" s="1"/>
  <c r="D12" i="21"/>
  <c r="C25" i="21"/>
  <c r="C31" i="21" s="1"/>
  <c r="B31" i="21"/>
  <c r="E7" i="14"/>
  <c r="E5" i="14"/>
  <c r="C5" i="14"/>
  <c r="G5" i="14"/>
  <c r="E6" i="14"/>
  <c r="E8" i="14"/>
  <c r="C6" i="14"/>
  <c r="G6" i="14"/>
  <c r="F7" i="9"/>
  <c r="F5" i="9"/>
  <c r="D5" i="9"/>
  <c r="H5" i="9"/>
  <c r="F6" i="9"/>
  <c r="F8" i="9"/>
  <c r="D6" i="9"/>
  <c r="H6" i="9"/>
  <c r="E23" i="19"/>
  <c r="E12" i="19" s="1"/>
  <c r="E21" i="17"/>
  <c r="F16" i="17"/>
  <c r="F18" i="17" s="1"/>
  <c r="E19" i="17"/>
  <c r="D28" i="12"/>
  <c r="J6" i="8" s="1"/>
  <c r="D27" i="12"/>
  <c r="F7" i="15"/>
  <c r="F5" i="15"/>
  <c r="D5" i="15"/>
  <c r="H5" i="15"/>
  <c r="F6" i="15"/>
  <c r="F8" i="15"/>
  <c r="D6" i="15"/>
  <c r="H6" i="15"/>
  <c r="G7" i="14"/>
  <c r="F8" i="14"/>
  <c r="C32" i="19" s="1"/>
  <c r="D32" i="19" s="1"/>
  <c r="E32" i="19" s="1"/>
  <c r="F32" i="19" s="1"/>
  <c r="G32" i="19" s="1"/>
  <c r="D8" i="9" l="1"/>
  <c r="C8" i="14"/>
  <c r="D5" i="20"/>
  <c r="D24" i="20" s="1"/>
  <c r="D27" i="20" s="1"/>
  <c r="D8" i="19"/>
  <c r="D5" i="19" s="1"/>
  <c r="D24" i="19" s="1"/>
  <c r="E25" i="12"/>
  <c r="D30" i="12"/>
  <c r="M5" i="8"/>
  <c r="E11" i="20"/>
  <c r="K8" i="21" s="1"/>
  <c r="L8" i="21" s="1"/>
  <c r="M8" i="21" s="1"/>
  <c r="E11" i="19"/>
  <c r="H8" i="9"/>
  <c r="G8" i="14"/>
  <c r="K7" i="21"/>
  <c r="F21" i="17"/>
  <c r="G16" i="17"/>
  <c r="G18" i="17" s="1"/>
  <c r="F23" i="19"/>
  <c r="F12" i="19" s="1"/>
  <c r="F19" i="17"/>
  <c r="H8" i="15"/>
  <c r="E25" i="21"/>
  <c r="D8" i="15"/>
  <c r="K6" i="8"/>
  <c r="J14" i="8"/>
  <c r="L6" i="8" l="1"/>
  <c r="F11" i="20"/>
  <c r="F11" i="19"/>
  <c r="D28" i="20"/>
  <c r="E6" i="20"/>
  <c r="D31" i="19"/>
  <c r="D35" i="19" s="1"/>
  <c r="D38" i="19"/>
  <c r="L7" i="21"/>
  <c r="F25" i="21"/>
  <c r="G23" i="19"/>
  <c r="G12" i="19" s="1"/>
  <c r="G19" i="17"/>
  <c r="G21" i="17"/>
  <c r="M6" i="8"/>
  <c r="E28" i="12"/>
  <c r="J7" i="8" s="1"/>
  <c r="E27" i="12"/>
  <c r="J13" i="12"/>
  <c r="G11" i="19" l="1"/>
  <c r="G11" i="20"/>
  <c r="K10" i="21" s="1"/>
  <c r="K7" i="8"/>
  <c r="M7" i="21"/>
  <c r="E8" i="19"/>
  <c r="E5" i="19" s="1"/>
  <c r="E24" i="19" s="1"/>
  <c r="E5" i="20"/>
  <c r="E24" i="20" s="1"/>
  <c r="E27" i="20" s="1"/>
  <c r="G25" i="21"/>
  <c r="F25" i="12"/>
  <c r="E30" i="12"/>
  <c r="K9" i="21"/>
  <c r="L9" i="21" s="1"/>
  <c r="M9" i="21" s="1"/>
  <c r="H11" i="20"/>
  <c r="H5" i="20" s="1"/>
  <c r="H24" i="20" s="1"/>
  <c r="H27" i="20" s="1"/>
  <c r="E26" i="21"/>
  <c r="F27" i="12" l="1"/>
  <c r="F28" i="12"/>
  <c r="J8" i="8" s="1"/>
  <c r="L7" i="8"/>
  <c r="H25" i="21"/>
  <c r="N7" i="21"/>
  <c r="N8" i="21" s="1"/>
  <c r="N9" i="21" s="1"/>
  <c r="L10" i="21"/>
  <c r="K12" i="21"/>
  <c r="L26" i="21" s="1"/>
  <c r="E31" i="19"/>
  <c r="E35" i="19" s="1"/>
  <c r="E38" i="19" s="1"/>
  <c r="F26" i="21"/>
  <c r="F6" i="20"/>
  <c r="E28" i="20"/>
  <c r="G26" i="21" l="1"/>
  <c r="M10" i="21"/>
  <c r="L12" i="21"/>
  <c r="H26" i="21"/>
  <c r="M7" i="8"/>
  <c r="K8" i="8"/>
  <c r="J11" i="8"/>
  <c r="E27" i="21"/>
  <c r="F5" i="20"/>
  <c r="F24" i="20" s="1"/>
  <c r="F27" i="20" s="1"/>
  <c r="F8" i="19"/>
  <c r="F5" i="19" s="1"/>
  <c r="F24" i="19" s="1"/>
  <c r="G25" i="12"/>
  <c r="F30" i="12"/>
  <c r="L8" i="8" l="1"/>
  <c r="K11" i="8"/>
  <c r="D16" i="21"/>
  <c r="M12" i="21"/>
  <c r="L28" i="21" s="1"/>
  <c r="F31" i="19"/>
  <c r="F35" i="19" s="1"/>
  <c r="F38" i="19"/>
  <c r="F28" i="20"/>
  <c r="G6" i="20"/>
  <c r="N10" i="21"/>
  <c r="N12" i="21" s="1"/>
  <c r="D14" i="21" s="1"/>
  <c r="M8" i="8"/>
  <c r="J15" i="8"/>
  <c r="M19" i="8"/>
  <c r="G28" i="12"/>
  <c r="G27" i="12"/>
  <c r="G30" i="12" s="1"/>
  <c r="F27" i="21"/>
  <c r="D15" i="21"/>
  <c r="G5" i="20" l="1"/>
  <c r="G24" i="20" s="1"/>
  <c r="G27" i="20" s="1"/>
  <c r="G28" i="20" s="1"/>
  <c r="E29" i="21" s="1"/>
  <c r="F29" i="21" s="1"/>
  <c r="G29" i="21" s="1"/>
  <c r="G8" i="19"/>
  <c r="G5" i="19" s="1"/>
  <c r="G24" i="19" s="1"/>
  <c r="G27" i="21"/>
  <c r="E28" i="21"/>
  <c r="H28" i="20"/>
  <c r="M9" i="8"/>
  <c r="D14" i="8"/>
  <c r="L11" i="8"/>
  <c r="M21" i="8" s="1"/>
  <c r="D15" i="8"/>
  <c r="H27" i="21" l="1"/>
  <c r="J31" i="21"/>
  <c r="D32" i="20"/>
  <c r="G31" i="19"/>
  <c r="G35" i="19" s="1"/>
  <c r="L36" i="21" s="1"/>
  <c r="F28" i="21"/>
  <c r="E31" i="21"/>
  <c r="G38" i="19" l="1"/>
  <c r="G28" i="21"/>
  <c r="F31" i="21"/>
  <c r="H28" i="21"/>
  <c r="D35" i="21" l="1"/>
  <c r="H29" i="21"/>
  <c r="G31" i="21"/>
  <c r="D36" i="21"/>
  <c r="D34" i="21" l="1"/>
  <c r="L33" i="21"/>
  <c r="L32" i="21"/>
  <c r="L34" i="21"/>
  <c r="L30" i="21"/>
  <c r="L31" i="21"/>
  <c r="J3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2" authorId="0" shapeId="0" xr:uid="{00000000-0006-0000-0100-000001000000}">
      <text>
        <r>
          <rPr>
            <sz val="10"/>
            <color rgb="FF000000"/>
            <rFont val="Arial"/>
          </rPr>
          <t>Sale de 11138 lentes a elaborar / 150 lentes por placa
	-mauro corigliano</t>
        </r>
      </text>
    </comment>
    <comment ref="J18" authorId="0" shapeId="0" xr:uid="{00000000-0006-0000-0100-000002000000}">
      <text>
        <r>
          <rPr>
            <sz val="10"/>
            <color rgb="FF000000"/>
            <rFont val="Arial"/>
          </rPr>
          <t>El ciclo dura 5 días dado que en el tamboreado se deben dejar una semana los marcos.
	-mauro corigliano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19" authorId="0" shapeId="0" xr:uid="{00000000-0006-0000-0200-000001000000}">
      <text>
        <r>
          <rPr>
            <sz val="10"/>
            <color rgb="FF000000"/>
            <rFont val="Arial"/>
          </rPr>
          <t>Boullon, Franco Emanuel:
La diferencia de esto me da el material perdido</t>
        </r>
      </text>
    </comment>
    <comment ref="J20" authorId="0" shapeId="0" xr:uid="{00000000-0006-0000-0200-000002000000}">
      <text>
        <r>
          <rPr>
            <sz val="10"/>
            <color rgb="FF000000"/>
            <rFont val="Arial"/>
          </rPr>
          <t>Este cálculo se repite en la hoja de cantidad de máquinas operativas.
Lo que se hizo fue tomar los 14850 anteojos como ingreso y se le sumo lo que equivale el peso de desperdicio de la primer sección en anteojos (desperdicio 1er sección * peso de anteojos = anteojos por desperdicio)
	-Lucas Diorio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300-000001000000}">
      <text>
        <r>
          <rPr>
            <sz val="10"/>
            <color rgb="FF000000"/>
            <rFont val="Arial"/>
          </rPr>
          <t>SON DOLARES
	-mauro corigliano</t>
        </r>
      </text>
    </comment>
    <comment ref="C40" authorId="0" shapeId="0" xr:uid="{00000000-0006-0000-0300-000002000000}">
      <text>
        <r>
          <rPr>
            <sz val="10"/>
            <color rgb="FF000000"/>
            <rFont val="Arial"/>
          </rPr>
          <t>Galpón Metálico
	-Lucas Diorio</t>
        </r>
      </text>
    </comment>
    <comment ref="L191" authorId="0" shapeId="0" xr:uid="{00000000-0006-0000-0300-000003000000}">
      <text>
        <r>
          <rPr>
            <sz val="10"/>
            <color rgb="FF000000"/>
            <rFont val="Arial"/>
          </rPr>
          <t>Es el 90% del año 2 según el tecnólogo.
	-Lucas Diorio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2" authorId="0" shapeId="0" xr:uid="{00000000-0006-0000-0600-000001000000}">
      <text>
        <r>
          <rPr>
            <sz val="10"/>
            <color rgb="FF000000"/>
            <rFont val="Arial"/>
          </rPr>
          <t>Se incluye la mitad de mercadería en curso destinada a ser producto elaborado para tener en cuenta la incidencia de la mercadería en proceso expresada en una cantidad de producto terminado.
	-Lucas Diorio</t>
        </r>
      </text>
    </comment>
    <comment ref="B64" authorId="0" shapeId="0" xr:uid="{00000000-0006-0000-0600-000002000000}">
      <text>
        <r>
          <rPr>
            <sz val="10"/>
            <color rgb="FF000000"/>
            <rFont val="Arial"/>
          </rPr>
          <t>Mitad de mercadería en curso destinada a ser producto elaborado para tener en cuenta la incidencia de la mercadería en proceso expresada en una cantidad de producto terminado.
	-Lucas Diorio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900-000001000000}">
      <text>
        <r>
          <rPr>
            <sz val="10"/>
            <color rgb="FF000000"/>
            <rFont val="Arial"/>
          </rPr>
          <t>Es el 90% del año 2 según el tecnólogo.
	-Lucas Diorio</t>
        </r>
      </text>
    </comment>
    <comment ref="C8" authorId="0" shapeId="0" xr:uid="{00000000-0006-0000-0900-000002000000}">
      <text>
        <r>
          <rPr>
            <sz val="10"/>
            <color rgb="FF000000"/>
            <rFont val="Arial"/>
          </rPr>
          <t>1 Operario Calificado
5 Operarios
	-Lucas Diorio</t>
        </r>
      </text>
    </comment>
    <comment ref="B11" authorId="0" shapeId="0" xr:uid="{00000000-0006-0000-0900-000003000000}">
      <text>
        <r>
          <rPr>
            <sz val="10"/>
            <color rgb="FF000000"/>
            <rFont val="Arial"/>
          </rPr>
          <t>Es el 90% de los siguientes años según el Tecnólogo
	-Lucas Diorio</t>
        </r>
      </text>
    </comment>
    <comment ref="B16" authorId="0" shapeId="0" xr:uid="{00000000-0006-0000-0900-000004000000}">
      <text>
        <r>
          <rPr>
            <sz val="10"/>
            <color rgb="FF000000"/>
            <rFont val="Arial"/>
          </rPr>
          <t>Segun la guia 2% del total de gastos de producción  se toma como imprevistos
	-mauro corigliano</t>
        </r>
      </text>
    </comment>
    <comment ref="C53" authorId="0" shapeId="0" xr:uid="{00000000-0006-0000-0900-000005000000}">
      <text>
        <r>
          <rPr>
            <sz val="10"/>
            <color rgb="FF000000"/>
            <rFont val="Arial"/>
          </rPr>
          <t>5% del total va imputado a administración
	-mauro corigliano</t>
        </r>
      </text>
    </comment>
    <comment ref="B54" authorId="0" shapeId="0" xr:uid="{00000000-0006-0000-0900-000006000000}">
      <text>
        <r>
          <rPr>
            <sz val="10"/>
            <color rgb="FF000000"/>
            <rFont val="Arial"/>
          </rPr>
          <t>Formula de la guia
	-mauro corigliano</t>
        </r>
      </text>
    </comment>
    <comment ref="C55" authorId="0" shapeId="0" xr:uid="{00000000-0006-0000-0900-000007000000}">
      <text>
        <r>
          <rPr>
            <sz val="10"/>
            <color rgb="FF000000"/>
            <rFont val="Arial"/>
          </rPr>
          <t>2% se imputa a admin
	-mauro corigliano</t>
        </r>
      </text>
    </comment>
    <comment ref="A86" authorId="0" shapeId="0" xr:uid="{00000000-0006-0000-0900-000008000000}">
      <text>
        <r>
          <rPr>
            <sz val="10"/>
            <color rgb="FF000000"/>
            <rFont val="Arial"/>
          </rPr>
          <t>Pusimos el promedio de los dos productos
	-Lucas Diorio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5" authorId="0" shapeId="0" xr:uid="{00000000-0006-0000-0A00-000001000000}">
      <text>
        <r>
          <rPr>
            <sz val="10"/>
            <color rgb="FF000000"/>
            <rFont val="Arial"/>
          </rPr>
          <t>Se considera según la guía un porcentaje sobre el stock de materiales del año 1
	-Germán Striker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4" authorId="0" shapeId="0" xr:uid="{00000000-0006-0000-0D00-000001000000}">
      <text>
        <r>
          <rPr>
            <sz val="10"/>
            <color rgb="FF000000"/>
            <rFont val="Arial"/>
          </rPr>
          <t>Kd = Intereses devengados en el año/deuda total promedio en el año.EJERCICIO 52
	-mauro corigliano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3" authorId="0" shapeId="0" xr:uid="{00000000-0006-0000-1200-000001000000}">
      <text>
        <r>
          <rPr>
            <sz val="10"/>
            <color rgb="FF000000"/>
            <rFont val="Arial"/>
          </rPr>
          <t>Tengo dudas sobre ambas utilidades
	-mauro corigliano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31" authorId="0" shapeId="0" xr:uid="{00000000-0006-0000-1400-000001000000}">
      <text>
        <r>
          <rPr>
            <sz val="10"/>
            <color rgb="FF000000"/>
            <rFont val="Arial"/>
          </rPr>
          <t>Da correcto,la diferencia es por decimales.
	-mauro corigliano</t>
        </r>
      </text>
    </comment>
  </commentList>
</comments>
</file>

<file path=xl/sharedStrings.xml><?xml version="1.0" encoding="utf-8"?>
<sst xmlns="http://schemas.openxmlformats.org/spreadsheetml/2006/main" count="1566" uniqueCount="946">
  <si>
    <t>BALANCE ANUAL DEL MATERIAL</t>
  </si>
  <si>
    <t>9 - DETERMINAR EL CONSUMO DE MATERIA PRIMA PARA EL PROGRAMA DE PRODUCCION Y FORMACION DE LA MERCADERIA EN CURSO Y SEMIELABORADA</t>
  </si>
  <si>
    <t>6- DETERMINAR LA EVOLUCIÓN DE LA PRODUCCION</t>
  </si>
  <si>
    <t>Datos Para Cálculos Técnicos</t>
  </si>
  <si>
    <t>Vida util del proyecto = 5 años</t>
  </si>
  <si>
    <t>Período de puesta en marcha</t>
  </si>
  <si>
    <t>Período de puesta en marcha = 3 meses</t>
  </si>
  <si>
    <t>100 % más de desperdicio</t>
  </si>
  <si>
    <t xml:space="preserve">Días de vacaciones = 15 </t>
  </si>
  <si>
    <t>Días feriados oficiales = 10</t>
  </si>
  <si>
    <t>Volumen de producción mensual promedio</t>
  </si>
  <si>
    <t>Patilla + Lentilla + Bisagra macho</t>
  </si>
  <si>
    <t>Días de producción</t>
  </si>
  <si>
    <t>kg/mes</t>
  </si>
  <si>
    <t>anteojos/mes</t>
  </si>
  <si>
    <t>Mes</t>
  </si>
  <si>
    <t>días</t>
  </si>
  <si>
    <t>Ritmo de produccion al inicio (%)</t>
  </si>
  <si>
    <t>Ritmo de produccion al final (%)</t>
  </si>
  <si>
    <t>Produccion promedio (%)</t>
  </si>
  <si>
    <t>Produccion mensual promedio (kg)</t>
  </si>
  <si>
    <t>Produccion mensual promedio (anteojos)</t>
  </si>
  <si>
    <t>Produccion propuesta (kg)</t>
  </si>
  <si>
    <t>Produccion propuesta (anteojos)</t>
  </si>
  <si>
    <t>gr</t>
  </si>
  <si>
    <t>Ciclos de elaboración por año</t>
  </si>
  <si>
    <t>ciclos</t>
  </si>
  <si>
    <t>Consumo de materia prima en los primeros 3 meses (puesta en marcha)</t>
  </si>
  <si>
    <t>kg</t>
  </si>
  <si>
    <t>Consumo de MP por producto terminado</t>
  </si>
  <si>
    <t>Consumo de materia prima 9 meses restantes</t>
  </si>
  <si>
    <t>Bisagra Hembra</t>
  </si>
  <si>
    <t xml:space="preserve">Franela + Estuche </t>
  </si>
  <si>
    <t>Marco</t>
  </si>
  <si>
    <t>Total materia prima para producción</t>
  </si>
  <si>
    <t>Los desperdicios se dan hasta la sección 2. En el púlido lo consideramos despreciable y sin sentido con respecto a la sección 1 y 2.</t>
  </si>
  <si>
    <t>Exceso en el consumo debido a Pta en Marcha</t>
  </si>
  <si>
    <t>Volumen de la producción realizada en el año 1</t>
  </si>
  <si>
    <t>Desperdicio no recuperable por la producción realizada</t>
  </si>
  <si>
    <t>Gasto Anual</t>
  </si>
  <si>
    <t>Volúmen de materia prima requerido: la alimentación del proceso durante el ciclo de elaboración (5 días) es:</t>
  </si>
  <si>
    <t>PESO TOTAL</t>
  </si>
  <si>
    <t>Peso por plancha</t>
  </si>
  <si>
    <t>Espesor material (Plancha y Anteojo)</t>
  </si>
  <si>
    <t>mm</t>
  </si>
  <si>
    <t>cm</t>
  </si>
  <si>
    <t>Está destinada a ser :</t>
  </si>
  <si>
    <t>Densidad material</t>
  </si>
  <si>
    <t>gr/cm3</t>
  </si>
  <si>
    <t>Cálculos auxiliares</t>
  </si>
  <si>
    <t>Volumen por anteojo (por Autocad)</t>
  </si>
  <si>
    <t>cm3</t>
  </si>
  <si>
    <t>Producto elaborado</t>
  </si>
  <si>
    <t>Area por anteojo - (por Autocad)</t>
  </si>
  <si>
    <t>cm2</t>
  </si>
  <si>
    <t>Desperdidio no recuperable</t>
  </si>
  <si>
    <t>Peso por marco de anteojo</t>
  </si>
  <si>
    <t xml:space="preserve">Cantidad </t>
  </si>
  <si>
    <t>unidades</t>
  </si>
  <si>
    <t>mm2</t>
  </si>
  <si>
    <t>Peso total</t>
  </si>
  <si>
    <t>TOTALES PM</t>
  </si>
  <si>
    <t xml:space="preserve">SECCIONES (*) </t>
  </si>
  <si>
    <t>Desperdidico recuperable a reciclar</t>
  </si>
  <si>
    <t>Total de materia prima en mercadería en curso y se</t>
  </si>
  <si>
    <t xml:space="preserve">ALIMENTACION </t>
  </si>
  <si>
    <t>ALIMENTACION (anteojos)</t>
  </si>
  <si>
    <t>ALIMENTACION (kg)</t>
  </si>
  <si>
    <t>DESPERDICIOS (kg/año)</t>
  </si>
  <si>
    <t>Año 1</t>
  </si>
  <si>
    <t>Consumo MP para vol prod año 1</t>
  </si>
  <si>
    <t>PRODUCCIONES SECCIONALES (kg)</t>
  </si>
  <si>
    <t>Consumo mercaderia en curso y se</t>
  </si>
  <si>
    <t>PRODUCCIONES SECCIONALES (Anteojos)</t>
  </si>
  <si>
    <t>Total consumo MP en el año 1</t>
  </si>
  <si>
    <t>Año 2 a 5</t>
  </si>
  <si>
    <t>Consumo destinado a la producción</t>
  </si>
  <si>
    <t>Volumen de producción durante el resto del año 1</t>
  </si>
  <si>
    <t>Producción Anual</t>
  </si>
  <si>
    <t>Desperdicios no recuperables</t>
  </si>
  <si>
    <t>anteojos</t>
  </si>
  <si>
    <t>Meses restantes (Sin Puesta en Marcha)</t>
  </si>
  <si>
    <t>Volumen de producción en el año 1:</t>
  </si>
  <si>
    <t>RECUPERABLES</t>
  </si>
  <si>
    <t>Volumen de producción en los años 2 al 5:</t>
  </si>
  <si>
    <t>NO RECUPERABLES</t>
  </si>
  <si>
    <t>ANTEOJOS NO REC</t>
  </si>
  <si>
    <t>Corte Sierra</t>
  </si>
  <si>
    <t>99 (Planchas de Acet)</t>
  </si>
  <si>
    <t>SECCION 1</t>
  </si>
  <si>
    <t>Volumen total por plancha</t>
  </si>
  <si>
    <t>mm3</t>
  </si>
  <si>
    <t>Corte CNC</t>
  </si>
  <si>
    <t>14850 (Placas Recortadas)</t>
  </si>
  <si>
    <t>Volumen total por placa para la CNC</t>
  </si>
  <si>
    <t>Tamboreado</t>
  </si>
  <si>
    <t>14850 (Marcos)</t>
  </si>
  <si>
    <t>Volumen recuperable por corte  (sierra)</t>
  </si>
  <si>
    <t>Limpieza ultrafrecuencia</t>
  </si>
  <si>
    <t>Pulido trasero</t>
  </si>
  <si>
    <t>Embisagrado</t>
  </si>
  <si>
    <t>29700 (Bisagras) + 14850 (Marcos)</t>
  </si>
  <si>
    <t>Curvados</t>
  </si>
  <si>
    <t>Pulido final</t>
  </si>
  <si>
    <t>Corte y Colocación de patillas y lentes</t>
  </si>
  <si>
    <t>29700 (Patillas, lentes y bisagras) + 14850 (Marcos)</t>
  </si>
  <si>
    <t>Peso por corte recuperable</t>
  </si>
  <si>
    <t>Embalaje</t>
  </si>
  <si>
    <t>14850 (Anteojos + Franela + Estuche)</t>
  </si>
  <si>
    <t>Electricidad</t>
  </si>
  <si>
    <t>Cantidad</t>
  </si>
  <si>
    <t>PLAN DE VENTAS</t>
  </si>
  <si>
    <t>Maquina</t>
  </si>
  <si>
    <t>Consumo (watt)</t>
  </si>
  <si>
    <t>Cantidad de maquinas a usar</t>
  </si>
  <si>
    <t>Total dia</t>
  </si>
  <si>
    <t>Edenor</t>
  </si>
  <si>
    <t>http://www.edenor.com.ar/cms/files/SP/CuadroTarifario.pdf</t>
  </si>
  <si>
    <t>Embisagradora</t>
  </si>
  <si>
    <t>Volumen Total Ing. 1era Sección</t>
  </si>
  <si>
    <t>Consumo Real de Materia Prima</t>
  </si>
  <si>
    <t>Sierra Circular</t>
  </si>
  <si>
    <t>Porcentaje de Desperdicio Operativo en funcion de la alimentación</t>
  </si>
  <si>
    <t>Cantidades año 1</t>
  </si>
  <si>
    <t>CNC</t>
  </si>
  <si>
    <t>Prensa para curvado</t>
  </si>
  <si>
    <t>Destalonadora</t>
  </si>
  <si>
    <t>Tornos de mano</t>
  </si>
  <si>
    <t>Tambores de pulido</t>
  </si>
  <si>
    <t>Pulidora</t>
  </si>
  <si>
    <t>Cantidades año 2</t>
  </si>
  <si>
    <t>Limpiadoras de ultrasonido</t>
  </si>
  <si>
    <t>Tampografo</t>
  </si>
  <si>
    <t>Computadoras</t>
  </si>
  <si>
    <t>Lámpara de escritorio</t>
  </si>
  <si>
    <t>Impresora laser multifunción</t>
  </si>
  <si>
    <t>Cantidades año 3</t>
  </si>
  <si>
    <t>Cantidades año 4</t>
  </si>
  <si>
    <t>Cantidades año 5</t>
  </si>
  <si>
    <t>Proyector con pantalla</t>
  </si>
  <si>
    <t>Teléfonos inalámbricos</t>
  </si>
  <si>
    <t>Ventilador</t>
  </si>
  <si>
    <t>Aire Acondicionado</t>
  </si>
  <si>
    <t>Microondas</t>
  </si>
  <si>
    <t>SECCION 2</t>
  </si>
  <si>
    <t>Heladera</t>
  </si>
  <si>
    <t>Tasa de Imp. Inmobiliario</t>
  </si>
  <si>
    <t>WallWood + Arcu</t>
  </si>
  <si>
    <t>Imputable a producción</t>
  </si>
  <si>
    <t>Volumen no recuperable por placa para CNC</t>
  </si>
  <si>
    <t>Luz de emergencia</t>
  </si>
  <si>
    <t>Tasa Municipal</t>
  </si>
  <si>
    <t>Camaras de seguridad</t>
  </si>
  <si>
    <t>Total Watts</t>
  </si>
  <si>
    <t>Total Kwatt Dia</t>
  </si>
  <si>
    <t>Porcentaje de Desperdicio Real en funcion de la alimentación</t>
  </si>
  <si>
    <t>INGRESOS BRUTOS (COMERCIAL)</t>
  </si>
  <si>
    <t>Total Kwatt Mes</t>
  </si>
  <si>
    <t>Peso recorte no recuperable por placa</t>
  </si>
  <si>
    <t>Cargo fijo Edenor usuarios con consumo mayor a 2000 Kw mes</t>
  </si>
  <si>
    <t>TOTAL</t>
  </si>
  <si>
    <t>Valor Kw</t>
  </si>
  <si>
    <t>2 dias de mantenimiento INCLUIDOS</t>
  </si>
  <si>
    <t>Gasto ELECTRICO DIA</t>
  </si>
  <si>
    <t xml:space="preserve">Peso recorte no recup total </t>
  </si>
  <si>
    <t>marco</t>
  </si>
  <si>
    <t>patillas (2) + bisagra macho (2) + lentillas</t>
  </si>
  <si>
    <t>estuche + franela</t>
  </si>
  <si>
    <t>bisagra hembra</t>
  </si>
  <si>
    <t>POR PLANCHA DE ACETATO SALEN 150 PLACAS A LA SECCION 2</t>
  </si>
  <si>
    <t>DEL LADO DE 600MM QUEDA JUSTO 15 PLACAS DE 40MM</t>
  </si>
  <si>
    <t>DEL LADO DE 1400MM QUEDAN 10 PLACAS OCUPANDO EN TOTAL 1335 MM</t>
  </si>
  <si>
    <t>POR LO TANTO 1400-1355 = 45 MM</t>
  </si>
  <si>
    <t>45 MM * 600 MM = 27000 MM2 * 4 MM = 108000 MM3 = 108 CM3 * 1,32 g/cm3 =142,56 g = 0,14256 Kg POR PLACA</t>
  </si>
  <si>
    <t>99 PLACAS AL AÑO * 0,14256 Kg = 14,11344 Kg DNR POR AÑO SECCION 1</t>
  </si>
  <si>
    <t>Gasto ELECTRICO MES</t>
  </si>
  <si>
    <t>Area</t>
  </si>
  <si>
    <t>Consumo m3/mes</t>
  </si>
  <si>
    <t>Total Consumo MES</t>
  </si>
  <si>
    <t>Agua</t>
  </si>
  <si>
    <t>15 Personas</t>
  </si>
  <si>
    <t>Baños</t>
  </si>
  <si>
    <t>Vestuarios</t>
  </si>
  <si>
    <t>Cocina</t>
  </si>
  <si>
    <t>Limpieza</t>
  </si>
  <si>
    <t>Extra</t>
  </si>
  <si>
    <t>Total m3/MES</t>
  </si>
  <si>
    <t>PRECIO ($)</t>
  </si>
  <si>
    <t>Precio año 1</t>
  </si>
  <si>
    <t>Precio año 2</t>
  </si>
  <si>
    <t>Precio año 3</t>
  </si>
  <si>
    <t>Precio año 4</t>
  </si>
  <si>
    <t>Precio año 5</t>
  </si>
  <si>
    <t>https://www.aya.go.cr/centroDocumetacion/catalogoGeneral/Estimaci%C3%B3n%20de%20consumo%20de%20agua%20potable%20en%20una%20casa.pdf</t>
  </si>
  <si>
    <t>Valor Fijo Aysa</t>
  </si>
  <si>
    <t>Valor por m3 Aysa</t>
  </si>
  <si>
    <t>Gasto Agua MES</t>
  </si>
  <si>
    <t>Gasto Agua Mes</t>
  </si>
  <si>
    <t>Gas</t>
  </si>
  <si>
    <t>Valor Fijo MetroGas ($)</t>
  </si>
  <si>
    <t>Valor m3 ($/m3)</t>
  </si>
  <si>
    <t>Gasto GAS MES</t>
  </si>
  <si>
    <t>Energía Eléctrica</t>
  </si>
  <si>
    <t>Gasto Año 1</t>
  </si>
  <si>
    <t>Promedio</t>
  </si>
  <si>
    <t>ESTA PLANILLA PUEDE SER UTILIZADA SOLAMENTE PARA EL TRABAJO PRACTICO:</t>
  </si>
  <si>
    <t>Reglas y consideraciones a tener en cuenta antes de entregar para corregir</t>
  </si>
  <si>
    <t>VENTAS</t>
  </si>
  <si>
    <t>Ventas año 1</t>
  </si>
  <si>
    <t>Ventas año 2</t>
  </si>
  <si>
    <t>Ventas año 3</t>
  </si>
  <si>
    <t>Ventas año 4</t>
  </si>
  <si>
    <t>Ventas año 5</t>
  </si>
  <si>
    <t>Tasa porcentual de IVA</t>
  </si>
  <si>
    <r>
      <rPr>
        <sz val="10"/>
        <color rgb="FFFFFFFF"/>
        <rFont val="Arial"/>
      </rPr>
      <t xml:space="preserve">1. TODAS las celdas que tomen datos de otra parte del archivo deben estar referenciadas con una </t>
    </r>
    <r>
      <rPr>
        <b/>
        <sz val="10"/>
        <color rgb="FFFFFFFF"/>
        <rFont val="Arial"/>
      </rPr>
      <t>FÓRMULA</t>
    </r>
    <r>
      <rPr>
        <sz val="10"/>
        <color rgb="FFFFFFFF"/>
        <rFont val="Arial"/>
      </rPr>
      <t>. No se corregirán TPs con datos escritos como valores (esto vale incluso para la tasa de HD, IG e IVA). Tampoco se aceptarán fórmulas que hagan referencia a otros archivos.</t>
    </r>
  </si>
  <si>
    <t>ESTA PLANILLA PUEDE SER UTILIZADA SOLAMENTE PARA EL TRABAJO PRACTICO</t>
  </si>
  <si>
    <t>Tasa porcentual de Impuesto a las Ganancias</t>
  </si>
  <si>
    <t>Inversión Inicial en Activo Fijo</t>
  </si>
  <si>
    <t>Honorarios al Directorio</t>
  </si>
  <si>
    <t>Variable sobre Utilidad económica antes de HD e IG</t>
  </si>
  <si>
    <t>Gasto interno (en $)</t>
  </si>
  <si>
    <t>Gasto Externo (en $)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</si>
  <si>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</si>
  <si>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</si>
  <si>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</rPr>
      <t>2. TODOS</t>
    </r>
    <r>
      <rPr>
        <sz val="10"/>
        <color rgb="FFFFFFFF"/>
        <rFont val="Arial"/>
      </rPr>
      <t xml:space="preserve"> los valores que se ingresen al archivo por primera vez deben tener su respectiva referencia o </t>
    </r>
    <r>
      <rPr>
        <b/>
        <sz val="10"/>
        <color rgb="FFFFFFFF"/>
        <rFont val="Arial"/>
      </rPr>
      <t>FUENTE</t>
    </r>
    <r>
      <rPr>
        <sz val="10"/>
        <color rgb="FFFFFFFF"/>
        <rFont val="Arial"/>
      </rPr>
      <t xml:space="preserve"> (ej. cálculos auxiliares en otra hoja, links, etc.)</t>
    </r>
  </si>
  <si>
    <t xml:space="preserve">    edificios y obras complementarias</t>
  </si>
  <si>
    <t>Año 0</t>
  </si>
  <si>
    <t>años</t>
  </si>
  <si>
    <t xml:space="preserve">    instalaciones industriales</t>
  </si>
  <si>
    <r>
      <rPr>
        <b/>
        <sz val="10"/>
        <color rgb="FFFFFFFF"/>
        <rFont val="Arial"/>
      </rPr>
      <t>3.</t>
    </r>
    <r>
      <rPr>
        <sz val="10"/>
        <color rgb="FFFFFFFF"/>
        <rFont val="Arial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</si>
  <si>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</si>
  <si>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</rPr>
      <t>4.</t>
    </r>
    <r>
      <rPr>
        <sz val="10"/>
        <color rgb="FFFFFFFF"/>
        <rFont val="Arial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</si>
  <si>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</si>
  <si>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</si>
  <si>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</rPr>
      <t xml:space="preserve">5. </t>
    </r>
    <r>
      <rPr>
        <sz val="10"/>
        <color rgb="FFFFFFFF"/>
        <rFont val="Arial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</si>
  <si>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</si>
  <si>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</si>
  <si>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</si>
  <si>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BIENES DE USO</t>
  </si>
  <si>
    <t>MAQUINA</t>
  </si>
  <si>
    <t>a) Bienes de Uso</t>
  </si>
  <si>
    <t>Nombre del Producto</t>
  </si>
  <si>
    <t>Anteojos de Sol WallWood - Arcu</t>
  </si>
  <si>
    <t>Terreno y sus mejoras</t>
  </si>
  <si>
    <t>CANTIDAD MAQ NECESARIAS</t>
  </si>
  <si>
    <t>Precio Unitario</t>
  </si>
  <si>
    <t>Precio Total por cantidades</t>
  </si>
  <si>
    <t>Link</t>
  </si>
  <si>
    <t>Edificio y obras complementarias</t>
  </si>
  <si>
    <t>Instalaciones industriales</t>
  </si>
  <si>
    <t>Ventas Anuales Promedio</t>
  </si>
  <si>
    <t>Máquinas operativas</t>
  </si>
  <si>
    <t>Repuestos para un año</t>
  </si>
  <si>
    <t>Total por Insumo</t>
  </si>
  <si>
    <t xml:space="preserve">    importadas, valor FOB, con repuestos</t>
  </si>
  <si>
    <t xml:space="preserve">    nacionales, precio en fábrica del proveedor</t>
  </si>
  <si>
    <t>en Unidades</t>
  </si>
  <si>
    <t>Gastos conexos a la importación de maquinaria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</si>
  <si>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</si>
  <si>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</si>
  <si>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</si>
  <si>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</si>
  <si>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</si>
  <si>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</si>
  <si>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</si>
  <si>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Transporte y montaje de la maquinaria</t>
  </si>
  <si>
    <t>Tamaño de la planta en metros cuadrados</t>
  </si>
  <si>
    <t>Disco de sierra circular</t>
  </si>
  <si>
    <t>solo sobre las nacionales?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</si>
  <si>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</si>
  <si>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</si>
  <si>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</si>
  <si>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</si>
  <si>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</si>
  <si>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</si>
  <si>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</si>
  <si>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Repuestos</t>
  </si>
  <si>
    <t>Rodados y equipos auxiliares</t>
  </si>
  <si>
    <t>-</t>
  </si>
  <si>
    <t>Muebles y útiles</t>
  </si>
  <si>
    <t>Tasa de Credito Bancario</t>
  </si>
  <si>
    <t>Infraestructura en predio propio</t>
  </si>
  <si>
    <t>anual</t>
  </si>
  <si>
    <t>Año 6</t>
  </si>
  <si>
    <t>Centro de mecanizado HAS</t>
  </si>
  <si>
    <t>Rubro a financiar</t>
  </si>
  <si>
    <t>la tasa de imprevistos está definida en Info Inicial</t>
  </si>
  <si>
    <t>LISTO</t>
  </si>
  <si>
    <t>Total Bienes de uso</t>
  </si>
  <si>
    <t>Fresas para plastico CNC</t>
  </si>
  <si>
    <t>b) Gastos asimilables o cargos diferidos</t>
  </si>
  <si>
    <t>% sobre el total del Rubro</t>
  </si>
  <si>
    <t>Investigaciones y estudios</t>
  </si>
  <si>
    <t>Dias de Financiación de Proveedores</t>
  </si>
  <si>
    <t>Constitución y organización de la empresa</t>
  </si>
  <si>
    <t>% sobre Compras</t>
  </si>
  <si>
    <t>Tasa de financiación</t>
  </si>
  <si>
    <t>Fresas y discos torno de mano</t>
  </si>
  <si>
    <t>Gastos de Admin. e Ing. En en período de Instalación</t>
  </si>
  <si>
    <t>Nirvana</t>
  </si>
  <si>
    <t>Gastos de puesta en marcha (AL AÑO 1)</t>
  </si>
  <si>
    <t>Tambores de Pulido</t>
  </si>
  <si>
    <t>Deberían ajustarla por la calculada en los Costos.</t>
  </si>
  <si>
    <t>Patentes y Licencias</t>
  </si>
  <si>
    <t>Motor de repuesto para circular,cnc y tambores</t>
  </si>
  <si>
    <t>Infraestructura en predio ajeno</t>
  </si>
  <si>
    <t>Limpiadoras de Ultrasonido</t>
  </si>
  <si>
    <t>Ídem imprevistos anteriores</t>
  </si>
  <si>
    <t>Total gastos asimilables o cargos diferidos</t>
  </si>
  <si>
    <t>Torno de mano</t>
  </si>
  <si>
    <t>Tambor de pulido</t>
  </si>
  <si>
    <t>c) Total Inversiones iniciales Activo Fijo, sin IVA</t>
  </si>
  <si>
    <t>Dato Fabricante</t>
  </si>
  <si>
    <t xml:space="preserve">d) IVA </t>
  </si>
  <si>
    <t>Prensa Curvado Armazón</t>
  </si>
  <si>
    <t>Zapatas Prensa</t>
  </si>
  <si>
    <t>Biseladora de Lentes</t>
  </si>
  <si>
    <t>e) TOTAL INVERSIONES INICIALES ACTIVO FIJO</t>
  </si>
  <si>
    <t>Tampógrafo</t>
  </si>
  <si>
    <t>Rubro</t>
  </si>
  <si>
    <t>Formulación del Proyecto a Nivel Económico</t>
  </si>
  <si>
    <t>Inversión</t>
  </si>
  <si>
    <t>Repuestos Tampografo</t>
  </si>
  <si>
    <t>Coeficiente</t>
  </si>
  <si>
    <t>Alícuotas de amortización</t>
  </si>
  <si>
    <t>Valor residual</t>
  </si>
  <si>
    <t>Total NACIONALES</t>
  </si>
  <si>
    <t>Año</t>
  </si>
  <si>
    <t>Inversión en Activo Fijo</t>
  </si>
  <si>
    <t>original</t>
  </si>
  <si>
    <t>Años 1/3</t>
  </si>
  <si>
    <t>Años 4/5</t>
  </si>
  <si>
    <t>Inversión en Activo de Trabajo</t>
  </si>
  <si>
    <t>Credito Fiscal</t>
  </si>
  <si>
    <t>Impuesto a las Ganancias</t>
  </si>
  <si>
    <t>Total Egresos</t>
  </si>
  <si>
    <t>Utilidad Economica Antes  HD e IG</t>
  </si>
  <si>
    <t>Amortizaciones</t>
  </si>
  <si>
    <t>Cobro Credito Fiscal</t>
  </si>
  <si>
    <t>Total Ingresos</t>
  </si>
  <si>
    <t>Saldo Anual</t>
  </si>
  <si>
    <t>Bienes de Uso</t>
  </si>
  <si>
    <t>Saldo Acumulado</t>
  </si>
  <si>
    <t>Total</t>
  </si>
  <si>
    <t>Total IMPORTADAS</t>
  </si>
  <si>
    <t>Valor USD</t>
  </si>
  <si>
    <t>Terreno sin edificar ($)</t>
  </si>
  <si>
    <t>Terreno</t>
  </si>
  <si>
    <t>$/m2</t>
  </si>
  <si>
    <t>Total m2</t>
  </si>
  <si>
    <t>Total $</t>
  </si>
  <si>
    <t>Edificación</t>
  </si>
  <si>
    <t>Listado de Equipos Auxiliares, Muebles y Útiles</t>
  </si>
  <si>
    <t>Descripción</t>
  </si>
  <si>
    <t>Características Técnicas</t>
  </si>
  <si>
    <t>Área/Sector</t>
  </si>
  <si>
    <t>$/u</t>
  </si>
  <si>
    <t>Computadora de escritorio</t>
  </si>
  <si>
    <t>Intel Core i7 - 3.80Ghz - 8Gb Ram - Disco rígido 1Tb - Monitor de 19" - incluyen mouse, teclado, parlantes, cámara y micrófono</t>
  </si>
  <si>
    <t>Administración / Sala de Reuniones / Gerencia de Administración y Producción / Gerencia General</t>
  </si>
  <si>
    <t>Carga máxima: 120 Kgs. / 5 ruedas / Altura regulable y Apoyabrazos</t>
  </si>
  <si>
    <t>% Correspondiente al área de prod. de todos los rubros</t>
  </si>
  <si>
    <t>Pusieron acá el porcentaje de imprevistos que deberia ir arriba, acá va la cuota de amortización, seguramente 20% era. Admito que en InfoInicial está mal presentado el dato y es la primera vez que lo observo, lo voy a tener en cuenta para el año que viene</t>
  </si>
  <si>
    <t>Material: melamina de 18mm de espesor / Incluye biblioteca y dos cajones con cerradura</t>
  </si>
  <si>
    <t>220V / E27</t>
  </si>
  <si>
    <t>Artículos de librería</t>
  </si>
  <si>
    <t>% Correspondiente al área de prod. de repuestos</t>
  </si>
  <si>
    <t>Biblioratos, cuadernos, carpetas, lapiceras, lápices, tacos de papel, abrochadoras, perforadoras, tijeras, reglas, gomas, resmas A4, sobres,folios A4, organizadores, clips, etc</t>
  </si>
  <si>
    <t>Subtotal</t>
  </si>
  <si>
    <t>Marca Brother / Modelo DCP-1617NW / Tipo de impresión : Monocromática / Velocidad de impresión en blanco y negro:
21 ppm / Tamaños de papel: A5/A4/Carta/Legal / Toner Brother Negro TN1060</t>
  </si>
  <si>
    <t>Epson 3600lm / Resolución XGA, 1024 x 768, 4:3 / Pantalla de 84"</t>
  </si>
  <si>
    <t>Sala de Reuniones</t>
  </si>
  <si>
    <t>Panasonic</t>
  </si>
  <si>
    <t>Sala de Reuniones / Gerencia de Administración y Producción / Gerencia General / Depósito de producto terminado / Depósito de materia prima / Pañol ,sala de mantenimiento y reparaciones / Control de Calidad</t>
  </si>
  <si>
    <t>220V / 3 velocidades / 18" / de techo y pared</t>
  </si>
  <si>
    <t>Depósito de producto terminado / Depósito de materia prima / Pañol ,sala de mantenimiento y reparaciones / Sala de corte / Centro CNC / Sala de tamboreado y pulido / Sala de armado y limpieza / Control de Calidad</t>
  </si>
  <si>
    <t>220V / Dimensiones del dispenser: 91 cm de alto x 35 cm x 35 cm</t>
  </si>
  <si>
    <t>Administración / Sala de Reuniones / Gerencia de Administración y Producción / Gerencia General / Comedor</t>
  </si>
  <si>
    <t xml:space="preserve">Cargos Diferidos </t>
  </si>
  <si>
    <t>Split / Frío-Calor / Samsung / 4300 frigorías / 5000W / 220V</t>
  </si>
  <si>
    <t>Suma.</t>
  </si>
  <si>
    <t>220V / 700W / Atma Mr1720n</t>
  </si>
  <si>
    <t>Comedor</t>
  </si>
  <si>
    <t>220V / 277Lts. / Marca Patrick</t>
  </si>
  <si>
    <t>Rectançgular 160cm x 80cm x 80cm / Material de 3cm de espesor</t>
  </si>
  <si>
    <t>4 patas / Polipropileno / Sin tapizar</t>
  </si>
  <si>
    <t>Ovalada de 180cm x 90cm x 74cm / Material de 25 mm de espesor</t>
  </si>
  <si>
    <t>Totales, s/IVA</t>
  </si>
  <si>
    <t>Intel Core i7 - 2.7Ghz - 8Gb Ram - Disco rígido 1Tb - 15,6"</t>
  </si>
  <si>
    <t>Sala de Reuniones / Gerencia General</t>
  </si>
  <si>
    <t>Beneficio Neto</t>
  </si>
  <si>
    <t>Administración</t>
  </si>
  <si>
    <t>Imputación Específica año 2 a 5</t>
  </si>
  <si>
    <t>Periodo de Recupero de la Inversión</t>
  </si>
  <si>
    <t>Imputación Específica año 1</t>
  </si>
  <si>
    <t>Grifería monocomando</t>
  </si>
  <si>
    <t>en años</t>
  </si>
  <si>
    <t>100 leds / Duración:8hs</t>
  </si>
  <si>
    <t>Todas las Áreas</t>
  </si>
  <si>
    <t>5kg / 10kg</t>
  </si>
  <si>
    <t>TIR</t>
  </si>
  <si>
    <t xml:space="preserve">Depósito de producto terminado / Depósito de materia prima / Pañol ,sala de mantenimiento y reparaciones </t>
  </si>
  <si>
    <t>Playón de despacho / Playón de recepción</t>
  </si>
  <si>
    <t>Ofrece el terreno</t>
  </si>
  <si>
    <t>Verificaciones</t>
  </si>
  <si>
    <t>Repuestos para mantenimiento de máquinas</t>
  </si>
  <si>
    <t>Juntas, O`rings, filtros, sierras, herramientas de CNC, aceites y lubricantes, etc</t>
  </si>
  <si>
    <t xml:space="preserve">Pañol ,sala de mantenimiento y reparaciones </t>
  </si>
  <si>
    <t>Pinzas (universal, punta, punta curva, alicate), llaves combinadas 7-30, Destronilladores planos y philips, llaves allen/torx, tubos milimétricos y en pulgadas, llave francesa 8"/10"/12", pinza pico de loro 254mm(10"), pinza de presion 254mm(10").</t>
  </si>
  <si>
    <t>Set A</t>
  </si>
  <si>
    <t>Uni-t Ut61a</t>
  </si>
  <si>
    <t>una sutileza que no afecta con los números actuales, pero están restando el Año 5 incorrecto, es una fila más abajo</t>
  </si>
  <si>
    <t>toman datos de tres lados distintos</t>
  </si>
  <si>
    <t>Goot 100W /220V</t>
  </si>
  <si>
    <t>Makita / Percutor modelo Hp1630 710w / 0-3200rpm / 220V</t>
  </si>
  <si>
    <t>LISTO!</t>
  </si>
  <si>
    <t>IVA</t>
  </si>
  <si>
    <t>AT</t>
  </si>
  <si>
    <t>Bosch / Modelo angular Gws 7-115mm 750w /220V</t>
  </si>
  <si>
    <t>BN Proyecto</t>
  </si>
  <si>
    <t>Carro Carreta Carrito Carretilla Zorra Reforz. Fabrica</t>
  </si>
  <si>
    <t>GASTOS ASIMILABLES O CARGOS DIFERIDOS</t>
  </si>
  <si>
    <t xml:space="preserve">Exceso Gastovariable </t>
  </si>
  <si>
    <t>Gastos puesta en marcha</t>
  </si>
  <si>
    <t>Placas</t>
  </si>
  <si>
    <t>Patillas (pares) CON BISAGRA Y ALMA</t>
  </si>
  <si>
    <t>Precio item</t>
  </si>
  <si>
    <t>30 Dolares</t>
  </si>
  <si>
    <t>5 dolares</t>
  </si>
  <si>
    <t>Totales</t>
  </si>
  <si>
    <t>GASTOS DE PRODUCCIÓN</t>
  </si>
  <si>
    <t>MP</t>
  </si>
  <si>
    <t>GASTOS DE MP</t>
  </si>
  <si>
    <t>USD/Unidad</t>
  </si>
  <si>
    <t>Moneda</t>
  </si>
  <si>
    <t>Costo por Unidad ($)</t>
  </si>
  <si>
    <t>Costo Transporte por unidad ($)</t>
  </si>
  <si>
    <t>Estado de Régimen</t>
  </si>
  <si>
    <t>Plancha de Acetato</t>
  </si>
  <si>
    <t>USD</t>
  </si>
  <si>
    <t>Patillas, con bisagras, alma y tornillos</t>
  </si>
  <si>
    <t>Lentillas de Sol y Transparentes</t>
  </si>
  <si>
    <t xml:space="preserve">Estuche </t>
  </si>
  <si>
    <t>$</t>
  </si>
  <si>
    <t>Franela</t>
  </si>
  <si>
    <t>AÑO 2 A 5:</t>
  </si>
  <si>
    <t>Consumo MP (Kg)</t>
  </si>
  <si>
    <t>Costo MP ($/u)</t>
  </si>
  <si>
    <t>Producciòn Programada (Kg)</t>
  </si>
  <si>
    <t>Costo MP ($/kg)</t>
  </si>
  <si>
    <t>Consumo Especìfico</t>
  </si>
  <si>
    <t>Gasto Especìfico</t>
  </si>
  <si>
    <t>AÑO 1:</t>
  </si>
  <si>
    <t>Del dimensionamiento técnico obtuvimos:</t>
  </si>
  <si>
    <t>PRIMERA ESTRUCTURA FINANCIERA</t>
  </si>
  <si>
    <t>Rubros</t>
  </si>
  <si>
    <t>Total Inversión</t>
  </si>
  <si>
    <t>Costo de MP requerida por producción realizada</t>
  </si>
  <si>
    <t>CréditoS</t>
  </si>
  <si>
    <t>Costo de MP en Mc en curso y semielaborada</t>
  </si>
  <si>
    <t>Capital Propio</t>
  </si>
  <si>
    <t>monto</t>
  </si>
  <si>
    <t>Costo de exceso de MP en Pta en marcha</t>
  </si>
  <si>
    <t>%</t>
  </si>
  <si>
    <t xml:space="preserve">Activo Fijo </t>
  </si>
  <si>
    <t>Acá me pusieron cuales son los desperdicios de la puesta en marcha, no el consumo total (desperdicios más producción) en exceso</t>
  </si>
  <si>
    <t>MOD - MOI</t>
  </si>
  <si>
    <t>TOTAL EMPLEADOR (+32,03% APORTES) + $1225 APORTES SINDICALES POR EMPLEADO +$3000 aprox ART de operario y 0,5% de oficinista + aguinaldo 8,33%</t>
  </si>
  <si>
    <t>Salarios</t>
  </si>
  <si>
    <t>Operarios por hora</t>
  </si>
  <si>
    <t>Trabajando 8 horas</t>
  </si>
  <si>
    <t xml:space="preserve">Activo de Trabajo </t>
  </si>
  <si>
    <t>Operario Calificado</t>
  </si>
  <si>
    <t xml:space="preserve">IVA </t>
  </si>
  <si>
    <t>Gasto específico MOI Año 2 a 5</t>
  </si>
  <si>
    <t>Asistente RRHH</t>
  </si>
  <si>
    <t>Tasa Credito</t>
  </si>
  <si>
    <t>15% anual</t>
  </si>
  <si>
    <t>Pago Semestral</t>
  </si>
  <si>
    <t>Gasto específico MOI Año 1</t>
  </si>
  <si>
    <t>Asistente Ventas</t>
  </si>
  <si>
    <t>Asistente Marketing</t>
  </si>
  <si>
    <t>Gasto en la Merc en Proceso año 2 a 5 MOI</t>
  </si>
  <si>
    <t>Comprador</t>
  </si>
  <si>
    <t>Gasto en la Merc en Proceso año 1 MOI</t>
  </si>
  <si>
    <t>Acordado 6 meses despues del mutuo conocimiento</t>
  </si>
  <si>
    <t>Personal de limpieza</t>
  </si>
  <si>
    <t>Sobre el 50% de la compra de MP</t>
  </si>
  <si>
    <t>Dia</t>
  </si>
  <si>
    <t>Contador</t>
  </si>
  <si>
    <t>Deuda</t>
  </si>
  <si>
    <t>Interes Semestral</t>
  </si>
  <si>
    <t>Interes Anual</t>
  </si>
  <si>
    <t>Asignado a Producción</t>
  </si>
  <si>
    <t>Personal Limpieza</t>
  </si>
  <si>
    <t>Tercerizado (8hs)</t>
  </si>
  <si>
    <t>Asignado a Administración</t>
  </si>
  <si>
    <t>Responsable Mantenimiento</t>
  </si>
  <si>
    <t>Asignado a Comercialización</t>
  </si>
  <si>
    <t>Gerente Administración</t>
  </si>
  <si>
    <t>Gasto MOD Año 2 a 5</t>
  </si>
  <si>
    <t>Gerente Producción</t>
  </si>
  <si>
    <t xml:space="preserve">Gasto especìfico </t>
  </si>
  <si>
    <t>Gerente General</t>
  </si>
  <si>
    <t>Gasto MOD Año 1</t>
  </si>
  <si>
    <t>Meses</t>
  </si>
  <si>
    <t>TOTAL SUELDOS</t>
  </si>
  <si>
    <t>Compra Kg</t>
  </si>
  <si>
    <t>Monto de compra</t>
  </si>
  <si>
    <t>Crèdito</t>
  </si>
  <si>
    <t>Cancelaciòn</t>
  </si>
  <si>
    <t>Intereses</t>
  </si>
  <si>
    <t>Abril</t>
  </si>
  <si>
    <t>Gasto en PT de MOD Año 1</t>
  </si>
  <si>
    <t>Gasto de MOD en Mc en curso y Se</t>
  </si>
  <si>
    <t>MATERIALES</t>
  </si>
  <si>
    <t>Exceso Gasto MOD en Pta en Marc</t>
  </si>
  <si>
    <t>Octubre</t>
  </si>
  <si>
    <t>Mayo</t>
  </si>
  <si>
    <t>Noviembre</t>
  </si>
  <si>
    <t>Mantenimiento</t>
  </si>
  <si>
    <t>Anual del valor de los bs de uso (sin repuestos)</t>
  </si>
  <si>
    <t xml:space="preserve">Anual de maquinaria + gastos de importaciòn para repuestos </t>
  </si>
  <si>
    <t>Producciòn</t>
  </si>
  <si>
    <t>Anual del gasto de Materia Prima</t>
  </si>
  <si>
    <t>Personal</t>
  </si>
  <si>
    <t>Anual del gasto de personal total en àrea de Producciòn</t>
  </si>
  <si>
    <t xml:space="preserve">Los intereses equivalen a un crèdito anual de: </t>
  </si>
  <si>
    <t>Gastos de Importaciòn</t>
  </si>
  <si>
    <t>Gastos de Flete, Seguro y Aduana</t>
  </si>
  <si>
    <t>Derecho de Importaciòn</t>
  </si>
  <si>
    <t>De los bienes de Uso son afectados por Producciòn</t>
  </si>
  <si>
    <t xml:space="preserve">Gasto Anual de Materiales </t>
  </si>
  <si>
    <t>Gasto Específico ($/kg)</t>
  </si>
  <si>
    <t>Producción</t>
  </si>
  <si>
    <t>Gasto de Mercadería en Proceso</t>
  </si>
  <si>
    <t>Gasto en Productos Terminados</t>
  </si>
  <si>
    <t>Exceso de gasto en Puesta en marcha</t>
  </si>
  <si>
    <t>GASTOS  COMERCIALES Y ADMINISTRATIVOS</t>
  </si>
  <si>
    <t>GASTOS VARIOS DE ASESORAMIENTO (GASTO ADMINISTRATIVO)</t>
  </si>
  <si>
    <t>POR MES</t>
  </si>
  <si>
    <t>VALOR CAJA PARA LENTE + EMPAQUETADO (LOTE)</t>
  </si>
  <si>
    <t>VALOR ESTIMADO DE PAPELERIA POR LENTE VENDIDO + PUBLICIDADES + FOLLETERIA</t>
  </si>
  <si>
    <t>COSTO LOGISTICO APROXIMADO POR PAQUETE DE 5 KG</t>
  </si>
  <si>
    <t>http://www.oca.com.ar/individuos_paqueteria_oca-express-pak/</t>
  </si>
  <si>
    <t>A MODO ESTIMATIVO POR LENTE</t>
  </si>
  <si>
    <t>GASTO EN PUBLICIDAD,ASESORAMIENTO Y REPRESENTACIONES PUBLICAS DE TODO EL AÑO</t>
  </si>
  <si>
    <t>Calendario de Inversiones</t>
  </si>
  <si>
    <t>STOCK PROMEDIO DE PRODUCTOS ELABORADOS</t>
  </si>
  <si>
    <t>Año 0: Preinversion</t>
  </si>
  <si>
    <t>Año 0: Instalación</t>
  </si>
  <si>
    <t>Año 2</t>
  </si>
  <si>
    <t>Año 3</t>
  </si>
  <si>
    <t>Año 4</t>
  </si>
  <si>
    <t>Año 5</t>
  </si>
  <si>
    <t>Inversiones en Activo Fijo</t>
  </si>
  <si>
    <t>año 1</t>
  </si>
  <si>
    <t>años 2 a 5</t>
  </si>
  <si>
    <t>Datos</t>
  </si>
  <si>
    <t>U. de medida</t>
  </si>
  <si>
    <t xml:space="preserve">    Bienes de uso</t>
  </si>
  <si>
    <t>Período de instalación</t>
  </si>
  <si>
    <t>Ventas (ej 8)</t>
  </si>
  <si>
    <t xml:space="preserve">    Asimilables</t>
  </si>
  <si>
    <t>Stock promedio de elaborado (ej 7)</t>
  </si>
  <si>
    <t>COSTO TOTAL DE PRODUCCION</t>
  </si>
  <si>
    <t>Gastos en el Area de Producción</t>
  </si>
  <si>
    <t>Materia prima</t>
  </si>
  <si>
    <t xml:space="preserve">    Subtotal Activo Fijo</t>
  </si>
  <si>
    <t>VARIABLE</t>
  </si>
  <si>
    <t>Mano de obra directa</t>
  </si>
  <si>
    <t>Producción (ej 6)</t>
  </si>
  <si>
    <t>Desperdicio no recuperable (ej 9)</t>
  </si>
  <si>
    <t>kg. de MP</t>
  </si>
  <si>
    <t>Gastos de fabricación:</t>
  </si>
  <si>
    <t>Inversiones en A. de Trabajo</t>
  </si>
  <si>
    <t xml:space="preserve">   Disp. mínimas C y B</t>
  </si>
  <si>
    <t>En curso y semielaborado (ej 9)</t>
  </si>
  <si>
    <t>Consumo de materia prima (ej 9)</t>
  </si>
  <si>
    <t>Stock de materia prima (ej 10)</t>
  </si>
  <si>
    <t>CONSTANTE</t>
  </si>
  <si>
    <t>10 (*)</t>
  </si>
  <si>
    <t>Personal indirecto</t>
  </si>
  <si>
    <t>Compra de materia prima (ej 9)</t>
  </si>
  <si>
    <t xml:space="preserve">   Crédito por ventas</t>
  </si>
  <si>
    <t>Materiales</t>
  </si>
  <si>
    <t>Energía eléctrica</t>
  </si>
  <si>
    <t>STOCK POR MES</t>
  </si>
  <si>
    <t>Stock minimo de materia prima</t>
  </si>
  <si>
    <t>126.35</t>
  </si>
  <si>
    <t>kg de Consumo mensual</t>
  </si>
  <si>
    <t xml:space="preserve">   Bienes de cambio:</t>
  </si>
  <si>
    <t xml:space="preserve">     Stock de Materia Prima</t>
  </si>
  <si>
    <t>Combustibles</t>
  </si>
  <si>
    <t>Tasas e impuestos</t>
  </si>
  <si>
    <t>Al fin del mes</t>
  </si>
  <si>
    <t>Stock</t>
  </si>
  <si>
    <t>Compras</t>
  </si>
  <si>
    <t>Enero</t>
  </si>
  <si>
    <t>Febrero</t>
  </si>
  <si>
    <t>Marzo</t>
  </si>
  <si>
    <t>son incrementos</t>
  </si>
  <si>
    <t xml:space="preserve">     Stock de Materiales</t>
  </si>
  <si>
    <t>219.54</t>
  </si>
  <si>
    <t>Junio</t>
  </si>
  <si>
    <t>Acá la misma corrección que les decía antes</t>
  </si>
  <si>
    <t>Julio</t>
  </si>
  <si>
    <t>Gastos Total de Producción</t>
  </si>
  <si>
    <t>Agosto</t>
  </si>
  <si>
    <t>Septiembre</t>
  </si>
  <si>
    <t>Diciembre</t>
  </si>
  <si>
    <t>Durante los primeros tres meses del año se espera la llegada del pedido realizado por encargue en noviembre/diciembre</t>
  </si>
  <si>
    <t>en la hoja anterior lo tenés todo en el Año 1</t>
  </si>
  <si>
    <t>DUDA CON ESTE</t>
  </si>
  <si>
    <t xml:space="preserve">     Mercadería en proceso</t>
  </si>
  <si>
    <t>Sumatoria Stock mensual</t>
  </si>
  <si>
    <t>% Gasto Constante</t>
  </si>
  <si>
    <t xml:space="preserve">     Stock de Elaborados</t>
  </si>
  <si>
    <t>Stock Promedio</t>
  </si>
  <si>
    <t>6.00</t>
  </si>
  <si>
    <t>meses de consumo</t>
  </si>
  <si>
    <t>El stock promedio equivale a 6 meses de consumo</t>
  </si>
  <si>
    <t>% Gasto Variable</t>
  </si>
  <si>
    <t>VALORES AT</t>
  </si>
  <si>
    <t>Volumen de producción en el año 1 (anteojos)</t>
  </si>
  <si>
    <t xml:space="preserve">    Subtotal Activo Trabajo</t>
  </si>
  <si>
    <t>Gastos a activar</t>
  </si>
  <si>
    <t>IVA:</t>
  </si>
  <si>
    <t xml:space="preserve">   c) Bienes de cambio:</t>
  </si>
  <si>
    <t xml:space="preserve">    Stock de materiales</t>
  </si>
  <si>
    <t xml:space="preserve">    por inversión A. Fijo</t>
  </si>
  <si>
    <t>Volumen de producción en los años 2 al 5 (anteojos)</t>
  </si>
  <si>
    <t>Años 3 al 5</t>
  </si>
  <si>
    <t>Stock promedio de producto elaborado (anteojos/año)</t>
  </si>
  <si>
    <t xml:space="preserve">    por inversión A. T.</t>
  </si>
  <si>
    <t>Mercadería en Curso y Semielaborada</t>
  </si>
  <si>
    <t>Puesta en marcha</t>
  </si>
  <si>
    <t>Comercialización</t>
  </si>
  <si>
    <t>Stock de materia prima Año 1 (kg)</t>
  </si>
  <si>
    <t>Stock de materia prima Años 2 al 5 (kg)</t>
  </si>
  <si>
    <t>Costo por kg MP ($)</t>
  </si>
  <si>
    <t>Stock de materia prima Período de instalación Año 0 (kg)</t>
  </si>
  <si>
    <t>en la hoja anterior da distinto</t>
  </si>
  <si>
    <t xml:space="preserve">   Subtotal IVA Inversión</t>
  </si>
  <si>
    <t>5. Incrementos IVA sobre Inversiones</t>
  </si>
  <si>
    <t>Stock de elaborados</t>
  </si>
  <si>
    <t>materia prima</t>
  </si>
  <si>
    <t>Este no está bien hecho me parece, fijensé en conformación de datos, la MOD la hicieron bien.. la MP es similar a la MOD y Materiales en forma de pensar</t>
  </si>
  <si>
    <t>Inversiones Totales</t>
  </si>
  <si>
    <t>materiales</t>
  </si>
  <si>
    <t>energía eléctrica</t>
  </si>
  <si>
    <t xml:space="preserve">  Energía eléctrica</t>
  </si>
  <si>
    <t>combustibles</t>
  </si>
  <si>
    <t>seguros</t>
  </si>
  <si>
    <t xml:space="preserve">  Combustibles</t>
  </si>
  <si>
    <t xml:space="preserve">  Tasas e impuestos</t>
  </si>
  <si>
    <t>Incrementos</t>
  </si>
  <si>
    <t xml:space="preserve">  Imprevistos</t>
  </si>
  <si>
    <t>Total gastos a activar</t>
  </si>
  <si>
    <t>no suma MP</t>
  </si>
  <si>
    <t>Costo en el Area de Producción</t>
  </si>
  <si>
    <t>Menos:</t>
  </si>
  <si>
    <t>Gasto de puesta en marcha</t>
  </si>
  <si>
    <t>IVA plan de Explotación, Cancelación del Credito Fiscal y pago al Fisco por IVA</t>
  </si>
  <si>
    <t>Variación Mercadería en proceso</t>
  </si>
  <si>
    <t>Costo de producción anual</t>
  </si>
  <si>
    <t>TOTALES PARA LAS TRES AREAS</t>
  </si>
  <si>
    <t>ojo que cambiaron la fórmula respecto al año 1, pusieron la MCySE siempre con signo cambiado pero acá la volvieron a cambiar</t>
  </si>
  <si>
    <t>Costo de prod. Unitario Promedio</t>
  </si>
  <si>
    <t>Rubros que abonan IVA</t>
  </si>
  <si>
    <t>Materia Prima</t>
  </si>
  <si>
    <t>Gastos en el Area de Administración</t>
  </si>
  <si>
    <t>INVERSIONES EN ACTIVO DE TRABAJO</t>
  </si>
  <si>
    <t>Seguros</t>
  </si>
  <si>
    <t>Varios</t>
  </si>
  <si>
    <r>
      <rPr>
        <b/>
        <sz val="10"/>
        <rFont val="Arial"/>
      </rPr>
      <t xml:space="preserve">1. Activo de Trabajo: </t>
    </r>
    <r>
      <rPr>
        <sz val="10"/>
        <rFont val="Arial"/>
      </rPr>
      <t>(valor contable)</t>
    </r>
  </si>
  <si>
    <t xml:space="preserve">   a) Disponibilidad Mínima en Caja y Bancos:</t>
  </si>
  <si>
    <t>Menos: Puesta en marcha</t>
  </si>
  <si>
    <t xml:space="preserve">   (s/mano de obra directa)</t>
  </si>
  <si>
    <t>Merc. en proceso</t>
  </si>
  <si>
    <t xml:space="preserve">   b) Crédito por Ventas</t>
  </si>
  <si>
    <t>FIJO</t>
  </si>
  <si>
    <t>Amortizaciones de A. Fijo</t>
  </si>
  <si>
    <t>pusieron el Año 0</t>
  </si>
  <si>
    <t>Stock elaborados</t>
  </si>
  <si>
    <t>Total Area Producción</t>
  </si>
  <si>
    <t>Total Area Administración</t>
  </si>
  <si>
    <t xml:space="preserve">    Stock de materias prima:</t>
  </si>
  <si>
    <t>Total Area Comercialización</t>
  </si>
  <si>
    <t xml:space="preserve">   Stock de materiales:</t>
  </si>
  <si>
    <t>IVA total abonado por insumos</t>
  </si>
  <si>
    <t>Combustible</t>
  </si>
  <si>
    <t xml:space="preserve">   Mercadería en curso y semielaborada</t>
  </si>
  <si>
    <t>IVA total cobrado por ventas</t>
  </si>
  <si>
    <t xml:space="preserve">   Stock de elaborados</t>
  </si>
  <si>
    <t>a) IVA diferencia</t>
  </si>
  <si>
    <t xml:space="preserve">   d) Total Activo de Trabajo, sin IVA:</t>
  </si>
  <si>
    <t>b) Crédito Fiscal Anterior</t>
  </si>
  <si>
    <t>2. Menos:</t>
  </si>
  <si>
    <t xml:space="preserve">    Amortizaciones en Mercadería en proceso</t>
  </si>
  <si>
    <t>c) Crédito Fiscal del Año</t>
  </si>
  <si>
    <t>Costo total de Admistración</t>
  </si>
  <si>
    <t xml:space="preserve">    Amortizaciones en Stock de elaborado</t>
  </si>
  <si>
    <t>d) Crédito Fiscal Final Año</t>
  </si>
  <si>
    <t>No existe el crédito fiscal negativo</t>
  </si>
  <si>
    <t>Por qué para calcular la amortización de Stock de Elaborado toman la variación de la MCySE?</t>
  </si>
  <si>
    <t>e) Recuepro de Credito Fiscal</t>
  </si>
  <si>
    <t xml:space="preserve">    Utilidades en Crédito por ventas</t>
  </si>
  <si>
    <t xml:space="preserve">    Amortizaciones en Crédito por ventas</t>
  </si>
  <si>
    <t xml:space="preserve">    Pago al Fisco por IVA</t>
  </si>
  <si>
    <t>Gastos en el Area de Comercialización</t>
  </si>
  <si>
    <t>les falta el rubro amortización</t>
  </si>
  <si>
    <t>Acá igual. No tengo la guía a mano para chequear si sale de ahí, pero la lógica me dice que le tendrías que restar el total.</t>
  </si>
  <si>
    <t>3. Inversiones en Activo de Trabajo, sin IVA</t>
  </si>
  <si>
    <t>4. Incrementos de Activo de Trabajo</t>
  </si>
  <si>
    <t xml:space="preserve">    Incrementos de Inversión en Activo de Trabajo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</si>
  <si>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</si>
  <si>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</si>
  <si>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</si>
  <si>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</si>
  <si>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</si>
  <si>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</si>
  <si>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</si>
  <si>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Costo total de Comercialización</t>
  </si>
  <si>
    <t>6. Incrementos Inversiones en Activo de Trabajo</t>
  </si>
  <si>
    <t>COSTO TOTAL Y RESULTADO A NIVEL ECONOMICO</t>
  </si>
  <si>
    <t>Aclaraciones</t>
  </si>
  <si>
    <t>Venta anual, en Unidades Producto 1</t>
  </si>
  <si>
    <t>Las disponibilidades mínimas en Caja y Bancos se estimarán en este caso en el 2% de las ventas anuales.</t>
  </si>
  <si>
    <t>El plazo promedio de financiación a clientes es de 30 días.</t>
  </si>
  <si>
    <t>El proyecto prevé el credito por venta de su producción, pero no la financiación del IVA por esa venta. Por otra parte, el IVA venta pertenece al plan de explotación.</t>
  </si>
  <si>
    <t xml:space="preserve">Precio de venta Producto </t>
  </si>
  <si>
    <t>VENTAS ANUALES</t>
  </si>
  <si>
    <t>año 2</t>
  </si>
  <si>
    <t>año 3</t>
  </si>
  <si>
    <t>año 4</t>
  </si>
  <si>
    <t>año 5</t>
  </si>
  <si>
    <t>total</t>
  </si>
  <si>
    <t xml:space="preserve">Consumo de materia prima </t>
  </si>
  <si>
    <t>incrementos</t>
  </si>
  <si>
    <t>Gastos de fabricación</t>
  </si>
  <si>
    <t>Gastos de Producción</t>
  </si>
  <si>
    <t>COSTO DE PRODUCCION ANUAL</t>
  </si>
  <si>
    <t>Acá hicieron el mismo error con la MCySE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</si>
  <si>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</si>
  <si>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</si>
  <si>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</si>
  <si>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</si>
  <si>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</si>
  <si>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>https://www.atfconsulting.com.ar/prestamos-min-industria-2/</t>
  </si>
  <si>
    <t xml:space="preserve">GASTO DE COMERCIALIZACION </t>
  </si>
  <si>
    <t>COSTO ANUAL DE LO VENDIDO</t>
  </si>
  <si>
    <t>PARA PYMES EN PARQUES INDUSTRIALES REG. (BNA)</t>
  </si>
  <si>
    <t>Costo total unitario promedio</t>
  </si>
  <si>
    <t>22% anual</t>
  </si>
  <si>
    <t>5 años de cuotas semestrales con 1/2 año de gracia</t>
  </si>
  <si>
    <t>UTILIDAD ECONOMICA (a/H. D. e Impuesto)</t>
  </si>
  <si>
    <t xml:space="preserve">Gasto Bancario </t>
  </si>
  <si>
    <t>CUADRO RESUMEN DE CREDITOS</t>
  </si>
  <si>
    <t xml:space="preserve">Impuesto a la ganancia </t>
  </si>
  <si>
    <t>día/mes/año</t>
  </si>
  <si>
    <t>deuda</t>
  </si>
  <si>
    <t>se aplica después de HD</t>
  </si>
  <si>
    <t>amortización</t>
  </si>
  <si>
    <t>interés</t>
  </si>
  <si>
    <t xml:space="preserve">deuda </t>
  </si>
  <si>
    <t>gasto</t>
  </si>
  <si>
    <t>UTILIDAD ECONOMICA (d/H.D. e Impuesto)</t>
  </si>
  <si>
    <t>semestral</t>
  </si>
  <si>
    <t>% sobre VENTAS</t>
  </si>
  <si>
    <t>prom. anual</t>
  </si>
  <si>
    <t>kd</t>
  </si>
  <si>
    <t>bancario</t>
  </si>
  <si>
    <t>FONDOS AUTOGENERADOS</t>
  </si>
  <si>
    <t>Utilidad Económica (d/H.D. e Impuesto)</t>
  </si>
  <si>
    <t>Sobre el 100% de la compra de MP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</si>
  <si>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</si>
  <si>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</si>
  <si>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</si>
  <si>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</si>
  <si>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</si>
  <si>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</si>
  <si>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gastos preoperativos:</t>
  </si>
  <si>
    <t>Costo Variable Sector de Comercialización</t>
  </si>
  <si>
    <t>UTILIDAD MARGINAL</t>
  </si>
  <si>
    <t>1/1/1</t>
  </si>
  <si>
    <t>PUNTO DE EQUILIBRIO</t>
  </si>
  <si>
    <t xml:space="preserve">                                                                                                                                                             </t>
  </si>
  <si>
    <t>30/6/1</t>
  </si>
  <si>
    <t>HACER DIAGRAMA DE PUNTO DE EQUILIBRIO PARA EL AÑO 1 Y PARA EL AÑO 5</t>
  </si>
  <si>
    <t>AÑO 1</t>
  </si>
  <si>
    <t>Q</t>
  </si>
  <si>
    <t>Ventas</t>
  </si>
  <si>
    <t>CV</t>
  </si>
  <si>
    <t>CF</t>
  </si>
  <si>
    <t>CT</t>
  </si>
  <si>
    <t>31/12/1</t>
  </si>
  <si>
    <t>1/4/-1</t>
  </si>
  <si>
    <t>30/6/2</t>
  </si>
  <si>
    <t>1/8/-1</t>
  </si>
  <si>
    <t>31/12/2</t>
  </si>
  <si>
    <t>1/12/-1</t>
  </si>
  <si>
    <t>30/6/3</t>
  </si>
  <si>
    <t>31/12/3</t>
  </si>
  <si>
    <t>30/6/4</t>
  </si>
  <si>
    <t>1/6/1</t>
  </si>
  <si>
    <t>Tienen que ser distancias entre cada punto simétricas, sino les pasa en la curva que tienen un punto de inflexión que en realidad no existe.. no es que a partir de 5000 unidades ganan más por unidad que antes, sino que cambiaron el distanciamiento del eje X</t>
  </si>
  <si>
    <t>AÑO 5</t>
  </si>
  <si>
    <t>31/12/4</t>
  </si>
  <si>
    <t>1/12/1</t>
  </si>
  <si>
    <t>1/6/2</t>
  </si>
  <si>
    <t>30/6/5</t>
  </si>
  <si>
    <t>1/12/2</t>
  </si>
  <si>
    <t>31/12/5</t>
  </si>
  <si>
    <t>1/6/3</t>
  </si>
  <si>
    <t>1/12/3</t>
  </si>
  <si>
    <t>1/6/4</t>
  </si>
  <si>
    <t>1/12/4</t>
  </si>
  <si>
    <t>1/6/5</t>
  </si>
  <si>
    <t>1/12/5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</si>
  <si>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</si>
  <si>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</si>
  <si>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</si>
  <si>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</si>
  <si>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</si>
  <si>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</si>
  <si>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</si>
  <si>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</si>
  <si>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</si>
  <si>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</si>
  <si>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</si>
  <si>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</si>
  <si>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</si>
  <si>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</si>
  <si>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</si>
  <si>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a) IVA pagado en el Costo Total de lo Vendido:</t>
  </si>
  <si>
    <t>Cargos diferidos:</t>
  </si>
  <si>
    <t xml:space="preserve">   Total pagado en el Area de Producción</t>
  </si>
  <si>
    <t>Totales de activo fijo, sin IVA</t>
  </si>
  <si>
    <t xml:space="preserve">IVA   </t>
  </si>
  <si>
    <t xml:space="preserve">  Total pagado en el Area Administrativa</t>
  </si>
  <si>
    <t>Totales de activo fijo, con IVA</t>
  </si>
  <si>
    <t>b) Inversión y calendario de activo de trabajo: incrementos</t>
  </si>
  <si>
    <t>Disponibilidad mínima</t>
  </si>
  <si>
    <t xml:space="preserve">  Total pagado en el Area Comercial </t>
  </si>
  <si>
    <t>VERIFICAR SI SE HACE ASI</t>
  </si>
  <si>
    <t>Crédito por ventas (valor contable)</t>
  </si>
  <si>
    <t>Bienes de cambio (valor contable)</t>
  </si>
  <si>
    <t xml:space="preserve">  Total pagado por Financiación</t>
  </si>
  <si>
    <t>Totales activo de trabajo, sin IVA</t>
  </si>
  <si>
    <t>Amortizaciones en inventarios</t>
  </si>
  <si>
    <t xml:space="preserve">  IVA abonado en Costo Total de lo Vendido:</t>
  </si>
  <si>
    <t>Amortizaciones en crédito</t>
  </si>
  <si>
    <t>VERIFICAR</t>
  </si>
  <si>
    <t>Utilidades en crédito</t>
  </si>
  <si>
    <t>Inversión activo de trabajo, s/IVA</t>
  </si>
  <si>
    <t>Totales activo de trabajo (v. contable), c/IVA</t>
  </si>
  <si>
    <t>b) IVA diferencia</t>
  </si>
  <si>
    <t>Inversión activo de trabajo, con IVA</t>
  </si>
  <si>
    <t>c) Inversión y calendario totales: incrementos</t>
  </si>
  <si>
    <t>Activo fijo, con IVA</t>
  </si>
  <si>
    <t>c) Crédito Fiscal Anterior (incrementado)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</si>
  <si>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</si>
  <si>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</si>
  <si>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</si>
  <si>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</si>
  <si>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</si>
  <si>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d) Crédito Fiscal del Año (incrementado)</t>
  </si>
  <si>
    <t>Crédito no renovable</t>
  </si>
  <si>
    <t>Capital propio</t>
  </si>
  <si>
    <t>e) Crédito Fiscal Final Año</t>
  </si>
  <si>
    <t>PUNTO DE EQUILIBRIO ECONOMICO FINANCIERO</t>
  </si>
  <si>
    <t>f) Recupero Credito Fiscal</t>
  </si>
  <si>
    <t>BALANCES PROFORMAS</t>
  </si>
  <si>
    <t>Gasto Financiero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</si>
  <si>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</si>
  <si>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</si>
  <si>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</si>
  <si>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</si>
  <si>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HACER DIAGRAMA DE PUNTO DE EQUILIBRIO PARA EL AÑO 1 Y PARA EL AÑO 10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</si>
  <si>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</si>
  <si>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</si>
  <si>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</si>
  <si>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</si>
  <si>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</si>
  <si>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</si>
  <si>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</si>
  <si>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</si>
  <si>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</si>
  <si>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</si>
  <si>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</si>
  <si>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</si>
  <si>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</si>
  <si>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</si>
  <si>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</si>
  <si>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</si>
  <si>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</si>
  <si>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</si>
  <si>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</si>
  <si>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</si>
  <si>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CUADRO DE FUENTES Y USOS</t>
  </si>
  <si>
    <t>Utilidad del ejercicio</t>
  </si>
  <si>
    <t>FUENTES: Totales</t>
  </si>
  <si>
    <t>Utilidad acumulada</t>
  </si>
  <si>
    <t>PASIVO + PATRIMONIO NETO</t>
  </si>
  <si>
    <t>Saldo ejercicio anterior</t>
  </si>
  <si>
    <t>Verificación</t>
  </si>
  <si>
    <t>Aporte de capital propio</t>
  </si>
  <si>
    <t>Formulación del Proyecto a Nivel Financiero</t>
  </si>
  <si>
    <t xml:space="preserve">Créditos renovables </t>
  </si>
  <si>
    <t>Activo Fijo</t>
  </si>
  <si>
    <t>Activo de Trabajo</t>
  </si>
  <si>
    <t>Utilidad  Antes  HD e IG</t>
  </si>
  <si>
    <t>Intereses Pagados</t>
  </si>
  <si>
    <t xml:space="preserve">Créditos no renovables </t>
  </si>
  <si>
    <t xml:space="preserve">Ventas del ejercicio </t>
  </si>
  <si>
    <t>Recupero Crédito Fiscal</t>
  </si>
  <si>
    <t>USOS: Totales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</si>
  <si>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</si>
  <si>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</si>
  <si>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</si>
  <si>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</si>
  <si>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</si>
  <si>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</si>
  <si>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</si>
  <si>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</si>
  <si>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</si>
  <si>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</si>
  <si>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</si>
  <si>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TIR modificada</t>
  </si>
  <si>
    <t>Formulación para el Inversor</t>
  </si>
  <si>
    <t>Aporte de Capital</t>
  </si>
  <si>
    <t>Saldo propio de Fuentes y Usos</t>
  </si>
  <si>
    <t>COMPROVACION DE VERIFICACION INVERSOR 2</t>
  </si>
  <si>
    <t>Set B</t>
  </si>
  <si>
    <t>F- CFyU'!H28-'F- CFyU'!H7-'F- CFyU'!H8+'F- CFyU'!H14-'F- CFyU'!H25+'F- CFyU'!H15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</si>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</sst>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0.0"/>
    <numFmt numFmtId="165" formatCode="0.000%"/>
    <numFmt numFmtId="166" formatCode="0.000"/>
    <numFmt numFmtId="167" formatCode="[$ $]#,##0.00"/>
    <numFmt numFmtId="168" formatCode="_(\$* #,##0.00_);_(\$* \(#,##0.00\);_(\$* \-??_);_(@_)"/>
    <numFmt numFmtId="169" formatCode="0.00\ %"/>
    <numFmt numFmtId="170" formatCode="_(\$* #,##0.0000_);_(\$* \(#,##0.0000\);_(\$* \-??.00_);_(@_)"/>
    <numFmt numFmtId="171" formatCode="0.00000"/>
    <numFmt numFmtId="172" formatCode="#,##0.000"/>
    <numFmt numFmtId="173" formatCode="0.0%"/>
    <numFmt numFmtId="174" formatCode="_(* #,##0.00_);_(* \(#,##0.00\);_(* \-??_);_(@_)"/>
    <numFmt numFmtId="175" formatCode="yyyy\.mm"/>
    <numFmt numFmtId="176" formatCode="d&quot; de &quot;mmm&quot; de &quot;yy"/>
    <numFmt numFmtId="177" formatCode="_(\$* #,##0.00000000_);_(\$* \(#,##0.00000000\);_(\$* \-??.000000_);_(@_)"/>
    <numFmt numFmtId="178" formatCode="_(\$* #,##0.0000000000_);_(\$* \(#,##0.0000000000\);_(\$* \-??.00000000_);_(@_)"/>
    <numFmt numFmtId="179" formatCode="_(\$* #,##0.000_);_(\$* \(#,##0.000\);_(\$* \-??.000_);_(@_)"/>
    <numFmt numFmtId="180" formatCode="_(\$* #,##0.000_);_(\$* \(#,##0.000\);_(\$* \-??.00_);_(@_)"/>
    <numFmt numFmtId="181" formatCode="_(\$* #,##0.0000000000_);_(\$* \(#,##0.0000000000\);_(\$* \-??.000000000_);_(@_)"/>
    <numFmt numFmtId="182" formatCode="_(\$* #,##0.000000000000000000000000_);_(\$* \(#,##0.000000000000000000000000\);_(\$* \-??.000000000000000000000000_);_(@_)"/>
  </numFmts>
  <fonts count="46">
    <font>
      <sz val="10"/>
      <color rgb="FF000000"/>
      <name val="Arial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1"/>
      <name val="Calibri"/>
    </font>
    <font>
      <sz val="11"/>
      <name val="Calibri"/>
    </font>
    <font>
      <sz val="10"/>
      <name val="Arial"/>
    </font>
    <font>
      <sz val="11"/>
      <color rgb="FF000000"/>
      <name val="Calibri"/>
    </font>
    <font>
      <b/>
      <sz val="11"/>
      <color rgb="FF000000"/>
      <name val="Calibri"/>
    </font>
    <font>
      <u/>
      <sz val="10"/>
      <color rgb="FF0000FF"/>
      <name val="Arial"/>
    </font>
    <font>
      <b/>
      <sz val="10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4"/>
      <color rgb="FFFFFFFF"/>
      <name val="Arial"/>
    </font>
    <font>
      <sz val="12"/>
      <color rgb="FF000000"/>
      <name val="Arial"/>
    </font>
    <font>
      <u/>
      <sz val="10"/>
      <color rgb="FF0000FF"/>
      <name val="Arial"/>
    </font>
    <font>
      <b/>
      <i/>
      <sz val="10"/>
      <name val="Arial"/>
    </font>
    <font>
      <b/>
      <sz val="10"/>
      <name val="Arial"/>
    </font>
    <font>
      <b/>
      <sz val="11"/>
      <color rgb="FFFFFFFF"/>
      <name val="Arial"/>
    </font>
    <font>
      <sz val="10"/>
      <color rgb="FFFFFFFF"/>
      <name val="Arial"/>
    </font>
    <font>
      <sz val="10"/>
      <name val="Arial"/>
    </font>
    <font>
      <b/>
      <sz val="12"/>
      <name val="Arial"/>
    </font>
    <font>
      <b/>
      <sz val="10"/>
      <color rgb="FFFFFF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2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4"/>
      <color rgb="FFFF0000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0"/>
      <color rgb="FF0000FF"/>
      <name val="Arial"/>
    </font>
    <font>
      <sz val="10"/>
      <name val="Arial"/>
    </font>
    <font>
      <b/>
      <i/>
      <sz val="10"/>
      <color rgb="FFFFFFFF"/>
      <name val="Arial"/>
    </font>
    <font>
      <sz val="10"/>
      <color rgb="FF000000"/>
      <name val="Arial"/>
    </font>
    <font>
      <b/>
      <sz val="11"/>
      <name val="Arial"/>
    </font>
    <font>
      <u/>
      <sz val="10"/>
      <color rgb="FF0000FF"/>
      <name val="Arial"/>
    </font>
    <font>
      <sz val="11"/>
      <color rgb="FF000000"/>
      <name val="Arial"/>
    </font>
    <font>
      <u/>
      <sz val="10"/>
      <color rgb="FF0000FF"/>
      <name val="Arial"/>
    </font>
    <font>
      <i/>
      <sz val="11"/>
      <color rgb="FF000000"/>
      <name val="Calibri"/>
    </font>
    <font>
      <b/>
      <sz val="10"/>
      <color rgb="FF000000"/>
      <name val="Arial"/>
    </font>
    <font>
      <sz val="11"/>
      <color rgb="FF11A9CC"/>
      <name val="Inconsolata"/>
    </font>
    <font>
      <u/>
      <sz val="10"/>
      <color rgb="FF0000FF"/>
      <name val="Arial"/>
    </font>
    <font>
      <sz val="12"/>
      <name val="Noto Sans Symbols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A5A5A5"/>
        <bgColor rgb="FFA5A5A5"/>
      </patternFill>
    </fill>
    <fill>
      <patternFill patternType="solid">
        <fgColor rgb="FFFF9900"/>
        <bgColor rgb="FFFF9900"/>
      </patternFill>
    </fill>
    <fill>
      <patternFill patternType="solid">
        <fgColor rgb="FFFFD966"/>
        <bgColor rgb="FFFFD966"/>
      </patternFill>
    </fill>
    <fill>
      <patternFill patternType="solid">
        <fgColor rgb="FFA4C2F4"/>
        <bgColor rgb="FFA4C2F4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DEEAF6"/>
        <bgColor rgb="FFDEEAF6"/>
      </patternFill>
    </fill>
    <fill>
      <patternFill patternType="solid">
        <fgColor rgb="FFFF0000"/>
        <bgColor rgb="FFFF0000"/>
      </patternFill>
    </fill>
    <fill>
      <patternFill patternType="solid">
        <fgColor rgb="FFE6B8AF"/>
        <bgColor rgb="FFE6B8AF"/>
      </patternFill>
    </fill>
    <fill>
      <patternFill patternType="solid">
        <fgColor rgb="FF6D9EEB"/>
        <bgColor rgb="FF6D9EEB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9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double">
        <color rgb="FF000000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000000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double">
        <color rgb="FF000000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double">
        <color rgb="FF3C3C3C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000000"/>
      </right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double">
        <color rgb="FF000000"/>
      </left>
      <right/>
      <top style="double">
        <color rgb="FF000000"/>
      </top>
      <bottom style="hair">
        <color rgb="FF3C3C3C"/>
      </bottom>
      <diagonal/>
    </border>
    <border>
      <left/>
      <right/>
      <top style="double">
        <color rgb="FF000000"/>
      </top>
      <bottom style="hair">
        <color rgb="FF3C3C3C"/>
      </bottom>
      <diagonal/>
    </border>
    <border>
      <left/>
      <right style="double">
        <color rgb="FF000000"/>
      </right>
      <top style="double">
        <color rgb="FF000000"/>
      </top>
      <bottom style="hair">
        <color rgb="FF3C3C3C"/>
      </bottom>
      <diagonal/>
    </border>
    <border>
      <left style="double">
        <color rgb="FF000000"/>
      </left>
      <right/>
      <top/>
      <bottom style="hair">
        <color rgb="FF3C3C3C"/>
      </bottom>
      <diagonal/>
    </border>
    <border>
      <left/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/>
      <diagonal/>
    </border>
    <border>
      <left style="double">
        <color rgb="FF000000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000000"/>
      </left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double">
        <color rgb="FF3C3C3C"/>
      </top>
      <bottom style="hair">
        <color rgb="FF3C3C3C"/>
      </bottom>
      <diagonal/>
    </border>
    <border>
      <left style="double">
        <color rgb="FF000000"/>
      </left>
      <right style="double">
        <color rgb="FF3C3C3C"/>
      </right>
      <top style="hair">
        <color rgb="FF3C3C3C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/>
      <top style="hair">
        <color rgb="FF3C3C3C"/>
      </top>
      <bottom style="double">
        <color rgb="FF000000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8">
    <xf numFmtId="0" fontId="0" fillId="0" borderId="0" xfId="0" applyFont="1" applyAlignment="1"/>
    <xf numFmtId="0" fontId="2" fillId="0" borderId="0" xfId="0" applyFo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4" fillId="0" borderId="7" xfId="0" applyFont="1" applyBorder="1"/>
    <xf numFmtId="1" fontId="7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2" fontId="7" fillId="0" borderId="7" xfId="0" applyNumberFormat="1" applyFont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6" fillId="0" borderId="10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/>
    </xf>
    <xf numFmtId="9" fontId="6" fillId="0" borderId="8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4" borderId="8" xfId="0" applyFont="1" applyFill="1" applyBorder="1"/>
    <xf numFmtId="2" fontId="6" fillId="4" borderId="8" xfId="0" applyNumberFormat="1" applyFont="1" applyFill="1" applyBorder="1" applyAlignment="1">
      <alignment horizontal="center"/>
    </xf>
    <xf numFmtId="0" fontId="4" fillId="0" borderId="0" xfId="0" applyFont="1"/>
    <xf numFmtId="0" fontId="6" fillId="4" borderId="8" xfId="0" applyFont="1" applyFill="1" applyBorder="1" applyAlignment="1">
      <alignment horizontal="center"/>
    </xf>
    <xf numFmtId="9" fontId="6" fillId="0" borderId="18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2" borderId="21" xfId="0" applyFont="1" applyFill="1" applyBorder="1"/>
    <xf numFmtId="1" fontId="6" fillId="0" borderId="18" xfId="0" applyNumberFormat="1" applyFont="1" applyBorder="1" applyAlignment="1">
      <alignment horizontal="center"/>
    </xf>
    <xf numFmtId="0" fontId="4" fillId="3" borderId="21" xfId="0" applyFont="1" applyFill="1" applyBorder="1"/>
    <xf numFmtId="2" fontId="6" fillId="0" borderId="18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vertical="center"/>
    </xf>
    <xf numFmtId="1" fontId="6" fillId="0" borderId="27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1" fontId="6" fillId="0" borderId="31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6" fillId="0" borderId="0" xfId="0" applyNumberFormat="1" applyFont="1"/>
    <xf numFmtId="2" fontId="6" fillId="3" borderId="21" xfId="0" applyNumberFormat="1" applyFont="1" applyFill="1" applyBorder="1"/>
    <xf numFmtId="2" fontId="6" fillId="0" borderId="7" xfId="0" applyNumberFormat="1" applyFont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7" fillId="0" borderId="0" xfId="0" applyFont="1"/>
    <xf numFmtId="0" fontId="3" fillId="0" borderId="8" xfId="0" applyFont="1" applyBorder="1"/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6" borderId="0" xfId="0" applyFont="1" applyFill="1"/>
    <xf numFmtId="0" fontId="4" fillId="0" borderId="8" xfId="0" applyFont="1" applyBorder="1"/>
    <xf numFmtId="0" fontId="8" fillId="0" borderId="0" xfId="0" applyFont="1"/>
    <xf numFmtId="10" fontId="5" fillId="0" borderId="0" xfId="0" applyNumberFormat="1" applyFont="1"/>
    <xf numFmtId="0" fontId="10" fillId="8" borderId="34" xfId="0" applyFont="1" applyFill="1" applyBorder="1" applyAlignment="1">
      <alignment horizontal="center"/>
    </xf>
    <xf numFmtId="0" fontId="11" fillId="0" borderId="0" xfId="0" applyFont="1"/>
    <xf numFmtId="0" fontId="10" fillId="8" borderId="35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0" fillId="8" borderId="36" xfId="0" applyFont="1" applyFill="1" applyBorder="1" applyAlignment="1">
      <alignment horizontal="center"/>
    </xf>
    <xf numFmtId="10" fontId="6" fillId="0" borderId="8" xfId="0" applyNumberFormat="1" applyFont="1" applyBorder="1" applyAlignment="1">
      <alignment horizontal="center" vertical="center"/>
    </xf>
    <xf numFmtId="0" fontId="10" fillId="8" borderId="37" xfId="0" applyFont="1" applyFill="1" applyBorder="1" applyAlignment="1">
      <alignment horizontal="center"/>
    </xf>
    <xf numFmtId="165" fontId="5" fillId="0" borderId="0" xfId="0" applyNumberFormat="1" applyFont="1"/>
    <xf numFmtId="0" fontId="7" fillId="0" borderId="8" xfId="0" applyFont="1" applyBorder="1" applyAlignment="1">
      <alignment vertical="center"/>
    </xf>
    <xf numFmtId="9" fontId="5" fillId="0" borderId="0" xfId="0" applyNumberFormat="1" applyFont="1"/>
    <xf numFmtId="0" fontId="6" fillId="0" borderId="8" xfId="0" applyFont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166" fontId="5" fillId="0" borderId="0" xfId="0" applyNumberFormat="1" applyFont="1"/>
    <xf numFmtId="0" fontId="10" fillId="12" borderId="34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0" fillId="12" borderId="35" xfId="0" applyFont="1" applyFill="1" applyBorder="1" applyAlignment="1">
      <alignment horizontal="center"/>
    </xf>
    <xf numFmtId="2" fontId="6" fillId="0" borderId="0" xfId="0" applyNumberFormat="1" applyFont="1"/>
    <xf numFmtId="0" fontId="9" fillId="13" borderId="0" xfId="0" applyFont="1" applyFill="1"/>
    <xf numFmtId="0" fontId="6" fillId="0" borderId="0" xfId="0" applyFont="1"/>
    <xf numFmtId="0" fontId="10" fillId="12" borderId="36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0" fillId="12" borderId="44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12" borderId="45" xfId="0" applyFont="1" applyFill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9" fillId="13" borderId="0" xfId="0" applyFont="1" applyFill="1" applyAlignment="1">
      <alignment horizontal="center"/>
    </xf>
    <xf numFmtId="168" fontId="5" fillId="0" borderId="0" xfId="0" applyNumberFormat="1" applyFont="1"/>
    <xf numFmtId="167" fontId="13" fillId="12" borderId="35" xfId="0" applyNumberFormat="1" applyFont="1" applyFill="1" applyBorder="1" applyAlignment="1">
      <alignment horizontal="center"/>
    </xf>
    <xf numFmtId="167" fontId="13" fillId="12" borderId="46" xfId="0" applyNumberFormat="1" applyFont="1" applyFill="1" applyBorder="1" applyAlignment="1">
      <alignment horizontal="center"/>
    </xf>
    <xf numFmtId="0" fontId="15" fillId="0" borderId="0" xfId="0" applyFont="1" applyAlignment="1"/>
    <xf numFmtId="0" fontId="16" fillId="0" borderId="47" xfId="0" applyFont="1" applyBorder="1" applyAlignment="1"/>
    <xf numFmtId="0" fontId="10" fillId="12" borderId="37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19" fillId="0" borderId="0" xfId="0" applyFont="1" applyAlignment="1"/>
    <xf numFmtId="0" fontId="20" fillId="0" borderId="56" xfId="0" applyFont="1" applyBorder="1" applyAlignment="1"/>
    <xf numFmtId="0" fontId="20" fillId="0" borderId="63" xfId="0" applyFont="1" applyBorder="1" applyAlignment="1"/>
    <xf numFmtId="0" fontId="19" fillId="0" borderId="0" xfId="0" applyFont="1" applyAlignment="1">
      <alignment horizontal="right"/>
    </xf>
    <xf numFmtId="0" fontId="16" fillId="15" borderId="47" xfId="0" applyFont="1" applyFill="1" applyBorder="1" applyAlignment="1">
      <alignment horizontal="center"/>
    </xf>
    <xf numFmtId="0" fontId="16" fillId="0" borderId="64" xfId="0" applyFont="1" applyBorder="1" applyAlignment="1">
      <alignment horizontal="center"/>
    </xf>
    <xf numFmtId="167" fontId="10" fillId="12" borderId="35" xfId="0" applyNumberFormat="1" applyFont="1" applyFill="1" applyBorder="1" applyAlignment="1">
      <alignment horizontal="center"/>
    </xf>
    <xf numFmtId="0" fontId="16" fillId="0" borderId="65" xfId="0" applyFont="1" applyBorder="1" applyAlignment="1">
      <alignment horizontal="center"/>
    </xf>
    <xf numFmtId="167" fontId="10" fillId="12" borderId="44" xfId="0" applyNumberFormat="1" applyFont="1" applyFill="1" applyBorder="1" applyAlignment="1">
      <alignment horizontal="center"/>
    </xf>
    <xf numFmtId="0" fontId="19" fillId="0" borderId="66" xfId="0" applyFont="1" applyBorder="1" applyAlignment="1"/>
    <xf numFmtId="167" fontId="10" fillId="12" borderId="45" xfId="0" applyNumberFormat="1" applyFont="1" applyFill="1" applyBorder="1" applyAlignment="1">
      <alignment horizontal="center"/>
    </xf>
    <xf numFmtId="0" fontId="19" fillId="0" borderId="67" xfId="0" applyFont="1" applyBorder="1" applyAlignment="1"/>
    <xf numFmtId="169" fontId="16" fillId="15" borderId="47" xfId="0" applyNumberFormat="1" applyFont="1" applyFill="1" applyBorder="1" applyAlignment="1">
      <alignment horizontal="center"/>
    </xf>
    <xf numFmtId="0" fontId="16" fillId="0" borderId="68" xfId="0" applyFont="1" applyBorder="1" applyAlignment="1"/>
    <xf numFmtId="0" fontId="19" fillId="0" borderId="69" xfId="0" applyFont="1" applyBorder="1" applyAlignment="1"/>
    <xf numFmtId="0" fontId="7" fillId="3" borderId="70" xfId="0" applyFont="1" applyFill="1" applyBorder="1" applyAlignment="1">
      <alignment horizontal="center" vertical="center" wrapText="1"/>
    </xf>
    <xf numFmtId="0" fontId="19" fillId="0" borderId="68" xfId="0" applyFont="1" applyBorder="1" applyAlignment="1"/>
    <xf numFmtId="0" fontId="7" fillId="3" borderId="71" xfId="0" applyFont="1" applyFill="1" applyBorder="1" applyAlignment="1">
      <alignment horizontal="center" vertical="center" wrapText="1"/>
    </xf>
    <xf numFmtId="0" fontId="19" fillId="16" borderId="72" xfId="0" applyFont="1" applyFill="1" applyBorder="1" applyAlignment="1"/>
    <xf numFmtId="170" fontId="19" fillId="0" borderId="69" xfId="0" applyNumberFormat="1" applyFont="1" applyBorder="1" applyAlignment="1"/>
    <xf numFmtId="0" fontId="19" fillId="16" borderId="73" xfId="0" applyFont="1" applyFill="1" applyBorder="1" applyAlignment="1"/>
    <xf numFmtId="168" fontId="19" fillId="0" borderId="69" xfId="0" applyNumberFormat="1" applyFont="1" applyBorder="1" applyAlignment="1"/>
    <xf numFmtId="0" fontId="7" fillId="3" borderId="74" xfId="0" applyFont="1" applyFill="1" applyBorder="1" applyAlignment="1">
      <alignment horizontal="center" vertical="center" wrapText="1"/>
    </xf>
    <xf numFmtId="0" fontId="19" fillId="16" borderId="75" xfId="0" applyFont="1" applyFill="1" applyBorder="1" applyAlignment="1"/>
    <xf numFmtId="0" fontId="7" fillId="2" borderId="0" xfId="0" applyFont="1" applyFill="1" applyAlignment="1">
      <alignment horizontal="center" vertical="center" wrapText="1"/>
    </xf>
    <xf numFmtId="168" fontId="19" fillId="2" borderId="69" xfId="0" applyNumberFormat="1" applyFont="1" applyFill="1" applyBorder="1" applyAlignment="1"/>
    <xf numFmtId="1" fontId="7" fillId="0" borderId="76" xfId="0" applyNumberFormat="1" applyFont="1" applyBorder="1" applyAlignment="1">
      <alignment horizontal="center" vertical="center" wrapText="1"/>
    </xf>
    <xf numFmtId="0" fontId="0" fillId="16" borderId="47" xfId="0" applyFont="1" applyFill="1" applyBorder="1" applyAlignment="1">
      <alignment horizontal="center"/>
    </xf>
    <xf numFmtId="1" fontId="6" fillId="2" borderId="77" xfId="0" applyNumberFormat="1" applyFont="1" applyFill="1" applyBorder="1" applyAlignment="1">
      <alignment horizontal="center" vertical="center" wrapText="1"/>
    </xf>
    <xf numFmtId="167" fontId="0" fillId="16" borderId="47" xfId="0" applyNumberFormat="1" applyFont="1" applyFill="1" applyBorder="1" applyAlignment="1">
      <alignment horizontal="center"/>
    </xf>
    <xf numFmtId="0" fontId="5" fillId="0" borderId="7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/>
    </xf>
    <xf numFmtId="0" fontId="19" fillId="16" borderId="47" xfId="0" applyFont="1" applyFill="1" applyBorder="1" applyAlignment="1">
      <alignment horizontal="center"/>
    </xf>
    <xf numFmtId="0" fontId="22" fillId="0" borderId="7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9" fillId="17" borderId="0" xfId="0" applyFont="1" applyFill="1" applyAlignment="1"/>
    <xf numFmtId="0" fontId="5" fillId="0" borderId="76" xfId="0" applyFont="1" applyBorder="1" applyAlignment="1">
      <alignment horizontal="center" vertical="center" wrapText="1"/>
    </xf>
    <xf numFmtId="0" fontId="16" fillId="0" borderId="0" xfId="0" applyFont="1" applyAlignment="1"/>
    <xf numFmtId="0" fontId="18" fillId="0" borderId="0" xfId="0" applyFont="1" applyAlignment="1"/>
    <xf numFmtId="1" fontId="7" fillId="0" borderId="80" xfId="0" applyNumberFormat="1" applyFont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9" fillId="6" borderId="0" xfId="0" applyFont="1" applyFill="1" applyAlignment="1"/>
    <xf numFmtId="0" fontId="23" fillId="0" borderId="83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19" fillId="16" borderId="47" xfId="0" applyFont="1" applyFill="1" applyBorder="1" applyAlignment="1"/>
    <xf numFmtId="0" fontId="5" fillId="0" borderId="8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/>
    </xf>
    <xf numFmtId="1" fontId="7" fillId="0" borderId="86" xfId="0" applyNumberFormat="1" applyFont="1" applyBorder="1" applyAlignment="1">
      <alignment horizontal="center" vertical="center" wrapText="1"/>
    </xf>
    <xf numFmtId="168" fontId="19" fillId="0" borderId="64" xfId="0" applyNumberFormat="1" applyFont="1" applyBorder="1" applyAlignment="1"/>
    <xf numFmtId="1" fontId="6" fillId="2" borderId="87" xfId="0" applyNumberFormat="1" applyFont="1" applyFill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/>
    </xf>
    <xf numFmtId="0" fontId="24" fillId="0" borderId="88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/>
    </xf>
    <xf numFmtId="0" fontId="5" fillId="0" borderId="86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20" fillId="0" borderId="91" xfId="0" applyFont="1" applyBorder="1" applyAlignment="1">
      <alignment horizontal="left"/>
    </xf>
    <xf numFmtId="0" fontId="20" fillId="0" borderId="9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0" fillId="0" borderId="62" xfId="0" applyFont="1" applyBorder="1" applyAlignment="1">
      <alignment horizontal="center"/>
    </xf>
    <xf numFmtId="0" fontId="16" fillId="0" borderId="92" xfId="0" applyFont="1" applyBorder="1" applyAlignment="1"/>
    <xf numFmtId="0" fontId="16" fillId="2" borderId="93" xfId="0" applyFont="1" applyFill="1" applyBorder="1" applyAlignment="1">
      <alignment horizontal="center" vertical="center"/>
    </xf>
    <xf numFmtId="0" fontId="16" fillId="0" borderId="63" xfId="0" applyFont="1" applyBorder="1" applyAlignment="1"/>
    <xf numFmtId="0" fontId="16" fillId="2" borderId="64" xfId="0" applyFont="1" applyFill="1" applyBorder="1" applyAlignment="1">
      <alignment horizontal="center" vertical="center" wrapText="1"/>
    </xf>
    <xf numFmtId="0" fontId="16" fillId="0" borderId="65" xfId="0" applyFont="1" applyBorder="1" applyAlignment="1"/>
    <xf numFmtId="0" fontId="16" fillId="2" borderId="94" xfId="0" applyFont="1" applyFill="1" applyBorder="1" applyAlignment="1">
      <alignment horizontal="center" vertical="center" wrapText="1"/>
    </xf>
    <xf numFmtId="0" fontId="16" fillId="0" borderId="56" xfId="0" applyFont="1" applyBorder="1" applyAlignment="1"/>
    <xf numFmtId="0" fontId="16" fillId="2" borderId="65" xfId="0" applyFont="1" applyFill="1" applyBorder="1" applyAlignment="1">
      <alignment horizontal="center" vertical="center" wrapText="1"/>
    </xf>
    <xf numFmtId="168" fontId="19" fillId="0" borderId="89" xfId="0" applyNumberFormat="1" applyFont="1" applyBorder="1" applyAlignment="1"/>
    <xf numFmtId="0" fontId="25" fillId="6" borderId="34" xfId="0" applyFont="1" applyFill="1" applyBorder="1" applyAlignment="1">
      <alignment horizontal="center" vertical="center" wrapText="1"/>
    </xf>
    <xf numFmtId="0" fontId="19" fillId="0" borderId="89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19" fillId="0" borderId="92" xfId="0" applyFont="1" applyBorder="1" applyAlignment="1"/>
    <xf numFmtId="0" fontId="25" fillId="2" borderId="0" xfId="0" applyFont="1" applyFill="1" applyAlignment="1">
      <alignment horizontal="center" vertical="center" wrapText="1"/>
    </xf>
    <xf numFmtId="0" fontId="16" fillId="0" borderId="66" xfId="0" applyFont="1" applyBorder="1" applyAlignment="1"/>
    <xf numFmtId="0" fontId="16" fillId="2" borderId="95" xfId="0" applyFont="1" applyFill="1" applyBorder="1" applyAlignment="1">
      <alignment horizontal="center" vertical="center"/>
    </xf>
    <xf numFmtId="0" fontId="5" fillId="18" borderId="34" xfId="0" applyFont="1" applyFill="1" applyBorder="1" applyAlignment="1">
      <alignment horizontal="center" vertical="center" wrapText="1"/>
    </xf>
    <xf numFmtId="168" fontId="19" fillId="2" borderId="96" xfId="0" applyNumberFormat="1" applyFont="1" applyFill="1" applyBorder="1" applyAlignment="1">
      <alignment horizontal="center" vertical="center"/>
    </xf>
    <xf numFmtId="167" fontId="5" fillId="0" borderId="34" xfId="0" applyNumberFormat="1" applyFont="1" applyBorder="1" applyAlignment="1">
      <alignment horizontal="center" vertical="center" wrapText="1"/>
    </xf>
    <xf numFmtId="168" fontId="19" fillId="2" borderId="67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horizontal="center" vertical="center" wrapText="1"/>
    </xf>
    <xf numFmtId="168" fontId="19" fillId="0" borderId="67" xfId="0" applyNumberFormat="1" applyFont="1" applyBorder="1" applyAlignment="1"/>
    <xf numFmtId="0" fontId="5" fillId="18" borderId="97" xfId="0" applyFont="1" applyFill="1" applyBorder="1" applyAlignment="1">
      <alignment horizontal="center" vertical="center" wrapText="1"/>
    </xf>
    <xf numFmtId="0" fontId="19" fillId="0" borderId="67" xfId="0" applyFont="1" applyBorder="1" applyAlignment="1">
      <alignment horizontal="center"/>
    </xf>
    <xf numFmtId="0" fontId="27" fillId="0" borderId="98" xfId="0" applyFont="1" applyBorder="1" applyAlignment="1">
      <alignment horizontal="center"/>
    </xf>
    <xf numFmtId="0" fontId="19" fillId="0" borderId="99" xfId="0" applyFont="1" applyBorder="1" applyAlignment="1"/>
    <xf numFmtId="0" fontId="5" fillId="0" borderId="36" xfId="0" applyFont="1" applyBorder="1" applyAlignment="1">
      <alignment horizontal="center"/>
    </xf>
    <xf numFmtId="168" fontId="19" fillId="2" borderId="100" xfId="0" applyNumberFormat="1" applyFont="1" applyFill="1" applyBorder="1" applyAlignment="1">
      <alignment horizontal="center" vertical="center"/>
    </xf>
    <xf numFmtId="167" fontId="5" fillId="0" borderId="37" xfId="0" applyNumberFormat="1" applyFont="1" applyBorder="1" applyAlignment="1">
      <alignment horizontal="center"/>
    </xf>
    <xf numFmtId="168" fontId="19" fillId="2" borderId="99" xfId="0" applyNumberFormat="1" applyFont="1" applyFill="1" applyBorder="1" applyAlignment="1">
      <alignment horizontal="center" vertical="center"/>
    </xf>
    <xf numFmtId="0" fontId="5" fillId="0" borderId="101" xfId="0" applyFont="1" applyBorder="1"/>
    <xf numFmtId="0" fontId="5" fillId="0" borderId="102" xfId="0" applyFont="1" applyBorder="1"/>
    <xf numFmtId="0" fontId="16" fillId="2" borderId="103" xfId="0" applyFont="1" applyFill="1" applyBorder="1" applyAlignment="1">
      <alignment horizontal="center" vertical="center"/>
    </xf>
    <xf numFmtId="0" fontId="5" fillId="0" borderId="104" xfId="0" applyFont="1" applyBorder="1"/>
    <xf numFmtId="168" fontId="19" fillId="2" borderId="105" xfId="0" applyNumberFormat="1" applyFont="1" applyFill="1" applyBorder="1" applyAlignment="1">
      <alignment horizontal="center" vertical="center"/>
    </xf>
    <xf numFmtId="10" fontId="19" fillId="0" borderId="69" xfId="0" applyNumberFormat="1" applyFont="1" applyBorder="1" applyAlignment="1"/>
    <xf numFmtId="168" fontId="19" fillId="2" borderId="69" xfId="0" applyNumberFormat="1" applyFont="1" applyFill="1" applyBorder="1" applyAlignment="1">
      <alignment horizontal="center" vertical="center"/>
    </xf>
    <xf numFmtId="168" fontId="19" fillId="0" borderId="107" xfId="0" applyNumberFormat="1" applyFont="1" applyBorder="1" applyAlignment="1"/>
    <xf numFmtId="0" fontId="4" fillId="0" borderId="0" xfId="0" applyFont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168" fontId="19" fillId="2" borderId="107" xfId="0" applyNumberFormat="1" applyFont="1" applyFill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6" fillId="19" borderId="112" xfId="0" applyFont="1" applyFill="1" applyBorder="1" applyAlignment="1">
      <alignment horizontal="center" vertical="center" wrapText="1"/>
    </xf>
    <xf numFmtId="10" fontId="19" fillId="2" borderId="69" xfId="0" applyNumberFormat="1" applyFont="1" applyFill="1" applyBorder="1" applyAlignment="1"/>
    <xf numFmtId="0" fontId="6" fillId="19" borderId="113" xfId="0" applyFont="1" applyFill="1" applyBorder="1" applyAlignment="1">
      <alignment horizontal="center" vertical="center" wrapText="1"/>
    </xf>
    <xf numFmtId="0" fontId="29" fillId="19" borderId="112" xfId="0" applyFont="1" applyFill="1" applyBorder="1" applyAlignment="1">
      <alignment horizontal="center" vertical="center" wrapText="1"/>
    </xf>
    <xf numFmtId="9" fontId="19" fillId="2" borderId="69" xfId="0" applyNumberFormat="1" applyFont="1" applyFill="1" applyBorder="1" applyAlignment="1"/>
    <xf numFmtId="0" fontId="30" fillId="0" borderId="0" xfId="0" applyFont="1" applyAlignment="1">
      <alignment horizontal="center" vertical="center" wrapText="1"/>
    </xf>
    <xf numFmtId="10" fontId="19" fillId="0" borderId="0" xfId="0" applyNumberFormat="1" applyFont="1" applyAlignment="1"/>
    <xf numFmtId="0" fontId="16" fillId="0" borderId="68" xfId="0" applyFont="1" applyBorder="1" applyAlignment="1">
      <alignment horizontal="left"/>
    </xf>
    <xf numFmtId="164" fontId="19" fillId="0" borderId="69" xfId="0" applyNumberFormat="1" applyFont="1" applyBorder="1" applyAlignment="1">
      <alignment horizontal="center"/>
    </xf>
    <xf numFmtId="164" fontId="19" fillId="0" borderId="69" xfId="0" applyNumberFormat="1" applyFont="1" applyBorder="1" applyAlignment="1"/>
    <xf numFmtId="164" fontId="19" fillId="0" borderId="107" xfId="0" applyNumberFormat="1" applyFont="1" applyBorder="1" applyAlignment="1"/>
    <xf numFmtId="168" fontId="19" fillId="2" borderId="114" xfId="0" applyNumberFormat="1" applyFont="1" applyFill="1" applyBorder="1" applyAlignment="1">
      <alignment horizontal="center" vertical="center"/>
    </xf>
    <xf numFmtId="0" fontId="16" fillId="2" borderId="115" xfId="0" applyFont="1" applyFill="1" applyBorder="1" applyAlignment="1">
      <alignment horizontal="center" vertical="center"/>
    </xf>
    <xf numFmtId="168" fontId="19" fillId="2" borderId="116" xfId="0" applyNumberFormat="1" applyFont="1" applyFill="1" applyBorder="1" applyAlignment="1">
      <alignment horizontal="center" vertical="center"/>
    </xf>
    <xf numFmtId="164" fontId="16" fillId="0" borderId="69" xfId="0" applyNumberFormat="1" applyFont="1" applyBorder="1" applyAlignment="1">
      <alignment horizontal="center"/>
    </xf>
    <xf numFmtId="2" fontId="19" fillId="0" borderId="69" xfId="0" applyNumberFormat="1" applyFont="1" applyBorder="1" applyAlignment="1">
      <alignment horizontal="center"/>
    </xf>
    <xf numFmtId="2" fontId="19" fillId="0" borderId="107" xfId="0" applyNumberFormat="1" applyFont="1" applyBorder="1" applyAlignment="1">
      <alignment horizontal="center"/>
    </xf>
    <xf numFmtId="164" fontId="19" fillId="0" borderId="0" xfId="0" applyNumberFormat="1" applyFont="1" applyAlignment="1"/>
    <xf numFmtId="168" fontId="19" fillId="2" borderId="65" xfId="0" applyNumberFormat="1" applyFont="1" applyFill="1" applyBorder="1" applyAlignment="1">
      <alignment horizontal="center" vertical="center"/>
    </xf>
    <xf numFmtId="164" fontId="16" fillId="0" borderId="0" xfId="0" applyNumberFormat="1" applyFont="1" applyAlignment="1">
      <alignment horizontal="center"/>
    </xf>
    <xf numFmtId="168" fontId="19" fillId="0" borderId="47" xfId="0" applyNumberFormat="1" applyFont="1" applyBorder="1" applyAlignment="1"/>
    <xf numFmtId="171" fontId="19" fillId="0" borderId="47" xfId="0" applyNumberFormat="1" applyFont="1" applyBorder="1" applyAlignment="1"/>
    <xf numFmtId="168" fontId="19" fillId="0" borderId="0" xfId="0" applyNumberFormat="1" applyFont="1" applyAlignment="1"/>
    <xf numFmtId="165" fontId="19" fillId="0" borderId="47" xfId="0" applyNumberFormat="1" applyFont="1" applyBorder="1" applyAlignment="1"/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14" borderId="117" xfId="0" applyFont="1" applyFill="1" applyBorder="1" applyAlignment="1"/>
    <xf numFmtId="0" fontId="19" fillId="0" borderId="117" xfId="0" applyFont="1" applyBorder="1" applyAlignment="1">
      <alignment horizontal="center"/>
    </xf>
    <xf numFmtId="0" fontId="31" fillId="19" borderId="118" xfId="0" applyFont="1" applyFill="1" applyBorder="1" applyAlignment="1">
      <alignment horizontal="center" vertical="center" wrapText="1"/>
    </xf>
    <xf numFmtId="0" fontId="6" fillId="19" borderId="119" xfId="0" applyFont="1" applyFill="1" applyBorder="1" applyAlignment="1">
      <alignment horizontal="center" vertical="center" wrapText="1"/>
    </xf>
    <xf numFmtId="0" fontId="32" fillId="19" borderId="120" xfId="0" applyFont="1" applyFill="1" applyBorder="1" applyAlignment="1">
      <alignment horizontal="center" vertical="center" wrapText="1"/>
    </xf>
    <xf numFmtId="0" fontId="6" fillId="19" borderId="121" xfId="0" applyFont="1" applyFill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167" fontId="7" fillId="0" borderId="122" xfId="0" applyNumberFormat="1" applyFont="1" applyBorder="1" applyAlignment="1">
      <alignment horizontal="center" vertical="center" wrapText="1"/>
    </xf>
    <xf numFmtId="0" fontId="33" fillId="18" borderId="3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7" fillId="3" borderId="123" xfId="0" applyFont="1" applyFill="1" applyBorder="1" applyAlignment="1">
      <alignment horizontal="center" vertical="center" wrapText="1"/>
    </xf>
    <xf numFmtId="0" fontId="35" fillId="20" borderId="8" xfId="0" applyFont="1" applyFill="1" applyBorder="1" applyAlignment="1">
      <alignment horizontal="center" vertical="center" wrapText="1"/>
    </xf>
    <xf numFmtId="0" fontId="36" fillId="6" borderId="8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4" fillId="0" borderId="8" xfId="0" applyFont="1" applyBorder="1"/>
    <xf numFmtId="0" fontId="36" fillId="0" borderId="5" xfId="0" applyFont="1" applyBorder="1" applyAlignment="1">
      <alignment horizontal="center" wrapText="1"/>
    </xf>
    <xf numFmtId="0" fontId="36" fillId="0" borderId="3" xfId="0" applyFont="1" applyBorder="1" applyAlignment="1">
      <alignment horizontal="center" wrapText="1"/>
    </xf>
    <xf numFmtId="0" fontId="36" fillId="0" borderId="32" xfId="0" applyFont="1" applyBorder="1" applyAlignment="1">
      <alignment horizontal="center" wrapText="1"/>
    </xf>
    <xf numFmtId="0" fontId="36" fillId="0" borderId="26" xfId="0" applyFont="1" applyBorder="1" applyAlignment="1">
      <alignment horizontal="center" wrapText="1"/>
    </xf>
    <xf numFmtId="0" fontId="36" fillId="0" borderId="25" xfId="0" applyFont="1" applyBorder="1" applyAlignment="1">
      <alignment horizont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25" xfId="0" applyFont="1" applyBorder="1"/>
    <xf numFmtId="0" fontId="9" fillId="21" borderId="0" xfId="0" applyFont="1" applyFill="1" applyAlignment="1">
      <alignment horizontal="center"/>
    </xf>
    <xf numFmtId="0" fontId="9" fillId="23" borderId="97" xfId="0" applyFont="1" applyFill="1" applyBorder="1" applyAlignment="1">
      <alignment horizontal="center" vertical="center" wrapText="1"/>
    </xf>
    <xf numFmtId="0" fontId="9" fillId="23" borderId="126" xfId="0" applyFont="1" applyFill="1" applyBorder="1" applyAlignment="1">
      <alignment horizontal="center" vertical="center" wrapText="1"/>
    </xf>
    <xf numFmtId="167" fontId="9" fillId="23" borderId="122" xfId="0" applyNumberFormat="1" applyFont="1" applyFill="1" applyBorder="1" applyAlignment="1">
      <alignment horizontal="center" vertical="center" wrapText="1"/>
    </xf>
    <xf numFmtId="0" fontId="9" fillId="0" borderId="0" xfId="0" applyFont="1"/>
    <xf numFmtId="167" fontId="5" fillId="0" borderId="0" xfId="0" applyNumberFormat="1" applyFont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4" fillId="0" borderId="127" xfId="0" applyFont="1" applyBorder="1"/>
    <xf numFmtId="2" fontId="6" fillId="0" borderId="128" xfId="0" applyNumberFormat="1" applyFont="1" applyBorder="1" applyAlignment="1">
      <alignment horizontal="center"/>
    </xf>
    <xf numFmtId="2" fontId="6" fillId="0" borderId="129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34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128" xfId="0" applyFont="1" applyBorder="1" applyAlignment="1">
      <alignment horizontal="center"/>
    </xf>
    <xf numFmtId="0" fontId="6" fillId="0" borderId="129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19" fillId="0" borderId="47" xfId="0" applyFont="1" applyBorder="1" applyAlignment="1"/>
    <xf numFmtId="0" fontId="20" fillId="0" borderId="0" xfId="0" applyFont="1" applyAlignment="1">
      <alignment horizontal="left"/>
    </xf>
    <xf numFmtId="0" fontId="20" fillId="0" borderId="56" xfId="0" applyFont="1" applyBorder="1" applyAlignment="1">
      <alignment horizontal="left"/>
    </xf>
    <xf numFmtId="0" fontId="20" fillId="0" borderId="89" xfId="0" applyFont="1" applyBorder="1" applyAlignment="1">
      <alignment horizontal="center"/>
    </xf>
    <xf numFmtId="0" fontId="20" fillId="0" borderId="9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68" xfId="0" applyFont="1" applyBorder="1" applyAlignment="1">
      <alignment horizontal="center"/>
    </xf>
    <xf numFmtId="0" fontId="16" fillId="0" borderId="114" xfId="0" applyFont="1" applyBorder="1" applyAlignment="1">
      <alignment horizontal="center"/>
    </xf>
    <xf numFmtId="167" fontId="5" fillId="0" borderId="0" xfId="0" applyNumberFormat="1" applyFont="1"/>
    <xf numFmtId="0" fontId="5" fillId="17" borderId="0" xfId="0" applyFont="1" applyFill="1"/>
    <xf numFmtId="0" fontId="16" fillId="0" borderId="69" xfId="0" applyFont="1" applyBorder="1" applyAlignment="1">
      <alignment horizontal="center"/>
    </xf>
    <xf numFmtId="0" fontId="9" fillId="7" borderId="97" xfId="0" applyFont="1" applyFill="1" applyBorder="1"/>
    <xf numFmtId="0" fontId="16" fillId="0" borderId="107" xfId="0" applyFont="1" applyBorder="1" applyAlignment="1">
      <alignment horizontal="center"/>
    </xf>
    <xf numFmtId="0" fontId="9" fillId="7" borderId="126" xfId="0" applyFont="1" applyFill="1" applyBorder="1"/>
    <xf numFmtId="0" fontId="19" fillId="0" borderId="0" xfId="0" applyFont="1" applyAlignment="1">
      <alignment horizontal="left"/>
    </xf>
    <xf numFmtId="167" fontId="9" fillId="7" borderId="122" xfId="0" applyNumberFormat="1" applyFont="1" applyFill="1" applyBorder="1"/>
    <xf numFmtId="168" fontId="19" fillId="0" borderId="69" xfId="0" applyNumberFormat="1" applyFont="1" applyBorder="1" applyAlignment="1">
      <alignment horizontal="center"/>
    </xf>
    <xf numFmtId="0" fontId="5" fillId="17" borderId="0" xfId="0" applyFont="1" applyFill="1" applyAlignment="1"/>
    <xf numFmtId="9" fontId="19" fillId="0" borderId="69" xfId="0" applyNumberFormat="1" applyFont="1" applyBorder="1" applyAlignment="1">
      <alignment horizontal="center"/>
    </xf>
    <xf numFmtId="9" fontId="19" fillId="0" borderId="107" xfId="0" applyNumberFormat="1" applyFont="1" applyBorder="1" applyAlignment="1">
      <alignment horizontal="center"/>
    </xf>
    <xf numFmtId="0" fontId="19" fillId="0" borderId="0" xfId="0" applyFont="1" applyAlignment="1"/>
    <xf numFmtId="1" fontId="5" fillId="0" borderId="78" xfId="0" applyNumberFormat="1" applyFont="1" applyBorder="1" applyAlignment="1">
      <alignment horizontal="center" vertical="center" wrapText="1"/>
    </xf>
    <xf numFmtId="1" fontId="5" fillId="0" borderId="83" xfId="0" applyNumberFormat="1" applyFont="1" applyBorder="1" applyAlignment="1">
      <alignment horizontal="center" vertical="center" wrapText="1"/>
    </xf>
    <xf numFmtId="168" fontId="19" fillId="0" borderId="69" xfId="0" applyNumberFormat="1" applyFont="1" applyBorder="1" applyAlignment="1">
      <alignment horizontal="center"/>
    </xf>
    <xf numFmtId="0" fontId="5" fillId="0" borderId="0" xfId="0" applyFont="1" applyAlignment="1"/>
    <xf numFmtId="168" fontId="16" fillId="0" borderId="64" xfId="0" applyNumberFormat="1" applyFont="1" applyBorder="1" applyAlignment="1">
      <alignment horizontal="center"/>
    </xf>
    <xf numFmtId="9" fontId="16" fillId="0" borderId="64" xfId="0" applyNumberFormat="1" applyFont="1" applyBorder="1" applyAlignment="1">
      <alignment horizontal="center"/>
    </xf>
    <xf numFmtId="9" fontId="16" fillId="0" borderId="65" xfId="0" applyNumberFormat="1" applyFont="1" applyBorder="1" applyAlignment="1">
      <alignment horizontal="center"/>
    </xf>
    <xf numFmtId="9" fontId="5" fillId="0" borderId="0" xfId="0" applyNumberFormat="1" applyFont="1" applyAlignment="1"/>
    <xf numFmtId="1" fontId="16" fillId="0" borderId="0" xfId="0" applyNumberFormat="1" applyFont="1" applyAlignment="1">
      <alignment horizontal="center"/>
    </xf>
    <xf numFmtId="0" fontId="37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8" xfId="0" applyNumberFormat="1" applyFont="1" applyBorder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168" fontId="5" fillId="0" borderId="8" xfId="0" applyNumberFormat="1" applyFont="1" applyBorder="1" applyAlignment="1">
      <alignment horizontal="center"/>
    </xf>
    <xf numFmtId="0" fontId="38" fillId="0" borderId="86" xfId="0" applyFont="1" applyBorder="1" applyAlignment="1">
      <alignment horizontal="center" vertical="center" wrapText="1"/>
    </xf>
    <xf numFmtId="0" fontId="39" fillId="2" borderId="0" xfId="0" applyFont="1" applyFill="1"/>
    <xf numFmtId="0" fontId="5" fillId="0" borderId="8" xfId="0" applyFont="1" applyBorder="1" applyAlignment="1">
      <alignment horizontal="center" vertical="center" wrapText="1"/>
    </xf>
    <xf numFmtId="0" fontId="5" fillId="24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/>
    <xf numFmtId="172" fontId="6" fillId="0" borderId="8" xfId="0" applyNumberFormat="1" applyFont="1" applyBorder="1" applyAlignment="1">
      <alignment horizontal="center"/>
    </xf>
    <xf numFmtId="1" fontId="5" fillId="24" borderId="34" xfId="0" applyNumberFormat="1" applyFont="1" applyFill="1" applyBorder="1" applyAlignment="1">
      <alignment horizontal="center" vertical="center" wrapText="1"/>
    </xf>
    <xf numFmtId="167" fontId="5" fillId="0" borderId="8" xfId="0" applyNumberFormat="1" applyFont="1" applyBorder="1"/>
    <xf numFmtId="167" fontId="9" fillId="0" borderId="0" xfId="0" applyNumberFormat="1" applyFont="1"/>
    <xf numFmtId="167" fontId="5" fillId="0" borderId="0" xfId="0" applyNumberFormat="1" applyFont="1"/>
    <xf numFmtId="0" fontId="5" fillId="0" borderId="8" xfId="0" applyFont="1" applyBorder="1"/>
    <xf numFmtId="167" fontId="5" fillId="0" borderId="8" xfId="0" applyNumberFormat="1" applyFont="1" applyBorder="1"/>
    <xf numFmtId="167" fontId="9" fillId="23" borderId="0" xfId="0" applyNumberFormat="1" applyFont="1" applyFill="1"/>
    <xf numFmtId="0" fontId="5" fillId="2" borderId="0" xfId="0" applyFont="1" applyFill="1"/>
    <xf numFmtId="0" fontId="9" fillId="21" borderId="0" xfId="0" applyFont="1" applyFill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20" fillId="0" borderId="91" xfId="0" applyFont="1" applyBorder="1" applyAlignment="1">
      <alignment horizontal="center"/>
    </xf>
    <xf numFmtId="0" fontId="4" fillId="0" borderId="0" xfId="0" applyFont="1" applyAlignment="1"/>
    <xf numFmtId="0" fontId="16" fillId="0" borderId="64" xfId="0" applyFont="1" applyBorder="1" applyAlignment="1">
      <alignment horizontal="center" wrapText="1"/>
    </xf>
    <xf numFmtId="0" fontId="4" fillId="0" borderId="108" xfId="0" applyFont="1" applyBorder="1" applyAlignment="1"/>
    <xf numFmtId="0" fontId="16" fillId="0" borderId="94" xfId="0" applyFont="1" applyBorder="1" applyAlignment="1">
      <alignment horizontal="center"/>
    </xf>
    <xf numFmtId="0" fontId="4" fillId="0" borderId="111" xfId="0" applyFont="1" applyBorder="1" applyAlignment="1"/>
    <xf numFmtId="0" fontId="16" fillId="0" borderId="134" xfId="0" applyFont="1" applyBorder="1" applyAlignment="1"/>
    <xf numFmtId="0" fontId="7" fillId="0" borderId="108" xfId="0" applyFont="1" applyBorder="1" applyAlignment="1">
      <alignment horizontal="center"/>
    </xf>
    <xf numFmtId="168" fontId="19" fillId="0" borderId="67" xfId="0" applyNumberFormat="1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168" fontId="19" fillId="0" borderId="100" xfId="0" applyNumberFormat="1" applyFont="1" applyBorder="1" applyAlignment="1">
      <alignment horizontal="center"/>
    </xf>
    <xf numFmtId="0" fontId="7" fillId="0" borderId="135" xfId="0" applyFont="1" applyBorder="1" applyAlignment="1">
      <alignment horizontal="center"/>
    </xf>
    <xf numFmtId="168" fontId="19" fillId="0" borderId="99" xfId="0" applyNumberFormat="1" applyFont="1" applyBorder="1" applyAlignment="1">
      <alignment horizontal="center"/>
    </xf>
    <xf numFmtId="0" fontId="7" fillId="0" borderId="136" xfId="0" applyFont="1" applyBorder="1" applyAlignment="1">
      <alignment horizontal="center"/>
    </xf>
    <xf numFmtId="0" fontId="19" fillId="0" borderId="134" xfId="0" applyFont="1" applyBorder="1" applyAlignment="1"/>
    <xf numFmtId="0" fontId="7" fillId="0" borderId="111" xfId="0" applyFont="1" applyBorder="1" applyAlignment="1">
      <alignment horizontal="center"/>
    </xf>
    <xf numFmtId="0" fontId="4" fillId="0" borderId="136" xfId="0" applyFont="1" applyBorder="1"/>
    <xf numFmtId="0" fontId="4" fillId="0" borderId="111" xfId="0" applyFont="1" applyBorder="1"/>
    <xf numFmtId="168" fontId="19" fillId="0" borderId="107" xfId="0" applyNumberFormat="1" applyFont="1" applyBorder="1" applyAlignment="1">
      <alignment horizontal="center"/>
    </xf>
    <xf numFmtId="0" fontId="41" fillId="0" borderId="137" xfId="0" applyFont="1" applyBorder="1" applyAlignment="1"/>
    <xf numFmtId="0" fontId="6" fillId="0" borderId="26" xfId="0" applyFont="1" applyBorder="1" applyAlignment="1"/>
    <xf numFmtId="0" fontId="4" fillId="25" borderId="40" xfId="0" applyFont="1" applyFill="1" applyBorder="1" applyAlignment="1"/>
    <xf numFmtId="1" fontId="6" fillId="0" borderId="26" xfId="0" applyNumberFormat="1" applyFont="1" applyBorder="1" applyAlignment="1">
      <alignment horizontal="center"/>
    </xf>
    <xf numFmtId="168" fontId="19" fillId="0" borderId="114" xfId="0" applyNumberFormat="1" applyFont="1" applyBorder="1" applyAlignment="1">
      <alignment horizontal="center"/>
    </xf>
    <xf numFmtId="1" fontId="4" fillId="26" borderId="26" xfId="0" applyNumberFormat="1" applyFont="1" applyFill="1" applyBorder="1" applyAlignment="1"/>
    <xf numFmtId="1" fontId="4" fillId="26" borderId="113" xfId="0" applyNumberFormat="1" applyFont="1" applyFill="1" applyBorder="1" applyAlignment="1"/>
    <xf numFmtId="0" fontId="6" fillId="0" borderId="26" xfId="0" applyFont="1" applyBorder="1" applyAlignment="1">
      <alignment horizontal="center"/>
    </xf>
    <xf numFmtId="0" fontId="4" fillId="26" borderId="26" xfId="0" applyFont="1" applyFill="1" applyBorder="1" applyAlignment="1"/>
    <xf numFmtId="168" fontId="16" fillId="0" borderId="69" xfId="0" applyNumberFormat="1" applyFont="1" applyBorder="1" applyAlignment="1">
      <alignment horizontal="center"/>
    </xf>
    <xf numFmtId="0" fontId="4" fillId="26" borderId="113" xfId="0" applyFont="1" applyFill="1" applyBorder="1" applyAlignment="1"/>
    <xf numFmtId="168" fontId="42" fillId="0" borderId="69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4" fillId="0" borderId="26" xfId="0" applyNumberFormat="1" applyFont="1" applyBorder="1" applyAlignment="1"/>
    <xf numFmtId="2" fontId="4" fillId="0" borderId="113" xfId="0" applyNumberFormat="1" applyFont="1" applyBorder="1" applyAlignment="1"/>
    <xf numFmtId="2" fontId="4" fillId="0" borderId="26" xfId="0" applyNumberFormat="1" applyFont="1" applyBorder="1" applyAlignment="1">
      <alignment horizontal="center"/>
    </xf>
    <xf numFmtId="0" fontId="4" fillId="25" borderId="136" xfId="0" applyFont="1" applyFill="1" applyBorder="1" applyAlignment="1"/>
    <xf numFmtId="3" fontId="6" fillId="0" borderId="26" xfId="0" applyNumberFormat="1" applyFont="1" applyBorder="1" applyAlignment="1">
      <alignment horizontal="center"/>
    </xf>
    <xf numFmtId="0" fontId="41" fillId="0" borderId="135" xfId="0" applyFont="1" applyBorder="1" applyAlignment="1"/>
    <xf numFmtId="0" fontId="6" fillId="0" borderId="136" xfId="0" applyFont="1" applyBorder="1" applyAlignment="1"/>
    <xf numFmtId="0" fontId="6" fillId="0" borderId="136" xfId="0" applyFont="1" applyBorder="1" applyAlignment="1">
      <alignment horizontal="center"/>
    </xf>
    <xf numFmtId="2" fontId="6" fillId="0" borderId="136" xfId="0" applyNumberFormat="1" applyFont="1" applyBorder="1" applyAlignment="1">
      <alignment horizontal="center"/>
    </xf>
    <xf numFmtId="2" fontId="4" fillId="0" borderId="136" xfId="0" applyNumberFormat="1" applyFont="1" applyBorder="1" applyAlignment="1"/>
    <xf numFmtId="2" fontId="4" fillId="0" borderId="136" xfId="0" applyNumberFormat="1" applyFont="1" applyBorder="1" applyAlignment="1">
      <alignment horizontal="center"/>
    </xf>
    <xf numFmtId="2" fontId="4" fillId="0" borderId="111" xfId="0" applyNumberFormat="1" applyFont="1" applyBorder="1" applyAlignme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2" fontId="4" fillId="0" borderId="0" xfId="0" applyNumberFormat="1" applyFont="1" applyAlignment="1"/>
    <xf numFmtId="0" fontId="4" fillId="0" borderId="138" xfId="0" applyFont="1" applyBorder="1" applyAlignment="1"/>
    <xf numFmtId="0" fontId="7" fillId="0" borderId="108" xfId="0" applyFont="1" applyBorder="1" applyAlignment="1">
      <alignment horizontal="center"/>
    </xf>
    <xf numFmtId="0" fontId="5" fillId="27" borderId="0" xfId="0" applyFont="1" applyFill="1"/>
    <xf numFmtId="1" fontId="4" fillId="0" borderId="0" xfId="0" applyNumberFormat="1" applyFont="1" applyAlignment="1">
      <alignment horizontal="right"/>
    </xf>
    <xf numFmtId="4" fontId="6" fillId="0" borderId="26" xfId="0" applyNumberFormat="1" applyFont="1" applyBorder="1" applyAlignment="1">
      <alignment horizontal="center"/>
    </xf>
    <xf numFmtId="172" fontId="6" fillId="0" borderId="26" xfId="0" applyNumberFormat="1" applyFont="1" applyBorder="1" applyAlignment="1">
      <alignment horizontal="center"/>
    </xf>
    <xf numFmtId="0" fontId="4" fillId="0" borderId="113" xfId="0" applyFont="1" applyBorder="1" applyAlignment="1"/>
    <xf numFmtId="168" fontId="19" fillId="2" borderId="69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19" fillId="0" borderId="93" xfId="0" applyFont="1" applyBorder="1" applyAlignment="1"/>
    <xf numFmtId="0" fontId="4" fillId="0" borderId="25" xfId="0" applyFont="1" applyBorder="1" applyAlignment="1"/>
    <xf numFmtId="0" fontId="19" fillId="20" borderId="0" xfId="0" applyFont="1" applyFill="1" applyAlignment="1"/>
    <xf numFmtId="0" fontId="4" fillId="0" borderId="40" xfId="0" applyFont="1" applyBorder="1" applyAlignment="1"/>
    <xf numFmtId="0" fontId="7" fillId="0" borderId="25" xfId="0" applyFont="1" applyBorder="1" applyAlignment="1"/>
    <xf numFmtId="0" fontId="4" fillId="0" borderId="26" xfId="0" applyFont="1" applyBorder="1" applyAlignment="1"/>
    <xf numFmtId="0" fontId="41" fillId="0" borderId="26" xfId="0" applyFont="1" applyBorder="1" applyAlignment="1">
      <alignment horizontal="center"/>
    </xf>
    <xf numFmtId="2" fontId="6" fillId="0" borderId="0" xfId="0" applyNumberFormat="1" applyFont="1" applyAlignment="1">
      <alignment horizontal="right"/>
    </xf>
    <xf numFmtId="168" fontId="16" fillId="0" borderId="107" xfId="0" applyNumberFormat="1" applyFont="1" applyBorder="1" applyAlignment="1">
      <alignment horizontal="center"/>
    </xf>
    <xf numFmtId="0" fontId="19" fillId="0" borderId="141" xfId="0" applyFont="1" applyBorder="1" applyAlignment="1"/>
    <xf numFmtId="1" fontId="5" fillId="0" borderId="0" xfId="0" applyNumberFormat="1" applyFont="1"/>
    <xf numFmtId="0" fontId="16" fillId="0" borderId="142" xfId="0" applyFont="1" applyBorder="1" applyAlignment="1">
      <alignment horizontal="center"/>
    </xf>
    <xf numFmtId="0" fontId="16" fillId="0" borderId="143" xfId="0" applyFont="1" applyBorder="1" applyAlignment="1">
      <alignment horizontal="center"/>
    </xf>
    <xf numFmtId="168" fontId="5" fillId="2" borderId="0" xfId="0" applyNumberFormat="1" applyFont="1" applyFill="1"/>
    <xf numFmtId="0" fontId="16" fillId="0" borderId="144" xfId="0" applyFont="1" applyBorder="1" applyAlignment="1">
      <alignment horizontal="center"/>
    </xf>
    <xf numFmtId="0" fontId="16" fillId="0" borderId="145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3" fontId="5" fillId="0" borderId="0" xfId="0" applyNumberFormat="1" applyFont="1"/>
    <xf numFmtId="0" fontId="19" fillId="0" borderId="146" xfId="0" applyFont="1" applyBorder="1" applyAlignment="1">
      <alignment horizontal="center"/>
    </xf>
    <xf numFmtId="4" fontId="5" fillId="0" borderId="0" xfId="0" applyNumberFormat="1" applyFont="1"/>
    <xf numFmtId="0" fontId="19" fillId="0" borderId="147" xfId="0" applyFont="1" applyBorder="1" applyAlignment="1"/>
    <xf numFmtId="2" fontId="5" fillId="0" borderId="0" xfId="0" applyNumberFormat="1" applyFont="1"/>
    <xf numFmtId="0" fontId="9" fillId="0" borderId="8" xfId="0" applyFont="1" applyBorder="1" applyAlignment="1">
      <alignment horizontal="center"/>
    </xf>
    <xf numFmtId="168" fontId="19" fillId="2" borderId="145" xfId="0" applyNumberFormat="1" applyFont="1" applyFill="1" applyBorder="1" applyAlignment="1">
      <alignment horizontal="center"/>
    </xf>
    <xf numFmtId="0" fontId="19" fillId="0" borderId="144" xfId="0" applyFont="1" applyBorder="1" applyAlignment="1"/>
    <xf numFmtId="167" fontId="5" fillId="0" borderId="8" xfId="0" applyNumberFormat="1" applyFont="1" applyBorder="1" applyAlignment="1">
      <alignment horizontal="center"/>
    </xf>
    <xf numFmtId="0" fontId="16" fillId="0" borderId="148" xfId="0" applyFont="1" applyBorder="1" applyAlignment="1"/>
    <xf numFmtId="168" fontId="19" fillId="2" borderId="145" xfId="0" applyNumberFormat="1" applyFont="1" applyFill="1" applyBorder="1" applyAlignment="1"/>
    <xf numFmtId="167" fontId="9" fillId="0" borderId="8" xfId="0" applyNumberFormat="1" applyFont="1" applyBorder="1" applyAlignment="1">
      <alignment horizontal="center"/>
    </xf>
    <xf numFmtId="0" fontId="16" fillId="0" borderId="149" xfId="0" applyFont="1" applyBorder="1" applyAlignment="1"/>
    <xf numFmtId="168" fontId="19" fillId="0" borderId="150" xfId="0" applyNumberFormat="1" applyFont="1" applyBorder="1" applyAlignment="1">
      <alignment horizontal="center"/>
    </xf>
    <xf numFmtId="168" fontId="19" fillId="2" borderId="150" xfId="0" applyNumberFormat="1" applyFont="1" applyFill="1" applyBorder="1" applyAlignment="1">
      <alignment horizontal="center"/>
    </xf>
    <xf numFmtId="168" fontId="19" fillId="2" borderId="151" xfId="0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66" fontId="19" fillId="2" borderId="0" xfId="0" applyNumberFormat="1" applyFont="1" applyFill="1" applyAlignment="1">
      <alignment horizontal="center"/>
    </xf>
    <xf numFmtId="0" fontId="16" fillId="0" borderId="141" xfId="0" applyFont="1" applyBorder="1" applyAlignment="1"/>
    <xf numFmtId="166" fontId="16" fillId="0" borderId="142" xfId="0" applyNumberFormat="1" applyFont="1" applyBorder="1" applyAlignment="1">
      <alignment horizontal="center"/>
    </xf>
    <xf numFmtId="166" fontId="16" fillId="2" borderId="142" xfId="0" applyNumberFormat="1" applyFont="1" applyFill="1" applyBorder="1" applyAlignment="1">
      <alignment horizontal="center"/>
    </xf>
    <xf numFmtId="166" fontId="16" fillId="2" borderId="143" xfId="0" applyNumberFormat="1" applyFont="1" applyFill="1" applyBorder="1" applyAlignment="1">
      <alignment horizontal="center"/>
    </xf>
    <xf numFmtId="0" fontId="19" fillId="2" borderId="0" xfId="0" applyFont="1" applyFill="1" applyAlignment="1"/>
    <xf numFmtId="0" fontId="16" fillId="0" borderId="0" xfId="0" applyFont="1" applyAlignment="1">
      <alignment horizontal="center" vertical="center" wrapText="1"/>
    </xf>
    <xf numFmtId="0" fontId="16" fillId="0" borderId="152" xfId="0" applyFont="1" applyBorder="1" applyAlignment="1"/>
    <xf numFmtId="0" fontId="19" fillId="2" borderId="64" xfId="0" applyFont="1" applyFill="1" applyBorder="1" applyAlignment="1">
      <alignment horizontal="center"/>
    </xf>
    <xf numFmtId="0" fontId="16" fillId="2" borderId="146" xfId="0" applyFont="1" applyFill="1" applyBorder="1" applyAlignment="1">
      <alignment horizontal="center"/>
    </xf>
    <xf numFmtId="0" fontId="16" fillId="0" borderId="147" xfId="0" applyFont="1" applyBorder="1" applyAlignment="1"/>
    <xf numFmtId="168" fontId="19" fillId="2" borderId="67" xfId="0" applyNumberFormat="1" applyFont="1" applyFill="1" applyBorder="1" applyAlignment="1">
      <alignment horizontal="center"/>
    </xf>
    <xf numFmtId="168" fontId="19" fillId="2" borderId="153" xfId="0" applyNumberFormat="1" applyFont="1" applyFill="1" applyBorder="1" applyAlignment="1">
      <alignment horizontal="center"/>
    </xf>
    <xf numFmtId="0" fontId="16" fillId="0" borderId="154" xfId="0" applyFont="1" applyBorder="1" applyAlignment="1"/>
    <xf numFmtId="0" fontId="16" fillId="0" borderId="144" xfId="0" applyFont="1" applyBorder="1" applyAlignment="1"/>
    <xf numFmtId="0" fontId="20" fillId="0" borderId="134" xfId="0" applyFont="1" applyBorder="1" applyAlignment="1">
      <alignment horizontal="center"/>
    </xf>
    <xf numFmtId="166" fontId="19" fillId="2" borderId="0" xfId="0" applyNumberFormat="1" applyFont="1" applyFill="1" applyAlignment="1">
      <alignment horizontal="left"/>
    </xf>
    <xf numFmtId="0" fontId="16" fillId="0" borderId="160" xfId="0" applyFont="1" applyBorder="1" applyAlignment="1"/>
    <xf numFmtId="0" fontId="16" fillId="0" borderId="146" xfId="0" applyFont="1" applyBorder="1" applyAlignment="1">
      <alignment horizontal="center"/>
    </xf>
    <xf numFmtId="168" fontId="19" fillId="0" borderId="139" xfId="0" applyNumberFormat="1" applyFont="1" applyBorder="1" applyAlignment="1">
      <alignment horizontal="center"/>
    </xf>
    <xf numFmtId="168" fontId="19" fillId="2" borderId="139" xfId="0" applyNumberFormat="1" applyFont="1" applyFill="1" applyBorder="1" applyAlignment="1">
      <alignment horizontal="center"/>
    </xf>
    <xf numFmtId="168" fontId="19" fillId="0" borderId="96" xfId="0" applyNumberFormat="1" applyFont="1" applyBorder="1" applyAlignment="1">
      <alignment horizontal="center"/>
    </xf>
    <xf numFmtId="168" fontId="19" fillId="0" borderId="153" xfId="0" applyNumberFormat="1" applyFont="1" applyBorder="1" applyAlignment="1">
      <alignment horizontal="center"/>
    </xf>
    <xf numFmtId="168" fontId="19" fillId="2" borderId="162" xfId="0" applyNumberFormat="1" applyFont="1" applyFill="1" applyBorder="1" applyAlignment="1">
      <alignment horizontal="center"/>
    </xf>
    <xf numFmtId="168" fontId="19" fillId="0" borderId="162" xfId="0" applyNumberFormat="1" applyFont="1" applyBorder="1" applyAlignment="1">
      <alignment horizontal="center"/>
    </xf>
    <xf numFmtId="168" fontId="19" fillId="0" borderId="105" xfId="0" applyNumberFormat="1" applyFont="1" applyBorder="1" applyAlignment="1">
      <alignment horizontal="center"/>
    </xf>
    <xf numFmtId="173" fontId="19" fillId="0" borderId="139" xfId="0" applyNumberFormat="1" applyFont="1" applyBorder="1" applyAlignment="1">
      <alignment horizontal="center"/>
    </xf>
    <xf numFmtId="173" fontId="19" fillId="0" borderId="162" xfId="0" applyNumberFormat="1" applyFont="1" applyBorder="1" applyAlignment="1">
      <alignment horizontal="center"/>
    </xf>
    <xf numFmtId="168" fontId="19" fillId="0" borderId="145" xfId="0" applyNumberFormat="1" applyFont="1" applyBorder="1" applyAlignment="1">
      <alignment horizontal="center"/>
    </xf>
    <xf numFmtId="173" fontId="19" fillId="0" borderId="150" xfId="0" applyNumberFormat="1" applyFont="1" applyBorder="1" applyAlignment="1">
      <alignment horizontal="center"/>
    </xf>
    <xf numFmtId="173" fontId="19" fillId="0" borderId="151" xfId="0" applyNumberFormat="1" applyFont="1" applyBorder="1" applyAlignment="1">
      <alignment horizontal="center"/>
    </xf>
    <xf numFmtId="0" fontId="16" fillId="0" borderId="141" xfId="0" applyFont="1" applyBorder="1" applyAlignment="1">
      <alignment horizontal="center"/>
    </xf>
    <xf numFmtId="0" fontId="16" fillId="0" borderId="152" xfId="0" applyFont="1" applyBorder="1" applyAlignment="1">
      <alignment horizontal="center"/>
    </xf>
    <xf numFmtId="0" fontId="19" fillId="0" borderId="164" xfId="0" applyFont="1" applyBorder="1" applyAlignment="1"/>
    <xf numFmtId="168" fontId="19" fillId="0" borderId="89" xfId="0" applyNumberFormat="1" applyFont="1" applyBorder="1" applyAlignment="1">
      <alignment horizontal="center"/>
    </xf>
    <xf numFmtId="168" fontId="19" fillId="0" borderId="166" xfId="0" applyNumberFormat="1" applyFont="1" applyBorder="1" applyAlignment="1">
      <alignment horizontal="center"/>
    </xf>
    <xf numFmtId="168" fontId="16" fillId="0" borderId="145" xfId="0" applyNumberFormat="1" applyFont="1" applyBorder="1" applyAlignment="1">
      <alignment horizontal="center"/>
    </xf>
    <xf numFmtId="168" fontId="19" fillId="0" borderId="145" xfId="0" applyNumberFormat="1" applyFont="1" applyBorder="1" applyAlignment="1"/>
    <xf numFmtId="168" fontId="43" fillId="2" borderId="0" xfId="0" applyNumberFormat="1" applyFont="1" applyFill="1" applyAlignment="1">
      <alignment horizontal="left"/>
    </xf>
    <xf numFmtId="164" fontId="19" fillId="0" borderId="145" xfId="0" applyNumberFormat="1" applyFont="1" applyBorder="1" applyAlignment="1"/>
    <xf numFmtId="9" fontId="19" fillId="0" borderId="145" xfId="0" applyNumberFormat="1" applyFont="1" applyBorder="1" applyAlignment="1">
      <alignment horizontal="center"/>
    </xf>
    <xf numFmtId="9" fontId="19" fillId="0" borderId="150" xfId="0" applyNumberFormat="1" applyFont="1" applyBorder="1" applyAlignment="1">
      <alignment horizontal="center"/>
    </xf>
    <xf numFmtId="9" fontId="19" fillId="0" borderId="151" xfId="0" applyNumberFormat="1" applyFont="1" applyBorder="1" applyAlignment="1">
      <alignment horizontal="center"/>
    </xf>
    <xf numFmtId="0" fontId="16" fillId="2" borderId="142" xfId="0" applyFont="1" applyFill="1" applyBorder="1" applyAlignment="1">
      <alignment horizontal="center"/>
    </xf>
    <xf numFmtId="168" fontId="19" fillId="0" borderId="168" xfId="0" applyNumberFormat="1" applyFont="1" applyBorder="1" applyAlignment="1">
      <alignment horizontal="center"/>
    </xf>
    <xf numFmtId="0" fontId="20" fillId="0" borderId="141" xfId="0" applyFont="1" applyBorder="1" applyAlignment="1">
      <alignment horizontal="left"/>
    </xf>
    <xf numFmtId="0" fontId="20" fillId="0" borderId="142" xfId="0" applyFont="1" applyBorder="1" applyAlignment="1">
      <alignment horizontal="center"/>
    </xf>
    <xf numFmtId="0" fontId="20" fillId="0" borderId="143" xfId="0" applyFont="1" applyBorder="1" applyAlignment="1">
      <alignment horizontal="center"/>
    </xf>
    <xf numFmtId="174" fontId="19" fillId="0" borderId="69" xfId="0" applyNumberFormat="1" applyFont="1" applyBorder="1" applyAlignment="1">
      <alignment horizontal="center"/>
    </xf>
    <xf numFmtId="174" fontId="19" fillId="0" borderId="145" xfId="0" applyNumberFormat="1" applyFont="1" applyBorder="1" applyAlignment="1">
      <alignment horizontal="center"/>
    </xf>
    <xf numFmtId="175" fontId="19" fillId="0" borderId="0" xfId="0" applyNumberFormat="1" applyFont="1" applyAlignment="1"/>
    <xf numFmtId="168" fontId="42" fillId="0" borderId="145" xfId="0" applyNumberFormat="1" applyFont="1" applyBorder="1" applyAlignment="1">
      <alignment horizontal="center"/>
    </xf>
    <xf numFmtId="0" fontId="19" fillId="0" borderId="144" xfId="0" applyFont="1" applyBorder="1" applyAlignment="1">
      <alignment horizontal="left"/>
    </xf>
    <xf numFmtId="168" fontId="16" fillId="2" borderId="69" xfId="0" applyNumberFormat="1" applyFont="1" applyFill="1" applyBorder="1" applyAlignment="1">
      <alignment horizontal="center"/>
    </xf>
    <xf numFmtId="168" fontId="16" fillId="2" borderId="145" xfId="0" applyNumberFormat="1" applyFont="1" applyFill="1" applyBorder="1" applyAlignment="1">
      <alignment horizontal="center"/>
    </xf>
    <xf numFmtId="3" fontId="19" fillId="2" borderId="69" xfId="0" applyNumberFormat="1" applyFont="1" applyFill="1" applyBorder="1" applyAlignment="1">
      <alignment horizontal="right"/>
    </xf>
    <xf numFmtId="3" fontId="19" fillId="2" borderId="145" xfId="0" applyNumberFormat="1" applyFont="1" applyFill="1" applyBorder="1" applyAlignment="1">
      <alignment horizontal="right"/>
    </xf>
    <xf numFmtId="0" fontId="44" fillId="0" borderId="0" xfId="0" applyFont="1" applyAlignment="1"/>
    <xf numFmtId="0" fontId="20" fillId="0" borderId="170" xfId="0" applyFont="1" applyBorder="1" applyAlignment="1">
      <alignment horizontal="left"/>
    </xf>
    <xf numFmtId="0" fontId="20" fillId="0" borderId="171" xfId="0" applyFont="1" applyBorder="1" applyAlignment="1">
      <alignment horizontal="left"/>
    </xf>
    <xf numFmtId="0" fontId="16" fillId="0" borderId="144" xfId="0" applyFont="1" applyBorder="1" applyAlignment="1">
      <alignment horizontal="left"/>
    </xf>
    <xf numFmtId="0" fontId="20" fillId="0" borderId="172" xfId="0" applyFont="1" applyBorder="1" applyAlignment="1">
      <alignment horizontal="left"/>
    </xf>
    <xf numFmtId="0" fontId="16" fillId="0" borderId="173" xfId="0" applyFont="1" applyBorder="1" applyAlignment="1">
      <alignment horizontal="center"/>
    </xf>
    <xf numFmtId="0" fontId="16" fillId="0" borderId="174" xfId="0" applyFont="1" applyBorder="1" applyAlignment="1">
      <alignment horizontal="center"/>
    </xf>
    <xf numFmtId="0" fontId="16" fillId="0" borderId="175" xfId="0" applyFont="1" applyBorder="1" applyAlignment="1">
      <alignment horizontal="center"/>
    </xf>
    <xf numFmtId="0" fontId="16" fillId="0" borderId="176" xfId="0" applyFont="1" applyBorder="1" applyAlignment="1">
      <alignment horizontal="center"/>
    </xf>
    <xf numFmtId="0" fontId="16" fillId="0" borderId="177" xfId="0" applyFont="1" applyBorder="1" applyAlignment="1">
      <alignment horizontal="center"/>
    </xf>
    <xf numFmtId="0" fontId="16" fillId="0" borderId="178" xfId="0" applyFont="1" applyBorder="1" applyAlignment="1">
      <alignment horizontal="center"/>
    </xf>
    <xf numFmtId="9" fontId="19" fillId="0" borderId="69" xfId="0" applyNumberFormat="1" applyFont="1" applyBorder="1" applyAlignment="1"/>
    <xf numFmtId="176" fontId="19" fillId="0" borderId="56" xfId="0" applyNumberFormat="1" applyFont="1" applyBorder="1" applyAlignment="1"/>
    <xf numFmtId="9" fontId="19" fillId="0" borderId="145" xfId="0" applyNumberFormat="1" applyFont="1" applyBorder="1" applyAlignment="1"/>
    <xf numFmtId="9" fontId="19" fillId="0" borderId="89" xfId="0" applyNumberFormat="1" applyFont="1" applyBorder="1" applyAlignment="1"/>
    <xf numFmtId="167" fontId="19" fillId="0" borderId="69" xfId="0" applyNumberFormat="1" applyFont="1" applyBorder="1" applyAlignment="1"/>
    <xf numFmtId="168" fontId="19" fillId="0" borderId="92" xfId="0" applyNumberFormat="1" applyFont="1" applyBorder="1" applyAlignment="1">
      <alignment horizontal="center"/>
    </xf>
    <xf numFmtId="167" fontId="19" fillId="0" borderId="145" xfId="0" applyNumberFormat="1" applyFont="1" applyBorder="1" applyAlignment="1"/>
    <xf numFmtId="176" fontId="19" fillId="0" borderId="68" xfId="0" applyNumberFormat="1" applyFont="1" applyBorder="1" applyAlignment="1"/>
    <xf numFmtId="176" fontId="19" fillId="0" borderId="63" xfId="0" applyNumberFormat="1" applyFont="1" applyBorder="1" applyAlignment="1"/>
    <xf numFmtId="168" fontId="19" fillId="0" borderId="64" xfId="0" applyNumberFormat="1" applyFont="1" applyBorder="1" applyAlignment="1">
      <alignment horizontal="center"/>
    </xf>
    <xf numFmtId="9" fontId="19" fillId="0" borderId="64" xfId="0" applyNumberFormat="1" applyFont="1" applyBorder="1" applyAlignment="1"/>
    <xf numFmtId="168" fontId="19" fillId="0" borderId="140" xfId="0" applyNumberFormat="1" applyFont="1" applyBorder="1" applyAlignment="1">
      <alignment horizontal="center"/>
    </xf>
    <xf numFmtId="168" fontId="16" fillId="0" borderId="0" xfId="0" applyNumberFormat="1" applyFont="1" applyAlignment="1">
      <alignment horizontal="center"/>
    </xf>
    <xf numFmtId="168" fontId="16" fillId="0" borderId="47" xfId="0" applyNumberFormat="1" applyFont="1" applyBorder="1" applyAlignment="1">
      <alignment horizontal="center"/>
    </xf>
    <xf numFmtId="168" fontId="16" fillId="0" borderId="0" xfId="0" applyNumberFormat="1" applyFont="1" applyAlignment="1"/>
    <xf numFmtId="9" fontId="19" fillId="0" borderId="0" xfId="0" applyNumberFormat="1" applyFont="1" applyAlignment="1"/>
    <xf numFmtId="49" fontId="19" fillId="0" borderId="56" xfId="0" applyNumberFormat="1" applyFont="1" applyBorder="1" applyAlignment="1"/>
    <xf numFmtId="10" fontId="19" fillId="0" borderId="150" xfId="0" applyNumberFormat="1" applyFont="1" applyBorder="1" applyAlignment="1"/>
    <xf numFmtId="9" fontId="19" fillId="0" borderId="89" xfId="0" applyNumberFormat="1" applyFont="1" applyBorder="1" applyAlignment="1"/>
    <xf numFmtId="10" fontId="19" fillId="0" borderId="151" xfId="0" applyNumberFormat="1" applyFont="1" applyBorder="1" applyAlignment="1"/>
    <xf numFmtId="49" fontId="19" fillId="0" borderId="68" xfId="0" applyNumberFormat="1" applyFont="1" applyBorder="1" applyAlignment="1"/>
    <xf numFmtId="0" fontId="20" fillId="0" borderId="0" xfId="0" applyFont="1" applyAlignment="1"/>
    <xf numFmtId="0" fontId="19" fillId="0" borderId="179" xfId="0" applyFont="1" applyBorder="1" applyAlignment="1"/>
    <xf numFmtId="0" fontId="19" fillId="17" borderId="179" xfId="0" applyFont="1" applyFill="1" applyBorder="1" applyAlignment="1"/>
    <xf numFmtId="167" fontId="19" fillId="0" borderId="179" xfId="0" applyNumberFormat="1" applyFont="1" applyBorder="1" applyAlignment="1"/>
    <xf numFmtId="0" fontId="19" fillId="0" borderId="56" xfId="0" applyFont="1" applyBorder="1" applyAlignment="1"/>
    <xf numFmtId="168" fontId="19" fillId="0" borderId="179" xfId="0" applyNumberFormat="1" applyFont="1" applyBorder="1" applyAlignment="1"/>
    <xf numFmtId="0" fontId="19" fillId="0" borderId="68" xfId="0" applyFont="1" applyBorder="1" applyAlignment="1"/>
    <xf numFmtId="3" fontId="19" fillId="17" borderId="179" xfId="0" applyNumberFormat="1" applyFont="1" applyFill="1" applyBorder="1" applyAlignment="1"/>
    <xf numFmtId="176" fontId="19" fillId="0" borderId="0" xfId="0" applyNumberFormat="1" applyFont="1" applyAlignment="1"/>
    <xf numFmtId="174" fontId="19" fillId="17" borderId="179" xfId="0" applyNumberFormat="1" applyFont="1" applyFill="1" applyBorder="1" applyAlignment="1"/>
    <xf numFmtId="176" fontId="19" fillId="0" borderId="0" xfId="0" applyNumberFormat="1" applyFont="1" applyAlignment="1">
      <alignment horizontal="left"/>
    </xf>
    <xf numFmtId="176" fontId="19" fillId="0" borderId="68" xfId="0" applyNumberFormat="1" applyFont="1" applyBorder="1" applyAlignment="1">
      <alignment horizontal="left"/>
    </xf>
    <xf numFmtId="0" fontId="16" fillId="0" borderId="63" xfId="0" applyFont="1" applyBorder="1" applyAlignment="1">
      <alignment horizontal="center"/>
    </xf>
    <xf numFmtId="0" fontId="19" fillId="28" borderId="0" xfId="0" applyFont="1" applyFill="1" applyAlignment="1"/>
    <xf numFmtId="168" fontId="19" fillId="2" borderId="114" xfId="0" applyNumberFormat="1" applyFont="1" applyFill="1" applyBorder="1" applyAlignment="1">
      <alignment horizontal="center"/>
    </xf>
    <xf numFmtId="168" fontId="19" fillId="2" borderId="107" xfId="0" applyNumberFormat="1" applyFont="1" applyFill="1" applyBorder="1" applyAlignment="1">
      <alignment horizontal="center"/>
    </xf>
    <xf numFmtId="0" fontId="19" fillId="28" borderId="0" xfId="0" applyFont="1" applyFill="1" applyAlignment="1"/>
    <xf numFmtId="168" fontId="19" fillId="0" borderId="65" xfId="0" applyNumberFormat="1" applyFont="1" applyBorder="1" applyAlignment="1">
      <alignment horizontal="center"/>
    </xf>
    <xf numFmtId="0" fontId="20" fillId="0" borderId="180" xfId="0" applyFont="1" applyBorder="1" applyAlignment="1">
      <alignment horizontal="left"/>
    </xf>
    <xf numFmtId="0" fontId="20" fillId="0" borderId="130" xfId="0" applyFont="1" applyBorder="1" applyAlignment="1">
      <alignment horizontal="center"/>
    </xf>
    <xf numFmtId="0" fontId="16" fillId="0" borderId="93" xfId="0" applyFont="1" applyBorder="1" applyAlignment="1">
      <alignment horizontal="center"/>
    </xf>
    <xf numFmtId="0" fontId="16" fillId="0" borderId="95" xfId="0" applyFont="1" applyBorder="1" applyAlignment="1"/>
    <xf numFmtId="0" fontId="19" fillId="0" borderId="103" xfId="0" applyFont="1" applyBorder="1" applyAlignment="1"/>
    <xf numFmtId="0" fontId="19" fillId="0" borderId="103" xfId="0" applyFont="1" applyBorder="1" applyAlignment="1">
      <alignment horizontal="left"/>
    </xf>
    <xf numFmtId="168" fontId="19" fillId="2" borderId="69" xfId="0" applyNumberFormat="1" applyFont="1" applyFill="1" applyBorder="1" applyAlignment="1">
      <alignment horizontal="center"/>
    </xf>
    <xf numFmtId="0" fontId="16" fillId="0" borderId="103" xfId="0" applyFont="1" applyBorder="1" applyAlignment="1"/>
    <xf numFmtId="168" fontId="19" fillId="20" borderId="69" xfId="0" applyNumberFormat="1" applyFont="1" applyFill="1" applyBorder="1" applyAlignment="1">
      <alignment horizontal="center"/>
    </xf>
    <xf numFmtId="168" fontId="19" fillId="20" borderId="107" xfId="0" applyNumberFormat="1" applyFont="1" applyFill="1" applyBorder="1" applyAlignment="1">
      <alignment horizontal="center"/>
    </xf>
    <xf numFmtId="167" fontId="19" fillId="0" borderId="105" xfId="0" applyNumberFormat="1" applyFont="1" applyBorder="1" applyAlignment="1">
      <alignment horizontal="center"/>
    </xf>
    <xf numFmtId="167" fontId="19" fillId="0" borderId="105" xfId="0" applyNumberFormat="1" applyFont="1" applyBorder="1" applyAlignment="1">
      <alignment horizontal="center"/>
    </xf>
    <xf numFmtId="0" fontId="16" fillId="0" borderId="103" xfId="0" applyFont="1" applyBorder="1" applyAlignment="1">
      <alignment horizontal="left"/>
    </xf>
    <xf numFmtId="168" fontId="19" fillId="0" borderId="105" xfId="0" applyNumberFormat="1" applyFont="1" applyBorder="1" applyAlignment="1">
      <alignment horizontal="center"/>
    </xf>
    <xf numFmtId="0" fontId="19" fillId="0" borderId="181" xfId="0" applyFont="1" applyBorder="1" applyAlignment="1"/>
    <xf numFmtId="168" fontId="16" fillId="0" borderId="99" xfId="0" applyNumberFormat="1" applyFont="1" applyBorder="1" applyAlignment="1">
      <alignment horizontal="center"/>
    </xf>
    <xf numFmtId="168" fontId="19" fillId="2" borderId="105" xfId="0" applyNumberFormat="1" applyFont="1" applyFill="1" applyBorder="1" applyAlignment="1">
      <alignment horizontal="center"/>
    </xf>
    <xf numFmtId="0" fontId="5" fillId="28" borderId="0" xfId="0" applyFont="1" applyFill="1"/>
    <xf numFmtId="0" fontId="16" fillId="0" borderId="115" xfId="0" applyFont="1" applyBorder="1" applyAlignment="1"/>
    <xf numFmtId="168" fontId="19" fillId="0" borderId="116" xfId="0" applyNumberFormat="1" applyFont="1" applyBorder="1" applyAlignment="1">
      <alignment horizontal="center"/>
    </xf>
    <xf numFmtId="0" fontId="16" fillId="0" borderId="139" xfId="0" applyFont="1" applyBorder="1" applyAlignment="1">
      <alignment horizontal="center"/>
    </xf>
    <xf numFmtId="0" fontId="16" fillId="0" borderId="140" xfId="0" applyFont="1" applyBorder="1" applyAlignment="1">
      <alignment horizontal="center"/>
    </xf>
    <xf numFmtId="174" fontId="19" fillId="0" borderId="89" xfId="0" applyNumberFormat="1" applyFont="1" applyBorder="1" applyAlignment="1">
      <alignment horizontal="center"/>
    </xf>
    <xf numFmtId="174" fontId="19" fillId="0" borderId="69" xfId="0" applyNumberFormat="1" applyFont="1" applyBorder="1" applyAlignment="1"/>
    <xf numFmtId="10" fontId="19" fillId="0" borderId="64" xfId="0" applyNumberFormat="1" applyFont="1" applyBorder="1" applyAlignment="1"/>
    <xf numFmtId="0" fontId="20" fillId="20" borderId="0" xfId="0" applyFont="1" applyFill="1" applyAlignment="1"/>
    <xf numFmtId="0" fontId="19" fillId="20" borderId="0" xfId="0" applyFont="1" applyFill="1" applyAlignment="1"/>
    <xf numFmtId="174" fontId="19" fillId="2" borderId="69" xfId="0" applyNumberFormat="1" applyFont="1" applyFill="1" applyBorder="1" applyAlignment="1">
      <alignment horizontal="center"/>
    </xf>
    <xf numFmtId="174" fontId="19" fillId="0" borderId="107" xfId="0" applyNumberFormat="1" applyFont="1" applyBorder="1" applyAlignment="1">
      <alignment horizontal="center"/>
    </xf>
    <xf numFmtId="174" fontId="19" fillId="2" borderId="69" xfId="0" applyNumberFormat="1" applyFont="1" applyFill="1" applyBorder="1" applyAlignment="1"/>
    <xf numFmtId="174" fontId="19" fillId="2" borderId="69" xfId="0" applyNumberFormat="1" applyFont="1" applyFill="1" applyBorder="1" applyAlignment="1"/>
    <xf numFmtId="174" fontId="19" fillId="0" borderId="107" xfId="0" applyNumberFormat="1" applyFont="1" applyBorder="1" applyAlignment="1"/>
    <xf numFmtId="174" fontId="19" fillId="2" borderId="107" xfId="0" applyNumberFormat="1" applyFont="1" applyFill="1" applyBorder="1" applyAlignment="1"/>
    <xf numFmtId="0" fontId="20" fillId="0" borderId="58" xfId="0" applyFont="1" applyBorder="1" applyAlignment="1">
      <alignment horizontal="center"/>
    </xf>
    <xf numFmtId="0" fontId="21" fillId="14" borderId="117" xfId="0" applyFont="1" applyFill="1" applyBorder="1" applyAlignment="1">
      <alignment horizontal="center"/>
    </xf>
    <xf numFmtId="168" fontId="19" fillId="0" borderId="107" xfId="0" applyNumberFormat="1" applyFont="1" applyBorder="1" applyAlignment="1">
      <alignment horizontal="center"/>
    </xf>
    <xf numFmtId="174" fontId="19" fillId="0" borderId="69" xfId="0" applyNumberFormat="1" applyFont="1" applyBorder="1" applyAlignment="1"/>
    <xf numFmtId="0" fontId="16" fillId="0" borderId="94" xfId="0" applyFont="1" applyBorder="1" applyAlignment="1">
      <alignment horizontal="center" wrapText="1"/>
    </xf>
    <xf numFmtId="0" fontId="16" fillId="0" borderId="65" xfId="0" applyFont="1" applyBorder="1" applyAlignment="1">
      <alignment horizontal="center" wrapText="1"/>
    </xf>
    <xf numFmtId="0" fontId="16" fillId="0" borderId="95" xfId="0" applyFont="1" applyBorder="1" applyAlignment="1">
      <alignment horizontal="center"/>
    </xf>
    <xf numFmtId="0" fontId="16" fillId="0" borderId="103" xfId="0" applyFont="1" applyBorder="1" applyAlignment="1">
      <alignment horizontal="center"/>
    </xf>
    <xf numFmtId="174" fontId="19" fillId="0" borderId="114" xfId="0" applyNumberFormat="1" applyFont="1" applyBorder="1" applyAlignment="1">
      <alignment horizontal="center"/>
    </xf>
    <xf numFmtId="168" fontId="19" fillId="0" borderId="96" xfId="0" applyNumberFormat="1" applyFont="1" applyBorder="1" applyAlignment="1">
      <alignment horizontal="center"/>
    </xf>
    <xf numFmtId="168" fontId="16" fillId="0" borderId="69" xfId="0" applyNumberFormat="1" applyFont="1" applyBorder="1" applyAlignment="1">
      <alignment horizontal="center"/>
    </xf>
    <xf numFmtId="177" fontId="19" fillId="0" borderId="0" xfId="0" applyNumberFormat="1" applyFont="1" applyAlignment="1"/>
    <xf numFmtId="0" fontId="16" fillId="0" borderId="115" xfId="0" applyFont="1" applyBorder="1" applyAlignment="1">
      <alignment horizontal="center"/>
    </xf>
    <xf numFmtId="178" fontId="19" fillId="0" borderId="0" xfId="0" applyNumberFormat="1" applyFont="1" applyAlignment="1"/>
    <xf numFmtId="0" fontId="19" fillId="0" borderId="47" xfId="0" applyFont="1" applyBorder="1" applyAlignment="1"/>
    <xf numFmtId="9" fontId="19" fillId="0" borderId="47" xfId="0" applyNumberFormat="1" applyFont="1" applyBorder="1" applyAlignme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center"/>
    </xf>
    <xf numFmtId="0" fontId="45" fillId="0" borderId="0" xfId="0" applyFont="1" applyAlignment="1"/>
    <xf numFmtId="1" fontId="19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168" fontId="19" fillId="0" borderId="67" xfId="0" applyNumberFormat="1" applyFont="1" applyBorder="1" applyAlignment="1">
      <alignment horizontal="center"/>
    </xf>
    <xf numFmtId="0" fontId="5" fillId="6" borderId="0" xfId="0" applyFont="1" applyFill="1" applyAlignment="1"/>
    <xf numFmtId="0" fontId="5" fillId="0" borderId="0" xfId="0" quotePrefix="1" applyFont="1" applyAlignment="1"/>
    <xf numFmtId="168" fontId="19" fillId="0" borderId="116" xfId="0" applyNumberFormat="1" applyFont="1" applyBorder="1" applyAlignment="1">
      <alignment horizontal="center"/>
    </xf>
    <xf numFmtId="179" fontId="19" fillId="0" borderId="94" xfId="0" applyNumberFormat="1" applyFont="1" applyBorder="1" applyAlignment="1">
      <alignment horizontal="center"/>
    </xf>
    <xf numFmtId="168" fontId="19" fillId="0" borderId="65" xfId="0" applyNumberFormat="1" applyFont="1" applyBorder="1" applyAlignment="1">
      <alignment horizontal="center"/>
    </xf>
    <xf numFmtId="180" fontId="19" fillId="0" borderId="0" xfId="0" applyNumberFormat="1" applyFont="1" applyAlignment="1"/>
    <xf numFmtId="181" fontId="19" fillId="17" borderId="0" xfId="0" applyNumberFormat="1" applyFont="1" applyFill="1" applyAlignment="1"/>
    <xf numFmtId="182" fontId="19" fillId="0" borderId="0" xfId="0" applyNumberFormat="1" applyFont="1" applyAlignment="1"/>
    <xf numFmtId="0" fontId="4" fillId="0" borderId="2" xfId="0" applyFont="1" applyBorder="1"/>
    <xf numFmtId="0" fontId="5" fillId="0" borderId="4" xfId="0" applyFont="1" applyBorder="1"/>
    <xf numFmtId="0" fontId="5" fillId="0" borderId="6" xfId="0" applyFont="1" applyBorder="1"/>
    <xf numFmtId="0" fontId="3" fillId="0" borderId="1" xfId="0" applyFont="1" applyBorder="1"/>
    <xf numFmtId="0" fontId="5" fillId="0" borderId="3" xfId="0" applyFont="1" applyBorder="1"/>
    <xf numFmtId="0" fontId="5" fillId="0" borderId="5" xfId="0" applyFont="1" applyBorder="1"/>
    <xf numFmtId="0" fontId="6" fillId="0" borderId="2" xfId="0" applyFont="1" applyBorder="1" applyAlignment="1">
      <alignment horizontal="left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0" borderId="25" xfId="0" applyFont="1" applyBorder="1"/>
    <xf numFmtId="0" fontId="5" fillId="0" borderId="26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7" fillId="3" borderId="28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7" fillId="3" borderId="1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wrapText="1"/>
    </xf>
    <xf numFmtId="0" fontId="5" fillId="0" borderId="33" xfId="0" applyFont="1" applyBorder="1"/>
    <xf numFmtId="0" fontId="7" fillId="5" borderId="38" xfId="0" applyFont="1" applyFill="1" applyBorder="1" applyAlignment="1">
      <alignment horizontal="center" vertical="center"/>
    </xf>
    <xf numFmtId="0" fontId="5" fillId="0" borderId="42" xfId="0" applyFont="1" applyBorder="1"/>
    <xf numFmtId="0" fontId="5" fillId="0" borderId="43" xfId="0" applyFont="1" applyBorder="1"/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20" xfId="0" applyFont="1" applyBorder="1"/>
    <xf numFmtId="0" fontId="0" fillId="0" borderId="0" xfId="0" applyFont="1" applyAlignment="1"/>
    <xf numFmtId="0" fontId="6" fillId="2" borderId="13" xfId="0" applyFont="1" applyFill="1" applyBorder="1" applyAlignment="1">
      <alignment horizontal="center"/>
    </xf>
    <xf numFmtId="0" fontId="5" fillId="0" borderId="19" xfId="0" applyFont="1" applyBorder="1"/>
    <xf numFmtId="0" fontId="3" fillId="3" borderId="22" xfId="0" applyFont="1" applyFill="1" applyBorder="1"/>
    <xf numFmtId="0" fontId="5" fillId="0" borderId="23" xfId="0" applyFont="1" applyBorder="1"/>
    <xf numFmtId="0" fontId="7" fillId="0" borderId="2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4" borderId="97" xfId="0" applyFont="1" applyFill="1" applyBorder="1" applyAlignment="1">
      <alignment horizontal="center" vertical="center" wrapText="1"/>
    </xf>
    <xf numFmtId="0" fontId="5" fillId="0" borderId="126" xfId="0" applyFont="1" applyBorder="1"/>
    <xf numFmtId="0" fontId="5" fillId="0" borderId="122" xfId="0" applyFont="1" applyBorder="1"/>
    <xf numFmtId="0" fontId="5" fillId="0" borderId="28" xfId="0" applyFont="1" applyBorder="1" applyAlignment="1">
      <alignment horizontal="center" vertical="center" wrapText="1"/>
    </xf>
    <xf numFmtId="0" fontId="9" fillId="23" borderId="0" xfId="0" applyFont="1" applyFill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9" fillId="21" borderId="0" xfId="0" applyFont="1" applyFill="1" applyAlignment="1">
      <alignment horizontal="center"/>
    </xf>
    <xf numFmtId="0" fontId="5" fillId="13" borderId="1" xfId="0" applyFont="1" applyFill="1" applyBorder="1" applyAlignment="1">
      <alignment horizontal="center" vertical="center" wrapText="1"/>
    </xf>
    <xf numFmtId="0" fontId="5" fillId="24" borderId="97" xfId="0" applyFont="1" applyFill="1" applyBorder="1" applyAlignment="1">
      <alignment horizontal="center" vertical="center" wrapText="1"/>
    </xf>
    <xf numFmtId="0" fontId="25" fillId="0" borderId="131" xfId="0" applyFont="1" applyBorder="1" applyAlignment="1">
      <alignment horizontal="center" vertical="center" wrapText="1"/>
    </xf>
    <xf numFmtId="0" fontId="5" fillId="0" borderId="132" xfId="0" applyFont="1" applyBorder="1"/>
    <xf numFmtId="0" fontId="5" fillId="0" borderId="133" xfId="0" applyFont="1" applyBorder="1"/>
    <xf numFmtId="0" fontId="5" fillId="0" borderId="24" xfId="0" applyFont="1" applyBorder="1"/>
    <xf numFmtId="0" fontId="9" fillId="7" borderId="0" xfId="0" applyFont="1" applyFill="1" applyAlignment="1">
      <alignment horizontal="center"/>
    </xf>
    <xf numFmtId="0" fontId="28" fillId="0" borderId="106" xfId="0" applyFont="1" applyBorder="1" applyAlignment="1">
      <alignment horizontal="center" vertical="center" wrapText="1"/>
    </xf>
    <xf numFmtId="0" fontId="5" fillId="0" borderId="108" xfId="0" applyFont="1" applyBorder="1"/>
    <xf numFmtId="0" fontId="5" fillId="0" borderId="109" xfId="0" applyFont="1" applyBorder="1"/>
    <xf numFmtId="0" fontId="10" fillId="9" borderId="39" xfId="0" applyFont="1" applyFill="1" applyBorder="1" applyAlignment="1">
      <alignment horizontal="center" wrapText="1"/>
    </xf>
    <xf numFmtId="0" fontId="5" fillId="0" borderId="41" xfId="0" applyFont="1" applyBorder="1"/>
    <xf numFmtId="0" fontId="9" fillId="22" borderId="101" xfId="0" applyFont="1" applyFill="1" applyBorder="1" applyAlignment="1">
      <alignment horizontal="center" vertical="center" wrapText="1"/>
    </xf>
    <xf numFmtId="0" fontId="5" fillId="0" borderId="102" xfId="0" applyFont="1" applyBorder="1"/>
    <xf numFmtId="0" fontId="5" fillId="0" borderId="104" xfId="0" applyFont="1" applyBorder="1"/>
    <xf numFmtId="0" fontId="5" fillId="0" borderId="124" xfId="0" applyFont="1" applyBorder="1"/>
    <xf numFmtId="0" fontId="5" fillId="0" borderId="125" xfId="0" applyFont="1" applyBorder="1"/>
    <xf numFmtId="167" fontId="13" fillId="10" borderId="40" xfId="0" applyNumberFormat="1" applyFont="1" applyFill="1" applyBorder="1" applyAlignment="1">
      <alignment horizontal="center" vertical="center"/>
    </xf>
    <xf numFmtId="0" fontId="13" fillId="10" borderId="33" xfId="0" applyFont="1" applyFill="1" applyBorder="1" applyAlignment="1">
      <alignment horizontal="center" vertical="center"/>
    </xf>
    <xf numFmtId="0" fontId="13" fillId="10" borderId="40" xfId="0" applyFont="1" applyFill="1" applyBorder="1" applyAlignment="1">
      <alignment horizontal="center" vertical="center"/>
    </xf>
    <xf numFmtId="0" fontId="4" fillId="0" borderId="1" xfId="0" applyFont="1" applyBorder="1"/>
    <xf numFmtId="0" fontId="12" fillId="2" borderId="0" xfId="0" applyFont="1" applyFill="1" applyAlignment="1">
      <alignment horizontal="center" vertical="center" wrapText="1"/>
    </xf>
    <xf numFmtId="0" fontId="17" fillId="14" borderId="48" xfId="0" applyFont="1" applyFill="1" applyBorder="1" applyAlignment="1">
      <alignment horizontal="center"/>
    </xf>
    <xf numFmtId="0" fontId="5" fillId="0" borderId="49" xfId="0" applyFont="1" applyBorder="1"/>
    <xf numFmtId="0" fontId="5" fillId="0" borderId="50" xfId="0" applyFont="1" applyBorder="1"/>
    <xf numFmtId="0" fontId="18" fillId="14" borderId="51" xfId="0" applyFont="1" applyFill="1" applyBorder="1" applyAlignment="1">
      <alignment horizontal="left" vertical="center" wrapText="1"/>
    </xf>
    <xf numFmtId="0" fontId="5" fillId="0" borderId="52" xfId="0" applyFont="1" applyBorder="1"/>
    <xf numFmtId="0" fontId="5" fillId="0" borderId="53" xfId="0" applyFont="1" applyBorder="1"/>
    <xf numFmtId="0" fontId="5" fillId="0" borderId="54" xfId="0" applyFont="1" applyBorder="1"/>
    <xf numFmtId="0" fontId="5" fillId="0" borderId="55" xfId="0" applyFont="1" applyBorder="1"/>
    <xf numFmtId="0" fontId="5" fillId="0" borderId="57" xfId="0" applyFont="1" applyBorder="1"/>
    <xf numFmtId="0" fontId="5" fillId="0" borderId="59" xfId="0" applyFont="1" applyBorder="1"/>
    <xf numFmtId="0" fontId="5" fillId="0" borderId="61" xfId="0" applyFont="1" applyBorder="1"/>
    <xf numFmtId="0" fontId="21" fillId="14" borderId="51" xfId="0" applyFont="1" applyFill="1" applyBorder="1" applyAlignment="1">
      <alignment horizontal="left" vertical="center" wrapText="1"/>
    </xf>
    <xf numFmtId="0" fontId="21" fillId="14" borderId="48" xfId="0" applyFont="1" applyFill="1" applyBorder="1" applyAlignment="1">
      <alignment horizontal="left" vertical="center"/>
    </xf>
    <xf numFmtId="0" fontId="5" fillId="0" borderId="82" xfId="0" applyFont="1" applyBorder="1"/>
    <xf numFmtId="0" fontId="5" fillId="0" borderId="84" xfId="0" applyFont="1" applyBorder="1"/>
    <xf numFmtId="0" fontId="16" fillId="0" borderId="58" xfId="0" applyFont="1" applyBorder="1" applyAlignment="1">
      <alignment horizontal="center"/>
    </xf>
    <xf numFmtId="0" fontId="5" fillId="0" borderId="60" xfId="0" applyFont="1" applyBorder="1"/>
    <xf numFmtId="0" fontId="5" fillId="0" borderId="62" xfId="0" applyFont="1" applyBorder="1"/>
    <xf numFmtId="0" fontId="5" fillId="0" borderId="90" xfId="0" applyFont="1" applyBorder="1"/>
    <xf numFmtId="0" fontId="21" fillId="14" borderId="48" xfId="0" applyFont="1" applyFill="1" applyBorder="1" applyAlignment="1">
      <alignment horizontal="center" vertical="center"/>
    </xf>
    <xf numFmtId="0" fontId="16" fillId="0" borderId="114" xfId="0" applyFont="1" applyBorder="1" applyAlignment="1">
      <alignment horizontal="center"/>
    </xf>
    <xf numFmtId="0" fontId="5" fillId="0" borderId="105" xfId="0" applyFont="1" applyBorder="1"/>
    <xf numFmtId="0" fontId="5" fillId="0" borderId="130" xfId="0" applyFont="1" applyBorder="1"/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1" fillId="14" borderId="48" xfId="0" applyFont="1" applyFill="1" applyBorder="1" applyAlignment="1">
      <alignment horizontal="center"/>
    </xf>
    <xf numFmtId="168" fontId="19" fillId="29" borderId="69" xfId="0" applyNumberFormat="1" applyFont="1" applyFill="1" applyBorder="1" applyAlignment="1">
      <alignment horizontal="center"/>
    </xf>
    <xf numFmtId="168" fontId="0" fillId="29" borderId="69" xfId="0" applyNumberFormat="1" applyFont="1" applyFill="1" applyBorder="1" applyAlignment="1">
      <alignment horizontal="center"/>
    </xf>
    <xf numFmtId="168" fontId="19" fillId="29" borderId="107" xfId="0" applyNumberFormat="1" applyFont="1" applyFill="1" applyBorder="1" applyAlignment="1">
      <alignment horizontal="center"/>
    </xf>
    <xf numFmtId="168" fontId="19" fillId="29" borderId="114" xfId="0" applyNumberFormat="1" applyFont="1" applyFill="1" applyBorder="1" applyAlignment="1">
      <alignment horizontal="center"/>
    </xf>
    <xf numFmtId="168" fontId="0" fillId="29" borderId="107" xfId="0" applyNumberFormat="1" applyFont="1" applyFill="1" applyBorder="1" applyAlignment="1">
      <alignment horizontal="center"/>
    </xf>
    <xf numFmtId="168" fontId="16" fillId="29" borderId="69" xfId="0" applyNumberFormat="1" applyFont="1" applyFill="1" applyBorder="1" applyAlignment="1">
      <alignment horizontal="center"/>
    </xf>
    <xf numFmtId="168" fontId="42" fillId="29" borderId="69" xfId="0" applyNumberFormat="1" applyFont="1" applyFill="1" applyBorder="1" applyAlignment="1">
      <alignment horizontal="center"/>
    </xf>
    <xf numFmtId="168" fontId="0" fillId="30" borderId="69" xfId="0" applyNumberFormat="1" applyFont="1" applyFill="1" applyBorder="1" applyAlignment="1">
      <alignment horizontal="center"/>
    </xf>
    <xf numFmtId="168" fontId="19" fillId="30" borderId="69" xfId="0" applyNumberFormat="1" applyFont="1" applyFill="1" applyBorder="1" applyAlignment="1">
      <alignment horizontal="center"/>
    </xf>
    <xf numFmtId="168" fontId="16" fillId="29" borderId="107" xfId="0" applyNumberFormat="1" applyFont="1" applyFill="1" applyBorder="1" applyAlignment="1">
      <alignment horizontal="center"/>
    </xf>
    <xf numFmtId="168" fontId="19" fillId="30" borderId="107" xfId="0" applyNumberFormat="1" applyFont="1" applyFill="1" applyBorder="1" applyAlignment="1">
      <alignment horizontal="center"/>
    </xf>
    <xf numFmtId="168" fontId="16" fillId="29" borderId="64" xfId="0" applyNumberFormat="1" applyFont="1" applyFill="1" applyBorder="1" applyAlignment="1">
      <alignment horizontal="center"/>
    </xf>
    <xf numFmtId="0" fontId="20" fillId="29" borderId="155" xfId="0" applyFont="1" applyFill="1" applyBorder="1" applyAlignment="1">
      <alignment horizontal="left"/>
    </xf>
    <xf numFmtId="0" fontId="20" fillId="29" borderId="156" xfId="0" applyFont="1" applyFill="1" applyBorder="1" applyAlignment="1">
      <alignment horizontal="center"/>
    </xf>
    <xf numFmtId="0" fontId="20" fillId="29" borderId="157" xfId="0" applyFont="1" applyFill="1" applyBorder="1" applyAlignment="1">
      <alignment horizontal="center"/>
    </xf>
    <xf numFmtId="0" fontId="20" fillId="29" borderId="158" xfId="0" applyFont="1" applyFill="1" applyBorder="1" applyAlignment="1">
      <alignment horizontal="left"/>
    </xf>
    <xf numFmtId="0" fontId="20" fillId="29" borderId="134" xfId="0" applyFont="1" applyFill="1" applyBorder="1" applyAlignment="1">
      <alignment horizontal="center"/>
    </xf>
    <xf numFmtId="0" fontId="20" fillId="29" borderId="159" xfId="0" applyFont="1" applyFill="1" applyBorder="1" applyAlignment="1">
      <alignment horizontal="center"/>
    </xf>
    <xf numFmtId="0" fontId="16" fillId="29" borderId="160" xfId="0" applyFont="1" applyFill="1" applyBorder="1" applyAlignment="1">
      <alignment horizontal="center"/>
    </xf>
    <xf numFmtId="0" fontId="16" fillId="29" borderId="64" xfId="0" applyFont="1" applyFill="1" applyBorder="1" applyAlignment="1">
      <alignment horizontal="center" wrapText="1"/>
    </xf>
    <xf numFmtId="0" fontId="16" fillId="29" borderId="64" xfId="0" applyFont="1" applyFill="1" applyBorder="1" applyAlignment="1">
      <alignment horizontal="center"/>
    </xf>
    <xf numFmtId="0" fontId="16" fillId="29" borderId="146" xfId="0" applyFont="1" applyFill="1" applyBorder="1" applyAlignment="1">
      <alignment horizontal="center"/>
    </xf>
    <xf numFmtId="0" fontId="16" fillId="29" borderId="161" xfId="0" applyFont="1" applyFill="1" applyBorder="1" applyAlignment="1"/>
    <xf numFmtId="168" fontId="19" fillId="29" borderId="96" xfId="0" applyNumberFormat="1" applyFont="1" applyFill="1" applyBorder="1" applyAlignment="1">
      <alignment horizontal="center"/>
    </xf>
    <xf numFmtId="168" fontId="19" fillId="29" borderId="67" xfId="0" applyNumberFormat="1" applyFont="1" applyFill="1" applyBorder="1" applyAlignment="1">
      <alignment horizontal="center"/>
    </xf>
    <xf numFmtId="168" fontId="19" fillId="29" borderId="153" xfId="0" applyNumberFormat="1" applyFont="1" applyFill="1" applyBorder="1" applyAlignment="1">
      <alignment horizontal="center"/>
    </xf>
    <xf numFmtId="0" fontId="19" fillId="29" borderId="163" xfId="0" applyFont="1" applyFill="1" applyBorder="1" applyAlignment="1"/>
    <xf numFmtId="168" fontId="19" fillId="29" borderId="105" xfId="0" applyNumberFormat="1" applyFont="1" applyFill="1" applyBorder="1" applyAlignment="1">
      <alignment horizontal="center"/>
    </xf>
    <xf numFmtId="168" fontId="19" fillId="29" borderId="145" xfId="0" applyNumberFormat="1" applyFont="1" applyFill="1" applyBorder="1" applyAlignment="1">
      <alignment horizontal="center"/>
    </xf>
    <xf numFmtId="0" fontId="16" fillId="29" borderId="163" xfId="0" applyFont="1" applyFill="1" applyBorder="1" applyAlignment="1"/>
    <xf numFmtId="0" fontId="16" fillId="29" borderId="163" xfId="0" applyFont="1" applyFill="1" applyBorder="1" applyAlignment="1">
      <alignment horizontal="left"/>
    </xf>
    <xf numFmtId="0" fontId="16" fillId="29" borderId="167" xfId="0" applyFont="1" applyFill="1" applyBorder="1" applyAlignment="1"/>
    <xf numFmtId="168" fontId="19" fillId="29" borderId="168" xfId="0" applyNumberFormat="1" applyFont="1" applyFill="1" applyBorder="1" applyAlignment="1">
      <alignment horizontal="center"/>
    </xf>
    <xf numFmtId="0" fontId="20" fillId="29" borderId="155" xfId="0" applyFont="1" applyFill="1" applyBorder="1" applyAlignment="1">
      <alignment horizontal="center"/>
    </xf>
    <xf numFmtId="0" fontId="16" fillId="29" borderId="144" xfId="0" applyFont="1" applyFill="1" applyBorder="1" applyAlignment="1">
      <alignment horizontal="center"/>
    </xf>
    <xf numFmtId="0" fontId="16" fillId="29" borderId="165" xfId="0" applyFont="1" applyFill="1" applyBorder="1" applyAlignment="1"/>
    <xf numFmtId="0" fontId="19" fillId="29" borderId="165" xfId="0" applyFont="1" applyFill="1" applyBorder="1" applyAlignment="1"/>
    <xf numFmtId="168" fontId="16" fillId="29" borderId="145" xfId="0" applyNumberFormat="1" applyFont="1" applyFill="1" applyBorder="1" applyAlignment="1">
      <alignment horizontal="center"/>
    </xf>
    <xf numFmtId="164" fontId="19" fillId="29" borderId="139" xfId="0" applyNumberFormat="1" applyFont="1" applyFill="1" applyBorder="1" applyAlignment="1">
      <alignment horizontal="center"/>
    </xf>
    <xf numFmtId="164" fontId="19" fillId="29" borderId="162" xfId="0" applyNumberFormat="1" applyFont="1" applyFill="1" applyBorder="1" applyAlignment="1"/>
    <xf numFmtId="0" fontId="16" fillId="29" borderId="169" xfId="0" applyFont="1" applyFill="1" applyBorder="1" applyAlignment="1"/>
    <xf numFmtId="168" fontId="16" fillId="29" borderId="150" xfId="0" applyNumberFormat="1" applyFont="1" applyFill="1" applyBorder="1" applyAlignment="1">
      <alignment horizontal="center"/>
    </xf>
    <xf numFmtId="168" fontId="16" fillId="29" borderId="151" xfId="0" applyNumberFormat="1" applyFont="1" applyFill="1" applyBorder="1" applyAlignment="1">
      <alignment horizontal="center"/>
    </xf>
    <xf numFmtId="9" fontId="19" fillId="16" borderId="79" xfId="0" applyNumberFormat="1" applyFont="1" applyFill="1" applyBorder="1" applyAlignment="1">
      <alignment horizontal="center"/>
    </xf>
    <xf numFmtId="0" fontId="5" fillId="16" borderId="81" xfId="0" applyFont="1" applyFill="1" applyBorder="1" applyAlignment="1">
      <alignment horizontal="center"/>
    </xf>
    <xf numFmtId="9" fontId="19" fillId="16" borderId="85" xfId="0" applyNumberFormat="1" applyFont="1" applyFill="1" applyBorder="1" applyAlignment="1">
      <alignment horizontal="center"/>
    </xf>
    <xf numFmtId="0" fontId="15" fillId="0" borderId="23" xfId="0" applyFont="1" applyBorder="1" applyAlignment="1"/>
    <xf numFmtId="0" fontId="0" fillId="0" borderId="23" xfId="0" applyFont="1" applyBorder="1" applyAlignment="1"/>
    <xf numFmtId="0" fontId="19" fillId="0" borderId="23" xfId="0" applyFont="1" applyBorder="1" applyAlignment="1"/>
    <xf numFmtId="0" fontId="16" fillId="0" borderId="182" xfId="0" applyFont="1" applyBorder="1" applyAlignment="1">
      <alignment horizontal="center"/>
    </xf>
    <xf numFmtId="168" fontId="19" fillId="0" borderId="182" xfId="0" applyNumberFormat="1" applyFont="1" applyBorder="1" applyAlignment="1">
      <alignment horizontal="center"/>
    </xf>
    <xf numFmtId="168" fontId="19" fillId="2" borderId="182" xfId="0" applyNumberFormat="1" applyFont="1" applyFill="1" applyBorder="1" applyAlignment="1">
      <alignment horizontal="center"/>
    </xf>
    <xf numFmtId="164" fontId="19" fillId="0" borderId="182" xfId="0" applyNumberFormat="1" applyFont="1" applyBorder="1" applyAlignment="1">
      <alignment horizontal="center"/>
    </xf>
    <xf numFmtId="10" fontId="19" fillId="0" borderId="182" xfId="0" applyNumberFormat="1" applyFont="1" applyBorder="1" applyAlignment="1">
      <alignment horizontal="center"/>
    </xf>
    <xf numFmtId="0" fontId="20" fillId="0" borderId="183" xfId="0" applyFont="1" applyBorder="1" applyAlignment="1">
      <alignment horizontal="center"/>
    </xf>
    <xf numFmtId="0" fontId="20" fillId="0" borderId="184" xfId="0" applyFont="1" applyBorder="1" applyAlignment="1">
      <alignment horizontal="center"/>
    </xf>
    <xf numFmtId="0" fontId="20" fillId="0" borderId="185" xfId="0" applyFont="1" applyBorder="1" applyAlignment="1">
      <alignment horizontal="center"/>
    </xf>
    <xf numFmtId="0" fontId="16" fillId="0" borderId="186" xfId="0" applyFont="1" applyBorder="1" applyAlignment="1">
      <alignment horizontal="center"/>
    </xf>
    <xf numFmtId="0" fontId="16" fillId="0" borderId="187" xfId="0" applyFont="1" applyBorder="1" applyAlignment="1">
      <alignment horizontal="center"/>
    </xf>
    <xf numFmtId="0" fontId="19" fillId="0" borderId="186" xfId="0" applyFont="1" applyBorder="1" applyAlignment="1"/>
    <xf numFmtId="168" fontId="19" fillId="0" borderId="187" xfId="0" applyNumberFormat="1" applyFont="1" applyBorder="1" applyAlignment="1">
      <alignment horizontal="center"/>
    </xf>
    <xf numFmtId="168" fontId="19" fillId="0" borderId="187" xfId="0" applyNumberFormat="1" applyFont="1" applyBorder="1" applyAlignment="1"/>
    <xf numFmtId="0" fontId="16" fillId="0" borderId="186" xfId="0" applyFont="1" applyBorder="1" applyAlignment="1"/>
    <xf numFmtId="164" fontId="19" fillId="0" borderId="187" xfId="0" applyNumberFormat="1" applyFont="1" applyBorder="1" applyAlignment="1"/>
    <xf numFmtId="10" fontId="19" fillId="0" borderId="187" xfId="0" applyNumberFormat="1" applyFont="1" applyBorder="1" applyAlignment="1">
      <alignment horizontal="center"/>
    </xf>
    <xf numFmtId="0" fontId="16" fillId="0" borderId="188" xfId="0" applyFont="1" applyBorder="1" applyAlignment="1"/>
    <xf numFmtId="10" fontId="19" fillId="0" borderId="189" xfId="0" applyNumberFormat="1" applyFont="1" applyBorder="1" applyAlignment="1">
      <alignment horizontal="center"/>
    </xf>
    <xf numFmtId="10" fontId="19" fillId="0" borderId="190" xfId="0" applyNumberFormat="1" applyFont="1" applyBorder="1" applyAlignment="1">
      <alignment horizontal="center"/>
    </xf>
    <xf numFmtId="9" fontId="16" fillId="15" borderId="47" xfId="0" applyNumberFormat="1" applyFont="1" applyFill="1" applyBorder="1" applyAlignment="1">
      <alignment horizontal="center"/>
    </xf>
  </cellXfs>
  <cellStyles count="1">
    <cellStyle name="Normal" xfId="0" builtinId="0"/>
  </cellStyles>
  <dxfs count="43"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/>
            </a:pPr>
            <a:r>
              <a:rPr lang="es-AR"/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19050" cmpd="sng">
              <a:solidFill>
                <a:srgbClr val="3366CC"/>
              </a:solidFill>
              <a:prstDash val="solid"/>
            </a:ln>
          </c:spPr>
          <c:marker>
            <c:symbol val="none"/>
          </c:marker>
          <c:cat>
            <c:strRef>
              <c:f>'E-Costos'!$B$148:$B$154</c:f>
              <c:strCache>
                <c:ptCount val="7"/>
                <c:pt idx="0">
                  <c:v>Q</c:v>
                </c:pt>
                <c:pt idx="1">
                  <c:v>0</c:v>
                </c:pt>
                <c:pt idx="2">
                  <c:v>1.500</c:v>
                </c:pt>
                <c:pt idx="3">
                  <c:v>3.000</c:v>
                </c:pt>
                <c:pt idx="4">
                  <c:v>5000</c:v>
                </c:pt>
                <c:pt idx="5">
                  <c:v>9000</c:v>
                </c:pt>
                <c:pt idx="6">
                  <c:v>14850</c:v>
                </c:pt>
              </c:strCache>
            </c:strRef>
          </c:cat>
          <c:val>
            <c:numRef>
              <c:f>'E-Costos'!$C$138:$C$144</c:f>
              <c:numCache>
                <c:formatCode>[$ $]#,##0.00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2140909.0909090908</c:v>
                </c:pt>
                <c:pt idx="3">
                  <c:v>4281818.1818181816</c:v>
                </c:pt>
                <c:pt idx="4">
                  <c:v>7136363.6363636367</c:v>
                </c:pt>
                <c:pt idx="5">
                  <c:v>12845454.545454545</c:v>
                </c:pt>
                <c:pt idx="6">
                  <c:v>16956000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EA-41A0-9C16-C9A496E4B870}"/>
            </c:ext>
          </c:extLst>
        </c:ser>
        <c:ser>
          <c:idx val="1"/>
          <c:order val="1"/>
          <c:spPr>
            <a:ln w="19050" cmpd="sng">
              <a:solidFill>
                <a:srgbClr val="DC3912"/>
              </a:solidFill>
              <a:prstDash val="solid"/>
            </a:ln>
          </c:spPr>
          <c:marker>
            <c:symbol val="none"/>
          </c:marker>
          <c:cat>
            <c:strRef>
              <c:f>'E-Costos'!$B$148:$B$154</c:f>
              <c:strCache>
                <c:ptCount val="7"/>
                <c:pt idx="0">
                  <c:v>Q</c:v>
                </c:pt>
                <c:pt idx="1">
                  <c:v>0</c:v>
                </c:pt>
                <c:pt idx="2">
                  <c:v>1.500</c:v>
                </c:pt>
                <c:pt idx="3">
                  <c:v>3.000</c:v>
                </c:pt>
                <c:pt idx="4">
                  <c:v>5000</c:v>
                </c:pt>
                <c:pt idx="5">
                  <c:v>9000</c:v>
                </c:pt>
                <c:pt idx="6">
                  <c:v>14850</c:v>
                </c:pt>
              </c:strCache>
            </c:strRef>
          </c:cat>
          <c:val>
            <c:numRef>
              <c:f>'E-Costos'!$D$138:$D$144</c:f>
              <c:numCache>
                <c:formatCode>[$ $]#,##0.00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785356.38972493995</c:v>
                </c:pt>
                <c:pt idx="3">
                  <c:v>1570712.7794498799</c:v>
                </c:pt>
                <c:pt idx="4">
                  <c:v>2617854.6324164667</c:v>
                </c:pt>
                <c:pt idx="5">
                  <c:v>4712138.3383496394</c:v>
                </c:pt>
                <c:pt idx="6">
                  <c:v>6220022.6066215243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A-41A0-9C16-C9A496E4B870}"/>
            </c:ext>
          </c:extLst>
        </c:ser>
        <c:ser>
          <c:idx val="2"/>
          <c:order val="2"/>
          <c:spPr>
            <a:ln w="19050" cmpd="sng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'E-Costos'!$B$148:$B$154</c:f>
              <c:strCache>
                <c:ptCount val="7"/>
                <c:pt idx="0">
                  <c:v>Q</c:v>
                </c:pt>
                <c:pt idx="1">
                  <c:v>0</c:v>
                </c:pt>
                <c:pt idx="2">
                  <c:v>1.500</c:v>
                </c:pt>
                <c:pt idx="3">
                  <c:v>3.000</c:v>
                </c:pt>
                <c:pt idx="4">
                  <c:v>5000</c:v>
                </c:pt>
                <c:pt idx="5">
                  <c:v>9000</c:v>
                </c:pt>
                <c:pt idx="6">
                  <c:v>14850</c:v>
                </c:pt>
              </c:strCache>
            </c:strRef>
          </c:cat>
          <c:val>
            <c:numRef>
              <c:f>'E-Costos'!$E$138:$E$144</c:f>
              <c:numCache>
                <c:formatCode>_(\$* #,##0.00_);_(\$* \(#,##0.00\);_(\$* \-??_);_(@_)</c:formatCode>
                <c:ptCount val="7"/>
                <c:pt idx="0" formatCode="General">
                  <c:v>0</c:v>
                </c:pt>
                <c:pt idx="1">
                  <c:v>6224128.3616305152</c:v>
                </c:pt>
                <c:pt idx="2">
                  <c:v>6224128.3616305152</c:v>
                </c:pt>
                <c:pt idx="3">
                  <c:v>6224128.3616305152</c:v>
                </c:pt>
                <c:pt idx="4">
                  <c:v>6224128.3616305152</c:v>
                </c:pt>
                <c:pt idx="5">
                  <c:v>6224128.3616305152</c:v>
                </c:pt>
                <c:pt idx="6">
                  <c:v>6224128.3616305152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EA-41A0-9C16-C9A496E4B870}"/>
            </c:ext>
          </c:extLst>
        </c:ser>
        <c:ser>
          <c:idx val="3"/>
          <c:order val="3"/>
          <c:spPr>
            <a:ln w="19050" cmpd="sng">
              <a:solidFill>
                <a:srgbClr val="109618"/>
              </a:solidFill>
              <a:prstDash val="solid"/>
            </a:ln>
          </c:spPr>
          <c:marker>
            <c:symbol val="none"/>
          </c:marker>
          <c:cat>
            <c:strRef>
              <c:f>'E-Costos'!$B$148:$B$154</c:f>
              <c:strCache>
                <c:ptCount val="7"/>
                <c:pt idx="0">
                  <c:v>Q</c:v>
                </c:pt>
                <c:pt idx="1">
                  <c:v>0</c:v>
                </c:pt>
                <c:pt idx="2">
                  <c:v>1.500</c:v>
                </c:pt>
                <c:pt idx="3">
                  <c:v>3.000</c:v>
                </c:pt>
                <c:pt idx="4">
                  <c:v>5000</c:v>
                </c:pt>
                <c:pt idx="5">
                  <c:v>9000</c:v>
                </c:pt>
                <c:pt idx="6">
                  <c:v>14850</c:v>
                </c:pt>
              </c:strCache>
            </c:strRef>
          </c:cat>
          <c:val>
            <c:numRef>
              <c:f>'E-Costos'!$F$138:$F$144</c:f>
              <c:numCache>
                <c:formatCode>[$ $]#,##0.00</c:formatCode>
                <c:ptCount val="7"/>
                <c:pt idx="0" formatCode="General">
                  <c:v>0</c:v>
                </c:pt>
                <c:pt idx="1">
                  <c:v>6224128.3616305152</c:v>
                </c:pt>
                <c:pt idx="2">
                  <c:v>7009484.7513554553</c:v>
                </c:pt>
                <c:pt idx="3">
                  <c:v>7794841.1410803953</c:v>
                </c:pt>
                <c:pt idx="4">
                  <c:v>8841982.9940469824</c:v>
                </c:pt>
                <c:pt idx="5">
                  <c:v>10936266.699980155</c:v>
                </c:pt>
                <c:pt idx="6">
                  <c:v>12444150.96825204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EA-41A0-9C16-C9A496E4B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159236"/>
        <c:axId val="1626910777"/>
      </c:lineChart>
      <c:catAx>
        <c:axId val="30115923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s-AR"/>
          </a:p>
        </c:txPr>
        <c:crossAx val="1626910777"/>
        <c:crosses val="autoZero"/>
        <c:auto val="1"/>
        <c:lblAlgn val="ctr"/>
        <c:lblOffset val="100"/>
        <c:noMultiLvlLbl val="1"/>
      </c:catAx>
      <c:valAx>
        <c:axId val="16269107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/>
            </a:pPr>
            <a:endParaRPr lang="es-AR"/>
          </a:p>
        </c:txPr>
        <c:crossAx val="301159236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/>
            </a:pPr>
            <a:r>
              <a:rPr lang="es-AR"/>
              <a:t>PUNTO DE EQUILIBRIO AÑO 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6450960566228516E-2"/>
          <c:y val="0.13712509742147377"/>
          <c:w val="0.79422576844413006"/>
          <c:h val="0.77618818137136847"/>
        </c:manualLayout>
      </c:layout>
      <c:lineChart>
        <c:grouping val="standard"/>
        <c:varyColors val="1"/>
        <c:ser>
          <c:idx val="0"/>
          <c:order val="0"/>
          <c:tx>
            <c:strRef>
              <c:f>'E-Costos'!$C$138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mpd="sng">
              <a:solidFill>
                <a:srgbClr val="3366CC"/>
              </a:solidFill>
              <a:prstDash val="solid"/>
            </a:ln>
          </c:spPr>
          <c:marker>
            <c:symbol val="none"/>
          </c:marker>
          <c:cat>
            <c:numRef>
              <c:f>'E-Costos'!$B$139:$B$144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1500</c:v>
                </c:pt>
                <c:pt idx="2">
                  <c:v>3000</c:v>
                </c:pt>
                <c:pt idx="3" formatCode="General">
                  <c:v>5000</c:v>
                </c:pt>
                <c:pt idx="4" formatCode="General">
                  <c:v>9000</c:v>
                </c:pt>
                <c:pt idx="5" formatCode="_(* #,##0.00_);_(* \(#,##0.00\);_(* \-??_);_(@_)">
                  <c:v>11880</c:v>
                </c:pt>
              </c:numCache>
            </c:numRef>
          </c:cat>
          <c:val>
            <c:numRef>
              <c:f>'E-Costos'!$C$139:$C$144</c:f>
              <c:numCache>
                <c:formatCode>[$ $]#,##0.00</c:formatCode>
                <c:ptCount val="6"/>
                <c:pt idx="0">
                  <c:v>0</c:v>
                </c:pt>
                <c:pt idx="1">
                  <c:v>2140909.0909090908</c:v>
                </c:pt>
                <c:pt idx="2">
                  <c:v>4281818.1818181816</c:v>
                </c:pt>
                <c:pt idx="3">
                  <c:v>7136363.6363636367</c:v>
                </c:pt>
                <c:pt idx="4">
                  <c:v>12845454.545454545</c:v>
                </c:pt>
                <c:pt idx="5">
                  <c:v>16956000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B-4425-A79D-1616447F784F}"/>
            </c:ext>
          </c:extLst>
        </c:ser>
        <c:ser>
          <c:idx val="1"/>
          <c:order val="1"/>
          <c:tx>
            <c:strRef>
              <c:f>'E-Costos'!$D$138</c:f>
              <c:strCache>
                <c:ptCount val="1"/>
                <c:pt idx="0">
                  <c:v>CV</c:v>
                </c:pt>
              </c:strCache>
            </c:strRef>
          </c:tx>
          <c:spPr>
            <a:ln w="19050" cmpd="sng">
              <a:solidFill>
                <a:srgbClr val="DC3912"/>
              </a:solidFill>
              <a:prstDash val="solid"/>
            </a:ln>
          </c:spPr>
          <c:marker>
            <c:symbol val="none"/>
          </c:marker>
          <c:cat>
            <c:numRef>
              <c:f>'E-Costos'!$B$139:$B$144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1500</c:v>
                </c:pt>
                <c:pt idx="2">
                  <c:v>3000</c:v>
                </c:pt>
                <c:pt idx="3" formatCode="General">
                  <c:v>5000</c:v>
                </c:pt>
                <c:pt idx="4" formatCode="General">
                  <c:v>9000</c:v>
                </c:pt>
                <c:pt idx="5" formatCode="_(* #,##0.00_);_(* \(#,##0.00\);_(* \-??_);_(@_)">
                  <c:v>11880</c:v>
                </c:pt>
              </c:numCache>
            </c:numRef>
          </c:cat>
          <c:val>
            <c:numRef>
              <c:f>'E-Costos'!$D$139:$D$144</c:f>
              <c:numCache>
                <c:formatCode>[$ $]#,##0.00</c:formatCode>
                <c:ptCount val="6"/>
                <c:pt idx="0">
                  <c:v>0</c:v>
                </c:pt>
                <c:pt idx="1">
                  <c:v>785356.38972493995</c:v>
                </c:pt>
                <c:pt idx="2">
                  <c:v>1570712.7794498799</c:v>
                </c:pt>
                <c:pt idx="3">
                  <c:v>2617854.6324164667</c:v>
                </c:pt>
                <c:pt idx="4">
                  <c:v>4712138.3383496394</c:v>
                </c:pt>
                <c:pt idx="5">
                  <c:v>6220022.6066215243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B-4425-A79D-1616447F784F}"/>
            </c:ext>
          </c:extLst>
        </c:ser>
        <c:ser>
          <c:idx val="2"/>
          <c:order val="2"/>
          <c:tx>
            <c:strRef>
              <c:f>'E-Costos'!$E$138</c:f>
              <c:strCache>
                <c:ptCount val="1"/>
                <c:pt idx="0">
                  <c:v>CF</c:v>
                </c:pt>
              </c:strCache>
            </c:strRef>
          </c:tx>
          <c:spPr>
            <a:ln w="19050" cmpd="sng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'E-Costos'!$B$139:$B$144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1500</c:v>
                </c:pt>
                <c:pt idx="2">
                  <c:v>3000</c:v>
                </c:pt>
                <c:pt idx="3" formatCode="General">
                  <c:v>5000</c:v>
                </c:pt>
                <c:pt idx="4" formatCode="General">
                  <c:v>9000</c:v>
                </c:pt>
                <c:pt idx="5" formatCode="_(* #,##0.00_);_(* \(#,##0.00\);_(* \-??_);_(@_)">
                  <c:v>11880</c:v>
                </c:pt>
              </c:numCache>
            </c:numRef>
          </c:cat>
          <c:val>
            <c:numRef>
              <c:f>'E-Costos'!$E$139:$E$144</c:f>
              <c:numCache>
                <c:formatCode>_(\$* #,##0.00_);_(\$* \(#,##0.00\);_(\$* \-??_);_(@_)</c:formatCode>
                <c:ptCount val="6"/>
                <c:pt idx="0">
                  <c:v>6224128.3616305152</c:v>
                </c:pt>
                <c:pt idx="1">
                  <c:v>6224128.3616305152</c:v>
                </c:pt>
                <c:pt idx="2">
                  <c:v>6224128.3616305152</c:v>
                </c:pt>
                <c:pt idx="3">
                  <c:v>6224128.3616305152</c:v>
                </c:pt>
                <c:pt idx="4">
                  <c:v>6224128.3616305152</c:v>
                </c:pt>
                <c:pt idx="5">
                  <c:v>6224128.3616305152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7B-4425-A79D-1616447F784F}"/>
            </c:ext>
          </c:extLst>
        </c:ser>
        <c:ser>
          <c:idx val="3"/>
          <c:order val="3"/>
          <c:tx>
            <c:strRef>
              <c:f>'E-Costos'!$F$138</c:f>
              <c:strCache>
                <c:ptCount val="1"/>
                <c:pt idx="0">
                  <c:v>CT</c:v>
                </c:pt>
              </c:strCache>
            </c:strRef>
          </c:tx>
          <c:spPr>
            <a:ln w="19050" cmpd="sng">
              <a:solidFill>
                <a:srgbClr val="109618"/>
              </a:solidFill>
              <a:prstDash val="solid"/>
            </a:ln>
          </c:spPr>
          <c:marker>
            <c:symbol val="none"/>
          </c:marker>
          <c:cat>
            <c:numRef>
              <c:f>'E-Costos'!$B$139:$B$144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1500</c:v>
                </c:pt>
                <c:pt idx="2">
                  <c:v>3000</c:v>
                </c:pt>
                <c:pt idx="3" formatCode="General">
                  <c:v>5000</c:v>
                </c:pt>
                <c:pt idx="4" formatCode="General">
                  <c:v>9000</c:v>
                </c:pt>
                <c:pt idx="5" formatCode="_(* #,##0.00_);_(* \(#,##0.00\);_(* \-??_);_(@_)">
                  <c:v>11880</c:v>
                </c:pt>
              </c:numCache>
            </c:numRef>
          </c:cat>
          <c:val>
            <c:numRef>
              <c:f>'E-Costos'!$F$139:$F$144</c:f>
              <c:numCache>
                <c:formatCode>[$ $]#,##0.00</c:formatCode>
                <c:ptCount val="6"/>
                <c:pt idx="0">
                  <c:v>6224128.3616305152</c:v>
                </c:pt>
                <c:pt idx="1">
                  <c:v>7009484.7513554553</c:v>
                </c:pt>
                <c:pt idx="2">
                  <c:v>7794841.1410803953</c:v>
                </c:pt>
                <c:pt idx="3">
                  <c:v>8841982.9940469824</c:v>
                </c:pt>
                <c:pt idx="4">
                  <c:v>10936266.699980155</c:v>
                </c:pt>
                <c:pt idx="5">
                  <c:v>12444150.96825204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7B-4425-A79D-1616447F7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683775"/>
        <c:axId val="346503869"/>
      </c:lineChart>
      <c:catAx>
        <c:axId val="956683775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s-AR"/>
          </a:p>
        </c:txPr>
        <c:crossAx val="346503869"/>
        <c:crosses val="autoZero"/>
        <c:auto val="1"/>
        <c:lblAlgn val="ctr"/>
        <c:lblOffset val="100"/>
        <c:noMultiLvlLbl val="1"/>
      </c:catAx>
      <c:valAx>
        <c:axId val="3465038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[$ $]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/>
            </a:pPr>
            <a:endParaRPr lang="es-AR"/>
          </a:p>
        </c:txPr>
        <c:crossAx val="956683775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352425</xdr:colOff>
      <xdr:row>145</xdr:row>
      <xdr:rowOff>104775</xdr:rowOff>
    </xdr:from>
    <xdr:ext cx="9286875" cy="48006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333375</xdr:colOff>
      <xdr:row>117</xdr:row>
      <xdr:rowOff>19050</xdr:rowOff>
    </xdr:from>
    <xdr:ext cx="9420225" cy="4552950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www.atfconsulting.com.ar/prestamos-min-industria-2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tfconsulting.com.ar/prestamos-min-industria-2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://www.oca.com.ar/individuos_paqueteria_oca-express-pa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ya.go.cr/centroDocumetacion/catalogoGeneral/Estimaci%C3%B3n%20de%20consumo%20de%20agua%20potable%20en%20una%20casa.pdf" TargetMode="External"/><Relationship Id="rId1" Type="http://schemas.openxmlformats.org/officeDocument/2006/relationships/hyperlink" Target="http://www.edenor.com.ar/cms/files/SP/CuadroTarifari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tfconsulting.com.ar/prestamos-min-industria-2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B1:K1000"/>
  <sheetViews>
    <sheetView showGridLines="0" workbookViewId="0"/>
  </sheetViews>
  <sheetFormatPr defaultColWidth="14.44140625" defaultRowHeight="15" customHeight="1"/>
  <cols>
    <col min="1" max="1" width="11.44140625" customWidth="1"/>
    <col min="2" max="2" width="42.5546875" customWidth="1"/>
    <col min="3" max="3" width="11.44140625" customWidth="1"/>
    <col min="4" max="4" width="14.88671875" customWidth="1"/>
    <col min="5" max="5" width="12.5546875" customWidth="1"/>
    <col min="6" max="6" width="13.33203125" customWidth="1"/>
    <col min="7" max="7" width="12.33203125" customWidth="1"/>
    <col min="8" max="8" width="11.44140625" customWidth="1"/>
    <col min="9" max="9" width="11.88671875" customWidth="1"/>
    <col min="10" max="11" width="11.44140625" customWidth="1"/>
  </cols>
  <sheetData>
    <row r="1" spans="2:9" ht="18">
      <c r="D1" s="1" t="s">
        <v>2</v>
      </c>
    </row>
    <row r="4" spans="2:9" ht="14.4">
      <c r="B4" s="585" t="s">
        <v>4</v>
      </c>
      <c r="C4" s="586"/>
      <c r="D4" s="587"/>
    </row>
    <row r="5" spans="2:9" ht="14.4">
      <c r="B5" s="585" t="s">
        <v>6</v>
      </c>
      <c r="C5" s="586"/>
      <c r="D5" s="587"/>
    </row>
    <row r="6" spans="2:9" ht="14.4">
      <c r="B6" s="585" t="s">
        <v>8</v>
      </c>
      <c r="C6" s="586"/>
      <c r="D6" s="587"/>
    </row>
    <row r="7" spans="2:9" ht="14.4">
      <c r="B7" s="585" t="s">
        <v>9</v>
      </c>
      <c r="C7" s="586"/>
      <c r="D7" s="587"/>
    </row>
    <row r="9" spans="2:9" ht="14.4">
      <c r="B9" s="585" t="s">
        <v>10</v>
      </c>
      <c r="C9" s="586"/>
      <c r="D9" s="587"/>
      <c r="E9" s="5">
        <v>96.292916666666656</v>
      </c>
      <c r="F9" s="6" t="s">
        <v>13</v>
      </c>
    </row>
    <row r="10" spans="2:9" ht="14.4">
      <c r="E10" s="8">
        <v>1237.5</v>
      </c>
      <c r="F10" s="4" t="s">
        <v>14</v>
      </c>
    </row>
    <row r="13" spans="2:9" ht="57.6">
      <c r="B13" s="9" t="s">
        <v>15</v>
      </c>
      <c r="C13" s="9" t="s">
        <v>17</v>
      </c>
      <c r="D13" s="9" t="s">
        <v>18</v>
      </c>
      <c r="E13" s="9" t="s">
        <v>19</v>
      </c>
      <c r="F13" s="9" t="s">
        <v>20</v>
      </c>
      <c r="G13" s="9" t="s">
        <v>21</v>
      </c>
      <c r="H13" s="9" t="s">
        <v>22</v>
      </c>
      <c r="I13" s="9" t="s">
        <v>23</v>
      </c>
    </row>
    <row r="14" spans="2:9" ht="14.4">
      <c r="B14" s="11">
        <v>1</v>
      </c>
      <c r="C14" s="13">
        <v>0</v>
      </c>
      <c r="D14" s="13">
        <v>4.4999999999999998E-2</v>
      </c>
      <c r="E14" s="13">
        <v>2.2499999999999999E-2</v>
      </c>
      <c r="F14" s="15">
        <v>96.292916666666656</v>
      </c>
      <c r="G14" s="15">
        <v>1237.5</v>
      </c>
      <c r="H14" s="16">
        <v>2.1665906249999995</v>
      </c>
      <c r="I14" s="19">
        <v>27.84375</v>
      </c>
    </row>
    <row r="15" spans="2:9" ht="14.4">
      <c r="B15" s="21">
        <v>2</v>
      </c>
      <c r="C15" s="22">
        <v>4.4999999999999998E-2</v>
      </c>
      <c r="D15" s="22">
        <v>0.17</v>
      </c>
      <c r="E15" s="22">
        <v>0.10750000000000001</v>
      </c>
      <c r="F15" s="18">
        <v>96.292916666666656</v>
      </c>
      <c r="G15" s="18">
        <v>1237.5</v>
      </c>
      <c r="H15" s="10">
        <v>10.351488541666667</v>
      </c>
      <c r="I15" s="23">
        <v>133.03125000000003</v>
      </c>
    </row>
    <row r="16" spans="2:9" ht="14.4">
      <c r="B16" s="24">
        <v>3</v>
      </c>
      <c r="C16" s="29">
        <v>0.17</v>
      </c>
      <c r="D16" s="29">
        <v>1</v>
      </c>
      <c r="E16" s="29">
        <v>0.58499999999999996</v>
      </c>
      <c r="F16" s="32">
        <v>96.292916666666656</v>
      </c>
      <c r="G16" s="32">
        <v>1237.5</v>
      </c>
      <c r="H16" s="34">
        <v>56.331356249999992</v>
      </c>
      <c r="I16" s="37">
        <v>723.9375</v>
      </c>
    </row>
    <row r="17" spans="2:11" ht="14.4">
      <c r="G17" s="38" t="s">
        <v>61</v>
      </c>
      <c r="H17" s="39">
        <v>68.849435416666665</v>
      </c>
      <c r="I17" s="40">
        <v>884.8125</v>
      </c>
    </row>
    <row r="19" spans="2:11" ht="14.4">
      <c r="B19" s="585" t="s">
        <v>77</v>
      </c>
      <c r="C19" s="586"/>
      <c r="D19" s="586"/>
      <c r="E19" s="587"/>
      <c r="F19" s="41">
        <v>866.6362499999999</v>
      </c>
      <c r="G19" s="42" t="s">
        <v>28</v>
      </c>
    </row>
    <row r="20" spans="2:11" ht="15.75" customHeight="1">
      <c r="F20" s="14">
        <v>11137.5</v>
      </c>
      <c r="G20" s="42" t="s">
        <v>80</v>
      </c>
      <c r="K20" s="44"/>
    </row>
    <row r="21" spans="2:11" ht="15.75" customHeight="1">
      <c r="B21" s="4" t="s">
        <v>81</v>
      </c>
      <c r="C21" s="6">
        <v>9</v>
      </c>
    </row>
    <row r="22" spans="2:11" ht="15.75" customHeight="1"/>
    <row r="23" spans="2:11" ht="15.75" customHeight="1">
      <c r="B23" s="4" t="s">
        <v>82</v>
      </c>
      <c r="C23" s="46">
        <v>935.48568541666657</v>
      </c>
      <c r="D23" s="42" t="s">
        <v>28</v>
      </c>
    </row>
    <row r="24" spans="2:11" ht="15.75" customHeight="1">
      <c r="C24" s="14">
        <v>12022.3125</v>
      </c>
      <c r="D24" s="42" t="s">
        <v>80</v>
      </c>
    </row>
    <row r="25" spans="2:11" ht="15.75" customHeight="1"/>
    <row r="26" spans="2:11" ht="15.75" customHeight="1">
      <c r="B26" s="4" t="s">
        <v>84</v>
      </c>
      <c r="C26" s="6">
        <v>1155.5149999999999</v>
      </c>
      <c r="D26" s="42" t="s">
        <v>28</v>
      </c>
    </row>
    <row r="27" spans="2:11" ht="15.75" customHeight="1">
      <c r="C27" s="6">
        <v>14850</v>
      </c>
      <c r="D27" s="42" t="s">
        <v>80</v>
      </c>
    </row>
    <row r="28" spans="2:11" ht="15.75" customHeight="1"/>
    <row r="29" spans="2:11" ht="15.75" customHeight="1">
      <c r="D29" s="44"/>
    </row>
    <row r="30" spans="2:11" ht="15.75" customHeight="1"/>
    <row r="31" spans="2:11" ht="15.75" customHeight="1"/>
    <row r="32" spans="2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9:E19"/>
    <mergeCell ref="B4:D4"/>
    <mergeCell ref="B5:D5"/>
    <mergeCell ref="B6:D6"/>
    <mergeCell ref="B7:D7"/>
    <mergeCell ref="B9:D9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showGridLines="0" topLeftCell="G150" workbookViewId="0">
      <selection activeCell="A50" sqref="A50:F134"/>
    </sheetView>
  </sheetViews>
  <sheetFormatPr defaultColWidth="14.44140625" defaultRowHeight="15" customHeight="1"/>
  <cols>
    <col min="1" max="1" width="40.88671875" customWidth="1"/>
    <col min="2" max="2" width="35.33203125" customWidth="1"/>
    <col min="3" max="6" width="15.109375" bestFit="1" customWidth="1"/>
    <col min="7" max="7" width="17.33203125" customWidth="1"/>
    <col min="8" max="10" width="9" customWidth="1"/>
    <col min="11" max="11" width="16.88671875" customWidth="1"/>
    <col min="12" max="12" width="40" customWidth="1"/>
    <col min="13" max="26" width="9" customWidth="1"/>
  </cols>
  <sheetData>
    <row r="1" spans="1:26" ht="12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2.7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4.25" customHeight="1" thickBot="1">
      <c r="A3" s="725" t="s">
        <v>205</v>
      </c>
      <c r="B3" s="726"/>
      <c r="C3" s="726"/>
      <c r="D3" s="726"/>
      <c r="E3" s="427">
        <f>InfoInicial!E1</f>
        <v>10</v>
      </c>
      <c r="F3" s="72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6.5" customHeight="1">
      <c r="A4" s="733" t="s">
        <v>565</v>
      </c>
      <c r="B4" s="734"/>
      <c r="C4" s="734"/>
      <c r="D4" s="734"/>
      <c r="E4" s="734"/>
      <c r="F4" s="735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2.75" customHeight="1">
      <c r="A5" s="736"/>
      <c r="B5" s="728" t="s">
        <v>566</v>
      </c>
      <c r="C5" s="728"/>
      <c r="D5" s="728"/>
      <c r="E5" s="728"/>
      <c r="F5" s="73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3.5" customHeight="1">
      <c r="A6" s="736" t="s">
        <v>455</v>
      </c>
      <c r="B6" s="728" t="s">
        <v>69</v>
      </c>
      <c r="C6" s="728" t="s">
        <v>551</v>
      </c>
      <c r="D6" s="728" t="s">
        <v>552</v>
      </c>
      <c r="E6" s="728" t="s">
        <v>553</v>
      </c>
      <c r="F6" s="737" t="s">
        <v>554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3.5" customHeight="1">
      <c r="A7" s="738" t="s">
        <v>567</v>
      </c>
      <c r="B7" s="729">
        <f>'Conformación de Datos'!F172</f>
        <v>2093197.9132168619</v>
      </c>
      <c r="C7" s="729">
        <f>'Conformación de Datos'!F112</f>
        <v>2655433.9350000001</v>
      </c>
      <c r="D7" s="729">
        <f>'Conformación de Datos'!I107</f>
        <v>2655433.9350000001</v>
      </c>
      <c r="E7" s="729">
        <f>'Conformación de Datos'!I107</f>
        <v>2655433.9350000001</v>
      </c>
      <c r="F7" s="739">
        <f>'Conformación de Datos'!I107</f>
        <v>2655433.9350000001</v>
      </c>
      <c r="G7" s="97" t="s">
        <v>569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2.75" customHeight="1">
      <c r="A8" s="738" t="s">
        <v>570</v>
      </c>
      <c r="B8" s="729">
        <f>0.9*C8</f>
        <v>2037191.5103616002</v>
      </c>
      <c r="C8" s="729">
        <f>((5*'Conformación de Datos'!$H$179)+(1*'Conformación de Datos'!$H$180))*12</f>
        <v>2263546.1226240001</v>
      </c>
      <c r="D8" s="729">
        <f>C8</f>
        <v>2263546.1226240001</v>
      </c>
      <c r="E8" s="729">
        <f>C8</f>
        <v>2263546.1226240001</v>
      </c>
      <c r="F8" s="739">
        <f>C8</f>
        <v>2263546.1226240001</v>
      </c>
      <c r="G8" s="97" t="s">
        <v>569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2.75" customHeight="1">
      <c r="A9" s="738" t="s">
        <v>574</v>
      </c>
      <c r="B9" s="729"/>
      <c r="C9" s="729"/>
      <c r="D9" s="729"/>
      <c r="E9" s="729"/>
      <c r="F9" s="740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2.75" customHeight="1">
      <c r="A10" s="738" t="s">
        <v>337</v>
      </c>
      <c r="B10" s="729">
        <f>('E-Inv AF y Am'!$D$57)*'E-Inv AF y Am'!$M$50</f>
        <v>1411990.5731840015</v>
      </c>
      <c r="C10" s="729">
        <f>('E-Inv AF y Am'!$D$57)*'E-Inv AF y Am'!$M$50</f>
        <v>1411990.5731840015</v>
      </c>
      <c r="D10" s="729">
        <f>('E-Inv AF y Am'!$D$57)*'E-Inv AF y Am'!$M$50</f>
        <v>1411990.5731840015</v>
      </c>
      <c r="E10" s="729">
        <f>('E-Inv AF y Am'!$D$57)*'E-Inv AF y Am'!$M$50</f>
        <v>1411990.5731840015</v>
      </c>
      <c r="F10" s="739">
        <f>('E-Inv AF y Am'!$D$57)*'E-Inv AF y Am'!$M$50</f>
        <v>1411990.5731840015</v>
      </c>
      <c r="G10" s="97" t="s">
        <v>580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2.75" customHeight="1">
      <c r="A11" s="738" t="s">
        <v>582</v>
      </c>
      <c r="B11" s="729">
        <f>(('Conformación de Datos'!H186*'Conformación de Datos'!B186)+'Conformación de Datos'!H187+'Conformación de Datos'!H189)*0.9</f>
        <v>88196.71085280001</v>
      </c>
      <c r="C11" s="729">
        <f>B11/0.9</f>
        <v>97996.345392000003</v>
      </c>
      <c r="D11" s="729">
        <f>C11</f>
        <v>97996.345392000003</v>
      </c>
      <c r="E11" s="729">
        <f>C11</f>
        <v>97996.345392000003</v>
      </c>
      <c r="F11" s="739">
        <f>C11</f>
        <v>97996.345392000003</v>
      </c>
      <c r="G11" s="97" t="s">
        <v>580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2.75" customHeight="1">
      <c r="A12" s="738" t="s">
        <v>585</v>
      </c>
      <c r="B12" s="729">
        <f>'Conformación de Datos'!H211</f>
        <v>356458.03233419999</v>
      </c>
      <c r="C12" s="729">
        <f>'Conformación de Datos'!$H$211</f>
        <v>356458.03233419999</v>
      </c>
      <c r="D12" s="729">
        <f>'Conformación de Datos'!$H$211</f>
        <v>356458.03233419999</v>
      </c>
      <c r="E12" s="729">
        <f>'Conformación de Datos'!$H$211</f>
        <v>356458.03233419999</v>
      </c>
      <c r="F12" s="739">
        <f>'Conformación de Datos'!$H$211</f>
        <v>356458.03233419999</v>
      </c>
      <c r="G12" s="97" t="s">
        <v>569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2.75" customHeight="1">
      <c r="A13" s="738" t="s">
        <v>586</v>
      </c>
      <c r="B13" s="729">
        <f>C13*0.8</f>
        <v>104025.34667059197</v>
      </c>
      <c r="C13" s="729">
        <f>'Energìa e Impuestos'!F33*'Energìa e Impuestos'!F34*12</f>
        <v>130031.68333823996</v>
      </c>
      <c r="D13" s="729">
        <f>'Energìa e Impuestos'!F33*'Energìa e Impuestos'!F34*12</f>
        <v>130031.68333823996</v>
      </c>
      <c r="E13" s="729">
        <f>'Energìa e Impuestos'!F33*'Energìa e Impuestos'!F34*12</f>
        <v>130031.68333823996</v>
      </c>
      <c r="F13" s="739">
        <f>'Energìa e Impuestos'!F33*'Energìa e Impuestos'!F34*12</f>
        <v>130031.68333823996</v>
      </c>
      <c r="G13" s="97" t="s">
        <v>569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2.75" customHeight="1">
      <c r="A14" s="738" t="s">
        <v>593</v>
      </c>
      <c r="B14" s="729" t="s">
        <v>278</v>
      </c>
      <c r="C14" s="729" t="s">
        <v>278</v>
      </c>
      <c r="D14" s="729" t="s">
        <v>278</v>
      </c>
      <c r="E14" s="729" t="s">
        <v>278</v>
      </c>
      <c r="F14" s="739" t="s">
        <v>278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2.75" customHeight="1">
      <c r="A15" s="738" t="s">
        <v>594</v>
      </c>
      <c r="B15" s="729">
        <f>'Energìa e Impuestos'!K23*'Energìa e Impuestos'!M23*'E-Inv AF y Am'!B8+'Energìa e Impuestos'!K24*'Energìa e Impuestos'!M24*'E-Inv AF y Am'!B8</f>
        <v>8808.3012600000002</v>
      </c>
      <c r="C15" s="729">
        <f>'Energìa e Impuestos'!K23*'Energìa e Impuestos'!M23*'E-Inv AF y Am'!B8+'Energìa e Impuestos'!K24*'Energìa e Impuestos'!M24*'E-Inv AF y Am'!B8</f>
        <v>8808.3012600000002</v>
      </c>
      <c r="D15" s="729">
        <f>'Energìa e Impuestos'!K23*'Energìa e Impuestos'!M23*'E-Inv AF y Am'!B8+'Energìa e Impuestos'!K24*'Energìa e Impuestos'!M24*'E-Inv AF y Am'!B8</f>
        <v>8808.3012600000002</v>
      </c>
      <c r="E15" s="729">
        <f>'Energìa e Impuestos'!K23*'Energìa e Impuestos'!M23*'E-Inv AF y Am'!B8+'Energìa e Impuestos'!K24*'Energìa e Impuestos'!M24*'E-Inv AF y Am'!B8</f>
        <v>8808.3012600000002</v>
      </c>
      <c r="F15" s="739">
        <f>'Energìa e Impuestos'!K23*'Energìa e Impuestos'!M23*'E-Inv AF y Am'!B8+'Energìa e Impuestos'!K24*'Energìa e Impuestos'!M24*'E-Inv AF y Am'!B8</f>
        <v>8808.3012600000002</v>
      </c>
      <c r="G15" s="97" t="s">
        <v>580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2.75" customHeight="1">
      <c r="A16" s="738" t="s">
        <v>237</v>
      </c>
      <c r="B16" s="730">
        <f>0.09*(SUM(B7:B15))</f>
        <v>548988.15490920504</v>
      </c>
      <c r="C16" s="729">
        <f t="shared" ref="C16:F16" si="0">0.02*(SUM(C7:C15))</f>
        <v>138485.29986264883</v>
      </c>
      <c r="D16" s="729">
        <f t="shared" si="0"/>
        <v>138485.29986264883</v>
      </c>
      <c r="E16" s="729">
        <f t="shared" si="0"/>
        <v>138485.29986264883</v>
      </c>
      <c r="F16" s="739">
        <f t="shared" si="0"/>
        <v>138485.29986264883</v>
      </c>
      <c r="G16" s="97" t="s">
        <v>580</v>
      </c>
      <c r="H16" s="132" t="s">
        <v>605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2.75" customHeight="1">
      <c r="A17" s="741" t="s">
        <v>607</v>
      </c>
      <c r="B17" s="729">
        <f t="shared" ref="B17:F17" si="1">SUM(B7:B16)</f>
        <v>6648856.5427892609</v>
      </c>
      <c r="C17" s="729">
        <f t="shared" si="1"/>
        <v>7062750.2929950897</v>
      </c>
      <c r="D17" s="729">
        <f t="shared" si="1"/>
        <v>7062750.2929950897</v>
      </c>
      <c r="E17" s="729">
        <f t="shared" si="1"/>
        <v>7062750.2929950897</v>
      </c>
      <c r="F17" s="739">
        <f t="shared" si="1"/>
        <v>7062750.2929950897</v>
      </c>
      <c r="G17" s="97"/>
      <c r="H17" s="139" t="s">
        <v>287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2.75" customHeight="1">
      <c r="A18" s="738"/>
      <c r="B18" s="731"/>
      <c r="C18" s="731"/>
      <c r="D18" s="731"/>
      <c r="E18" s="731"/>
      <c r="F18" s="742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2.75" customHeight="1">
      <c r="A19" s="741" t="s">
        <v>616</v>
      </c>
      <c r="B19" s="732">
        <f t="shared" ref="B19:F19" si="2">(B10+B11+B15+B16)/B17</f>
        <v>0.30952446138094325</v>
      </c>
      <c r="C19" s="732">
        <f t="shared" si="2"/>
        <v>0.23465087266958293</v>
      </c>
      <c r="D19" s="732">
        <f t="shared" si="2"/>
        <v>0.23465087266958293</v>
      </c>
      <c r="E19" s="732">
        <f t="shared" si="2"/>
        <v>0.23465087266958293</v>
      </c>
      <c r="F19" s="743">
        <f t="shared" si="2"/>
        <v>0.23465087266958293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3.5" customHeight="1" thickBot="1">
      <c r="A20" s="744" t="s">
        <v>622</v>
      </c>
      <c r="B20" s="745">
        <f t="shared" ref="B20:F20" si="3">(B7+B8+B12+B13)/B17</f>
        <v>0.69047553861905664</v>
      </c>
      <c r="C20" s="745">
        <f t="shared" si="3"/>
        <v>0.76534912733041716</v>
      </c>
      <c r="D20" s="745">
        <f t="shared" si="3"/>
        <v>0.76534912733041716</v>
      </c>
      <c r="E20" s="745">
        <f t="shared" si="3"/>
        <v>0.76534912733041716</v>
      </c>
      <c r="F20" s="746">
        <f t="shared" si="3"/>
        <v>0.76534912733041716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4.25" customHeight="1" thickBot="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3.5" customHeight="1">
      <c r="A22" s="389"/>
      <c r="B22" s="391" t="s">
        <v>626</v>
      </c>
      <c r="C22" s="391"/>
      <c r="D22" s="391"/>
      <c r="E22" s="391"/>
      <c r="F22" s="391"/>
      <c r="G22" s="392"/>
      <c r="H22" s="97"/>
      <c r="I22" s="97"/>
      <c r="J22" s="97"/>
      <c r="T22" s="97"/>
      <c r="U22" s="97"/>
      <c r="V22" s="97"/>
      <c r="W22" s="97"/>
      <c r="X22" s="97"/>
      <c r="Y22" s="97"/>
      <c r="Z22" s="97"/>
    </row>
    <row r="23" spans="1:26" ht="12.75" customHeight="1">
      <c r="A23" s="394"/>
      <c r="B23" s="278" t="s">
        <v>635</v>
      </c>
      <c r="C23" s="278"/>
      <c r="D23" s="278"/>
      <c r="E23" s="278"/>
      <c r="F23" s="278"/>
      <c r="G23" s="395" t="s">
        <v>636</v>
      </c>
      <c r="H23" s="97"/>
      <c r="I23" s="97"/>
      <c r="J23" s="97"/>
      <c r="T23" s="97"/>
      <c r="U23" s="97"/>
      <c r="V23" s="97"/>
      <c r="W23" s="97"/>
      <c r="X23" s="97"/>
      <c r="Y23" s="97"/>
      <c r="Z23" s="97"/>
    </row>
    <row r="24" spans="1:26" ht="13.5" customHeight="1">
      <c r="A24" s="394" t="s">
        <v>455</v>
      </c>
      <c r="B24" s="396" t="s">
        <v>69</v>
      </c>
      <c r="C24" s="396" t="s">
        <v>551</v>
      </c>
      <c r="D24" s="396" t="s">
        <v>552</v>
      </c>
      <c r="E24" s="396" t="s">
        <v>553</v>
      </c>
      <c r="F24" s="396" t="s">
        <v>554</v>
      </c>
      <c r="G24" s="398" t="s">
        <v>69</v>
      </c>
      <c r="H24" s="97"/>
      <c r="I24" s="97"/>
      <c r="J24" s="97"/>
      <c r="T24" s="97"/>
      <c r="U24" s="97"/>
      <c r="V24" s="97"/>
      <c r="W24" s="97"/>
      <c r="X24" s="97"/>
      <c r="Y24" s="97"/>
      <c r="Z24" s="97"/>
    </row>
    <row r="25" spans="1:26" ht="13.5" customHeight="1">
      <c r="A25" s="400" t="s">
        <v>567</v>
      </c>
      <c r="B25" s="284">
        <f>'Conformación de Datos'!$K$169</f>
        <v>36375.68737082211</v>
      </c>
      <c r="C25" s="377">
        <f>'Conformación de Datos'!$K$169</f>
        <v>36375.68737082211</v>
      </c>
      <c r="D25" s="377">
        <f>'Conformación de Datos'!$K$169</f>
        <v>36375.68737082211</v>
      </c>
      <c r="E25" s="377">
        <f>'Conformación de Datos'!$K$169</f>
        <v>36375.68737082211</v>
      </c>
      <c r="F25" s="377">
        <f>'Conformación de Datos'!$K$169</f>
        <v>36375.68737082211</v>
      </c>
      <c r="G25" s="403">
        <f>'Conformación de Datos'!K170</f>
        <v>28684.024214528185</v>
      </c>
      <c r="H25" s="132" t="s">
        <v>647</v>
      </c>
      <c r="I25" s="97"/>
      <c r="J25" s="97"/>
      <c r="T25" s="97"/>
      <c r="U25" s="97"/>
      <c r="V25" s="97"/>
      <c r="W25" s="97"/>
      <c r="X25" s="97"/>
      <c r="Y25" s="97"/>
      <c r="Z25" s="97"/>
    </row>
    <row r="26" spans="1:26" ht="12.75" customHeight="1">
      <c r="A26" s="404" t="s">
        <v>570</v>
      </c>
      <c r="B26" s="284">
        <f>'Conformación de Datos'!$L$194</f>
        <v>20342.911074227588</v>
      </c>
      <c r="C26" s="377">
        <f>'Conformación de Datos'!$L$194</f>
        <v>20342.911074227588</v>
      </c>
      <c r="D26" s="377">
        <f>'Conformación de Datos'!$L$194</f>
        <v>20342.911074227588</v>
      </c>
      <c r="E26" s="377">
        <f>'Conformación de Datos'!$L$194</f>
        <v>20342.911074227588</v>
      </c>
      <c r="F26" s="377">
        <f>'Conformación de Datos'!$L$194</f>
        <v>20342.911074227588</v>
      </c>
      <c r="G26" s="403">
        <f>'Conformación de Datos'!L196</f>
        <v>184319.38417969254</v>
      </c>
      <c r="H26" s="97"/>
      <c r="I26" s="97"/>
      <c r="J26" s="97"/>
      <c r="T26" s="97"/>
      <c r="U26" s="97"/>
      <c r="V26" s="97"/>
      <c r="W26" s="97"/>
      <c r="X26" s="97"/>
      <c r="Y26" s="97"/>
      <c r="Z26" s="97"/>
    </row>
    <row r="27" spans="1:26" ht="12.75" customHeight="1">
      <c r="A27" s="404" t="s">
        <v>574</v>
      </c>
      <c r="B27" s="118"/>
      <c r="C27" s="122"/>
      <c r="D27" s="122"/>
      <c r="E27" s="122"/>
      <c r="F27" s="122"/>
      <c r="G27" s="407"/>
      <c r="H27" s="97"/>
      <c r="I27" s="97"/>
      <c r="J27" s="97"/>
      <c r="T27" s="97"/>
      <c r="U27" s="97"/>
      <c r="V27" s="97"/>
      <c r="W27" s="97"/>
      <c r="X27" s="97"/>
      <c r="Y27" s="97"/>
      <c r="Z27" s="97"/>
    </row>
    <row r="28" spans="1:26" ht="12.75" customHeight="1">
      <c r="A28" s="404" t="s">
        <v>337</v>
      </c>
      <c r="B28" s="284">
        <f>('Conformación de Datos'!I152/2)*'E-Inv AF y Am'!B62</f>
        <v>13944.266326645065</v>
      </c>
      <c r="C28" s="377">
        <f>('Conformación de Datos'!I152/2)*'E-Inv AF y Am'!B61</f>
        <v>11390.28299320224</v>
      </c>
      <c r="D28" s="377">
        <f>C28</f>
        <v>11390.28299320224</v>
      </c>
      <c r="E28" s="377">
        <f>C28</f>
        <v>11390.28299320224</v>
      </c>
      <c r="F28" s="377">
        <f>C28</f>
        <v>11390.28299320224</v>
      </c>
      <c r="G28" s="403" t="s">
        <v>278</v>
      </c>
      <c r="H28" s="97"/>
      <c r="I28" s="97"/>
      <c r="J28" s="97"/>
      <c r="T28" s="97"/>
      <c r="U28" s="97"/>
      <c r="V28" s="97"/>
      <c r="W28" s="97"/>
      <c r="X28" s="97"/>
      <c r="Y28" s="97"/>
      <c r="Z28" s="97"/>
    </row>
    <row r="29" spans="1:26" ht="12.75" customHeight="1">
      <c r="A29" s="404" t="s">
        <v>582</v>
      </c>
      <c r="B29" s="284">
        <f>'Conformación de Datos'!L184</f>
        <v>783.89658101120858</v>
      </c>
      <c r="C29" s="377">
        <f>'Conformación de Datos'!$L$183</f>
        <v>711.46756555017885</v>
      </c>
      <c r="D29" s="377">
        <f>'Conformación de Datos'!$L$183</f>
        <v>711.46756555017885</v>
      </c>
      <c r="E29" s="377">
        <f>'Conformación de Datos'!$L$183</f>
        <v>711.46756555017885</v>
      </c>
      <c r="F29" s="377">
        <f>'Conformación de Datos'!$L$183</f>
        <v>711.46756555017885</v>
      </c>
      <c r="G29" s="403" t="s">
        <v>278</v>
      </c>
      <c r="H29" s="97"/>
      <c r="I29" s="97"/>
      <c r="J29" s="97"/>
      <c r="T29" s="97"/>
      <c r="U29" s="97"/>
      <c r="V29" s="97"/>
      <c r="W29" s="97"/>
      <c r="X29" s="97"/>
      <c r="Y29" s="97"/>
      <c r="Z29" s="97"/>
    </row>
    <row r="30" spans="1:26" ht="12.75" customHeight="1">
      <c r="A30" s="404" t="s">
        <v>585</v>
      </c>
      <c r="B30" s="284">
        <f>'Conformación de Datos'!$H$213</f>
        <v>2587.9253975610918</v>
      </c>
      <c r="C30" s="377">
        <f>'Conformación de Datos'!$H$213</f>
        <v>2587.9253975610918</v>
      </c>
      <c r="D30" s="377">
        <f>'Conformación de Datos'!$H$213</f>
        <v>2587.9253975610918</v>
      </c>
      <c r="E30" s="377">
        <f>'Conformación de Datos'!$H$213</f>
        <v>2587.9253975610918</v>
      </c>
      <c r="F30" s="377">
        <f>'Conformación de Datos'!$H$213</f>
        <v>2587.9253975610918</v>
      </c>
      <c r="G30" s="403">
        <f>'Conformación de Datos'!H218</f>
        <v>65288.873638699137</v>
      </c>
      <c r="H30" s="97"/>
      <c r="I30" s="97"/>
      <c r="J30" s="97"/>
      <c r="T30" s="97"/>
      <c r="U30" s="97"/>
      <c r="V30" s="97"/>
      <c r="W30" s="97"/>
      <c r="X30" s="97"/>
      <c r="Y30" s="97"/>
      <c r="Z30" s="97"/>
    </row>
    <row r="31" spans="1:26" ht="12.75" customHeight="1">
      <c r="A31" s="404" t="s">
        <v>651</v>
      </c>
      <c r="B31" s="284">
        <f>(B13/'Conformación de Datos'!I160)*'Conformación de Datos'!I159*0.9</f>
        <v>1626.9814329138064</v>
      </c>
      <c r="C31" s="377">
        <f>(C13/'Conformación de Datos'!I145)*'Conformación de Datos'!I159</f>
        <v>2299.6600299123811</v>
      </c>
      <c r="D31" s="377">
        <f>(C13/'Conformación de Datos'!I145)*'Conformación de Datos'!I159</f>
        <v>2299.6600299123811</v>
      </c>
      <c r="E31" s="377">
        <f>(C13/'Conformación de Datos'!I145)*'Conformación de Datos'!I159</f>
        <v>2299.6600299123811</v>
      </c>
      <c r="F31" s="377">
        <f>(C13/'Conformación de Datos'!I145)*'Conformación de Datos'!I159</f>
        <v>2299.6600299123811</v>
      </c>
      <c r="G31" s="403">
        <f>(('Conformación de Datos'!I143/2)*('Energìa e Impuestos'!F34*'Energìa e Impuestos'!F33))/'Conformación de Datos'!F109</f>
        <v>363.07838842140802</v>
      </c>
      <c r="H31" s="97"/>
      <c r="I31" s="97"/>
      <c r="J31" s="97"/>
      <c r="T31" s="97"/>
      <c r="U31" s="97"/>
      <c r="V31" s="97"/>
      <c r="W31" s="97"/>
      <c r="X31" s="97"/>
      <c r="Y31" s="97"/>
      <c r="Z31" s="97"/>
    </row>
    <row r="32" spans="1:26" ht="12.75" customHeight="1">
      <c r="A32" s="404" t="s">
        <v>654</v>
      </c>
      <c r="B32" s="284" t="s">
        <v>278</v>
      </c>
      <c r="C32" s="377" t="s">
        <v>278</v>
      </c>
      <c r="D32" s="377" t="s">
        <v>278</v>
      </c>
      <c r="E32" s="377" t="s">
        <v>278</v>
      </c>
      <c r="F32" s="377" t="s">
        <v>278</v>
      </c>
      <c r="G32" s="403" t="s">
        <v>278</v>
      </c>
      <c r="H32" s="97"/>
      <c r="I32" s="97"/>
      <c r="J32" s="97"/>
      <c r="T32" s="97"/>
      <c r="U32" s="97"/>
      <c r="V32" s="97"/>
      <c r="W32" s="97"/>
      <c r="X32" s="97"/>
      <c r="Y32" s="97"/>
      <c r="Z32" s="97"/>
    </row>
    <row r="33" spans="1:26" ht="12.75" customHeight="1">
      <c r="A33" s="404" t="s">
        <v>655</v>
      </c>
      <c r="B33" s="284">
        <f>(B15/'Conformación de Datos'!C6)*'E-Inv AF y Am'!$B$64</f>
        <v>6.2200880609408662</v>
      </c>
      <c r="C33" s="377">
        <f>(C15/'Conformación de Datos'!D6)*'E-Inv AF y Am'!$B$64</f>
        <v>4.9760704487526928</v>
      </c>
      <c r="D33" s="377">
        <f>(D15/'Conformación de Datos'!E6)*'E-Inv AF y Am'!$B$64</f>
        <v>4.9760704487526928</v>
      </c>
      <c r="E33" s="377">
        <f>(E15/'Conformación de Datos'!F6)*'E-Inv AF y Am'!$B$64</f>
        <v>4.9760704487526928</v>
      </c>
      <c r="F33" s="377">
        <f>(F15/'Conformación de Datos'!G6)*'E-Inv AF y Am'!$B$64</f>
        <v>4.9760704487526928</v>
      </c>
      <c r="G33" s="403" t="s">
        <v>278</v>
      </c>
      <c r="H33" s="97"/>
      <c r="I33" s="97"/>
      <c r="J33" s="97"/>
      <c r="T33" s="97"/>
      <c r="U33" s="97"/>
      <c r="V33" s="97"/>
      <c r="W33" s="97"/>
      <c r="X33" s="97"/>
      <c r="Y33" s="97"/>
      <c r="Z33" s="97"/>
    </row>
    <row r="34" spans="1:26" ht="12.75" customHeight="1">
      <c r="A34" s="404" t="s">
        <v>657</v>
      </c>
      <c r="B34" s="284" t="s">
        <v>278</v>
      </c>
      <c r="C34" s="377" t="s">
        <v>278</v>
      </c>
      <c r="D34" s="377" t="s">
        <v>278</v>
      </c>
      <c r="E34" s="377" t="s">
        <v>278</v>
      </c>
      <c r="F34" s="122" t="s">
        <v>278</v>
      </c>
      <c r="G34" s="403" t="s">
        <v>278</v>
      </c>
      <c r="H34" s="97"/>
      <c r="I34" s="97"/>
      <c r="J34" s="97"/>
      <c r="T34" s="97"/>
      <c r="U34" s="97"/>
      <c r="V34" s="97"/>
      <c r="W34" s="97"/>
      <c r="X34" s="97"/>
      <c r="Y34" s="97"/>
      <c r="Z34" s="97"/>
    </row>
    <row r="35" spans="1:26" ht="13.5" customHeight="1">
      <c r="A35" s="409" t="s">
        <v>658</v>
      </c>
      <c r="B35" s="410">
        <f t="shared" ref="B35:F35" si="4">SUM(B25:B34)</f>
        <v>75667.888271241813</v>
      </c>
      <c r="C35" s="411">
        <f t="shared" si="4"/>
        <v>73712.910501724342</v>
      </c>
      <c r="D35" s="411">
        <f t="shared" si="4"/>
        <v>73712.910501724342</v>
      </c>
      <c r="E35" s="411">
        <f t="shared" si="4"/>
        <v>73712.910501724342</v>
      </c>
      <c r="F35" s="411">
        <f t="shared" si="4"/>
        <v>73712.910501724342</v>
      </c>
      <c r="G35" s="412">
        <f>G31+G30+G26+G25</f>
        <v>278655.36042134126</v>
      </c>
      <c r="H35" s="132" t="s">
        <v>659</v>
      </c>
      <c r="I35" s="139" t="s">
        <v>415</v>
      </c>
      <c r="J35" s="97"/>
      <c r="T35" s="97"/>
      <c r="U35" s="97"/>
      <c r="V35" s="97"/>
      <c r="W35" s="97"/>
      <c r="X35" s="97"/>
      <c r="Y35" s="97"/>
      <c r="Z35" s="97"/>
    </row>
    <row r="36" spans="1:26" ht="14.25" customHeight="1">
      <c r="A36" s="134"/>
      <c r="B36" s="413"/>
      <c r="C36" s="414"/>
      <c r="D36" s="414"/>
      <c r="E36" s="414"/>
      <c r="F36" s="414"/>
      <c r="G36" s="414"/>
      <c r="H36" s="97"/>
      <c r="I36" s="97"/>
      <c r="J36" s="97"/>
      <c r="T36" s="97"/>
      <c r="U36" s="97"/>
      <c r="V36" s="97"/>
      <c r="W36" s="97"/>
      <c r="X36" s="97"/>
      <c r="Y36" s="97"/>
      <c r="Z36" s="97"/>
    </row>
    <row r="37" spans="1:26" ht="13.5" customHeight="1">
      <c r="A37" s="415"/>
      <c r="B37" s="416" t="s">
        <v>660</v>
      </c>
      <c r="C37" s="417"/>
      <c r="D37" s="417"/>
      <c r="E37" s="417"/>
      <c r="F37" s="418"/>
      <c r="G37" s="419"/>
      <c r="H37" s="420"/>
      <c r="I37" s="420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3.5" customHeight="1">
      <c r="A38" s="421"/>
      <c r="B38" s="396" t="s">
        <v>69</v>
      </c>
      <c r="C38" s="422" t="s">
        <v>551</v>
      </c>
      <c r="D38" s="422" t="s">
        <v>552</v>
      </c>
      <c r="E38" s="422" t="s">
        <v>553</v>
      </c>
      <c r="F38" s="423" t="s">
        <v>554</v>
      </c>
      <c r="G38" s="414"/>
      <c r="H38" s="420"/>
      <c r="I38" s="420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3.5" customHeight="1">
      <c r="A39" s="424" t="s">
        <v>607</v>
      </c>
      <c r="B39" s="330">
        <f t="shared" ref="B39:F39" si="5">B17</f>
        <v>6648856.5427892609</v>
      </c>
      <c r="C39" s="425">
        <f t="shared" si="5"/>
        <v>7062750.2929950897</v>
      </c>
      <c r="D39" s="425">
        <f t="shared" si="5"/>
        <v>7062750.2929950897</v>
      </c>
      <c r="E39" s="425">
        <f t="shared" si="5"/>
        <v>7062750.2929950897</v>
      </c>
      <c r="F39" s="426">
        <f t="shared" si="5"/>
        <v>7062750.2929950897</v>
      </c>
      <c r="G39" s="414"/>
      <c r="H39" s="420"/>
      <c r="I39" s="420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404" t="s">
        <v>661</v>
      </c>
      <c r="B40" s="284"/>
      <c r="C40" s="377"/>
      <c r="D40" s="377"/>
      <c r="E40" s="377"/>
      <c r="F40" s="407"/>
      <c r="G40" s="414"/>
      <c r="H40" s="420"/>
      <c r="I40" s="420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404" t="s">
        <v>662</v>
      </c>
      <c r="B41" s="284">
        <f>G35</f>
        <v>278655.36042134126</v>
      </c>
      <c r="C41" s="377"/>
      <c r="D41" s="377"/>
      <c r="E41" s="377"/>
      <c r="F41" s="407"/>
      <c r="G41" s="414"/>
      <c r="H41" s="420"/>
      <c r="I41" s="420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404" t="s">
        <v>664</v>
      </c>
      <c r="B42" s="284">
        <f>-B35</f>
        <v>-75667.888271241813</v>
      </c>
      <c r="C42" s="377">
        <f t="shared" ref="C42:F42" si="6">B35-C35</f>
        <v>1954.9777695174707</v>
      </c>
      <c r="D42" s="377">
        <f t="shared" si="6"/>
        <v>0</v>
      </c>
      <c r="E42" s="377">
        <f t="shared" si="6"/>
        <v>0</v>
      </c>
      <c r="F42" s="403">
        <f t="shared" si="6"/>
        <v>0</v>
      </c>
      <c r="G42" s="414"/>
      <c r="H42" s="420"/>
      <c r="I42" s="420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428" t="s">
        <v>665</v>
      </c>
      <c r="B43" s="284">
        <f>B39-B41+B42</f>
        <v>6294533.2940966785</v>
      </c>
      <c r="C43" s="377">
        <f t="shared" ref="C43:F43" si="7">C39-C41-C42</f>
        <v>7060795.3152255723</v>
      </c>
      <c r="D43" s="377">
        <f t="shared" si="7"/>
        <v>7062750.2929950897</v>
      </c>
      <c r="E43" s="377">
        <f t="shared" si="7"/>
        <v>7062750.2929950897</v>
      </c>
      <c r="F43" s="403">
        <f t="shared" si="7"/>
        <v>7062750.2929950897</v>
      </c>
      <c r="H43" s="420"/>
      <c r="I43" s="430" t="s">
        <v>667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431" t="s">
        <v>668</v>
      </c>
      <c r="B44" s="433">
        <f>B43/'Conformación de Datos'!E136</f>
        <v>523.57092648329331</v>
      </c>
      <c r="C44" s="434">
        <f>C43/'Conformación de Datos'!$E$139</f>
        <v>475.47443200172205</v>
      </c>
      <c r="D44" s="434">
        <f>D43/'Conformación de Datos'!$E$139</f>
        <v>475.6060803363697</v>
      </c>
      <c r="E44" s="434">
        <f>E43/'Conformación de Datos'!$E$139</f>
        <v>475.6060803363697</v>
      </c>
      <c r="F44" s="437">
        <f>F43/'Conformación de Datos'!$E$139</f>
        <v>475.6060803363697</v>
      </c>
      <c r="G44" s="414"/>
      <c r="H44" s="420"/>
      <c r="I44" s="420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431"/>
      <c r="B45" s="433"/>
      <c r="C45" s="433"/>
      <c r="D45" s="433"/>
      <c r="E45" s="433"/>
      <c r="F45" s="438"/>
      <c r="G45" s="413"/>
      <c r="H45" s="420"/>
      <c r="I45" s="420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431" t="s">
        <v>616</v>
      </c>
      <c r="B46" s="440">
        <f t="shared" ref="B46:F46" si="8">B19</f>
        <v>0.30952446138094325</v>
      </c>
      <c r="C46" s="440">
        <f t="shared" si="8"/>
        <v>0.23465087266958293</v>
      </c>
      <c r="D46" s="440">
        <f t="shared" si="8"/>
        <v>0.23465087266958293</v>
      </c>
      <c r="E46" s="440">
        <f t="shared" si="8"/>
        <v>0.23465087266958293</v>
      </c>
      <c r="F46" s="441">
        <f t="shared" si="8"/>
        <v>0.23465087266958293</v>
      </c>
      <c r="G46" s="413"/>
      <c r="H46" s="420"/>
      <c r="I46" s="420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3.5" customHeight="1">
      <c r="A47" s="409" t="s">
        <v>622</v>
      </c>
      <c r="B47" s="443">
        <f t="shared" ref="B47:F47" si="9">B20</f>
        <v>0.69047553861905664</v>
      </c>
      <c r="C47" s="443">
        <f t="shared" si="9"/>
        <v>0.76534912733041716</v>
      </c>
      <c r="D47" s="443">
        <f t="shared" si="9"/>
        <v>0.76534912733041716</v>
      </c>
      <c r="E47" s="443">
        <f t="shared" si="9"/>
        <v>0.76534912733041716</v>
      </c>
      <c r="F47" s="444">
        <f t="shared" si="9"/>
        <v>0.76534912733041716</v>
      </c>
      <c r="G47" s="413"/>
      <c r="H47" s="420"/>
      <c r="I47" s="420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3.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3.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3.5" customHeight="1">
      <c r="A50" s="445"/>
      <c r="B50" s="391" t="s">
        <v>671</v>
      </c>
      <c r="C50" s="391"/>
      <c r="D50" s="391"/>
      <c r="E50" s="391"/>
      <c r="F50" s="392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3.5" customHeight="1">
      <c r="A51" s="446" t="s">
        <v>455</v>
      </c>
      <c r="B51" s="102" t="s">
        <v>69</v>
      </c>
      <c r="C51" s="102" t="s">
        <v>551</v>
      </c>
      <c r="D51" s="102" t="s">
        <v>552</v>
      </c>
      <c r="E51" s="102" t="s">
        <v>553</v>
      </c>
      <c r="F51" s="432" t="s">
        <v>554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3.5" customHeight="1">
      <c r="A52" s="447" t="s">
        <v>525</v>
      </c>
      <c r="B52" s="448">
        <f>C52*0.9</f>
        <v>2086726.980312</v>
      </c>
      <c r="C52" s="448">
        <f>'Conformación de Datos'!H181*12+'Conformación de Datos'!H185*12+'Conformación de Datos'!H188*12+'Conformación de Datos'!H190*12+'Conformación de Datos'!B187*'Conformación de Datos'!H186*12+'Conformación de Datos'!H184*12</f>
        <v>2318585.5336799999</v>
      </c>
      <c r="D52" s="448">
        <f>'Conformación de Datos'!H181*12+'Conformación de Datos'!H185*12+'Conformación de Datos'!H188*12+'Conformación de Datos'!H190*12+'Conformación de Datos'!B187*'Conformación de Datos'!H186*12+'Conformación de Datos'!H184*12</f>
        <v>2318585.5336799999</v>
      </c>
      <c r="E52" s="448">
        <f>'Conformación de Datos'!H181*12+'Conformación de Datos'!H185*12+'Conformación de Datos'!H188*12+'Conformación de Datos'!H190*12+'Conformación de Datos'!B187*'Conformación de Datos'!H186*12+'Conformación de Datos'!H184*12</f>
        <v>2318585.5336799999</v>
      </c>
      <c r="F52" s="449">
        <f>'Conformación de Datos'!H181*12+'Conformación de Datos'!H185*12+'Conformación de Datos'!H188*12+'Conformación de Datos'!H190*12+'Conformación de Datos'!B187*'Conformación de Datos'!H186*12+'Conformación de Datos'!H184*12</f>
        <v>2318585.5336799999</v>
      </c>
      <c r="G52" s="97" t="s">
        <v>681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404" t="s">
        <v>682</v>
      </c>
      <c r="B53" s="284">
        <f>('E-Inv AF y Am'!D57-'E-Inv AF y Am'!D51)*0.05</f>
        <v>76818.920732444531</v>
      </c>
      <c r="C53" s="284">
        <f>('E-Inv AF y Am'!D57-'E-Inv AF y Am'!D51)*0.05</f>
        <v>76818.920732444531</v>
      </c>
      <c r="D53" s="284">
        <f>('E-Inv AF y Am'!D57-'E-Inv AF y Am'!D51)*0.05</f>
        <v>76818.920732444531</v>
      </c>
      <c r="E53" s="284">
        <f>('E-Inv AF y Am'!D57-'E-Inv AF y Am'!D51)*0.05</f>
        <v>76818.920732444531</v>
      </c>
      <c r="F53" s="451">
        <f>('E-Inv AF y Am'!D57-'E-Inv AF y Am'!D51)*0.05</f>
        <v>76818.920732444531</v>
      </c>
      <c r="G53" s="97" t="s">
        <v>681</v>
      </c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2.75" customHeight="1">
      <c r="A54" s="404" t="s">
        <v>585</v>
      </c>
      <c r="B54" s="284">
        <f>C54*0.9</f>
        <v>79568.904880304151</v>
      </c>
      <c r="C54" s="284">
        <f>('E-Inv AF y Am'!B17*0.015)+0.01*C43+0.03*(C26+C29)</f>
        <v>88409.894311449054</v>
      </c>
      <c r="D54" s="284">
        <f>('E-Inv AF y Am'!B17*0.015)+0.01*C43+0.03*(C26+C29)</f>
        <v>88409.894311449054</v>
      </c>
      <c r="E54" s="284">
        <f>('E-Inv AF y Am'!B17*0.015)+0.01*C43+0.03*(C26+C29)</f>
        <v>88409.894311449054</v>
      </c>
      <c r="F54" s="442">
        <f>('E-Inv AF y Am'!B17*0.015)+0.01*C43+0.03*(C26+C29)</f>
        <v>88409.894311449054</v>
      </c>
      <c r="G54" s="97" t="s">
        <v>681</v>
      </c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404" t="s">
        <v>109</v>
      </c>
      <c r="B55" s="284">
        <f>C55*0.95</f>
        <v>2470.6019834265594</v>
      </c>
      <c r="C55" s="284">
        <f t="shared" ref="C55:F55" si="10">C13*0.02</f>
        <v>2600.6336667647993</v>
      </c>
      <c r="D55" s="284">
        <f t="shared" si="10"/>
        <v>2600.6336667647993</v>
      </c>
      <c r="E55" s="284">
        <f t="shared" si="10"/>
        <v>2600.6336667647993</v>
      </c>
      <c r="F55" s="442">
        <f t="shared" si="10"/>
        <v>2600.6336667647993</v>
      </c>
      <c r="G55" s="97" t="s">
        <v>569</v>
      </c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404" t="s">
        <v>691</v>
      </c>
      <c r="B56" s="284" t="s">
        <v>278</v>
      </c>
      <c r="C56" s="284" t="s">
        <v>278</v>
      </c>
      <c r="D56" s="284" t="s">
        <v>278</v>
      </c>
      <c r="E56" s="284" t="s">
        <v>278</v>
      </c>
      <c r="F56" s="442" t="s">
        <v>278</v>
      </c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404" t="s">
        <v>674</v>
      </c>
      <c r="B57" s="284">
        <f>'Conformación de Datos'!D224</f>
        <v>3000</v>
      </c>
      <c r="C57" s="284">
        <f>'Conformación de Datos'!D224</f>
        <v>3000</v>
      </c>
      <c r="D57" s="284">
        <f>'Conformación de Datos'!D224</f>
        <v>3000</v>
      </c>
      <c r="E57" s="284">
        <f>'Conformación de Datos'!D224</f>
        <v>3000</v>
      </c>
      <c r="F57" s="442">
        <f>'Conformación de Datos'!D224</f>
        <v>3000</v>
      </c>
      <c r="G57" s="97" t="s">
        <v>681</v>
      </c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404" t="s">
        <v>594</v>
      </c>
      <c r="B58" s="284">
        <f t="shared" ref="B58:F58" si="11">0.05*$B$15+0.0004*$C$87+0.012*$C$87</f>
        <v>263258.41506299999</v>
      </c>
      <c r="C58" s="284">
        <f t="shared" si="11"/>
        <v>263258.41506299999</v>
      </c>
      <c r="D58" s="284">
        <f t="shared" si="11"/>
        <v>263258.41506299999</v>
      </c>
      <c r="E58" s="284">
        <f t="shared" si="11"/>
        <v>263258.41506299999</v>
      </c>
      <c r="F58" s="442">
        <f t="shared" si="11"/>
        <v>263258.41506299999</v>
      </c>
      <c r="G58" s="97" t="s">
        <v>681</v>
      </c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404" t="s">
        <v>237</v>
      </c>
      <c r="B59" s="284">
        <f t="shared" ref="B59:F59" si="12">SUM(B52:B58)*0.02</f>
        <v>50236.876459423511</v>
      </c>
      <c r="C59" s="284">
        <f t="shared" si="12"/>
        <v>55053.467949073165</v>
      </c>
      <c r="D59" s="284">
        <f t="shared" si="12"/>
        <v>55053.467949073165</v>
      </c>
      <c r="E59" s="284">
        <f t="shared" si="12"/>
        <v>55053.467949073165</v>
      </c>
      <c r="F59" s="442">
        <f t="shared" si="12"/>
        <v>55053.467949073165</v>
      </c>
      <c r="G59" s="97" t="s">
        <v>569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404"/>
      <c r="B60" s="209"/>
      <c r="C60" s="209"/>
      <c r="D60" s="209"/>
      <c r="E60" s="209"/>
      <c r="F60" s="453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428" t="s">
        <v>701</v>
      </c>
      <c r="B61" s="284">
        <f t="shared" ref="B61:F61" si="13">SUM(B52:B59)</f>
        <v>2562080.6994305989</v>
      </c>
      <c r="C61" s="284">
        <f t="shared" si="13"/>
        <v>2807726.8654027316</v>
      </c>
      <c r="D61" s="284">
        <f t="shared" si="13"/>
        <v>2807726.8654027316</v>
      </c>
      <c r="E61" s="284">
        <f t="shared" si="13"/>
        <v>2807726.8654027316</v>
      </c>
      <c r="F61" s="442">
        <f t="shared" si="13"/>
        <v>2807726.8654027316</v>
      </c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428"/>
      <c r="B62" s="284"/>
      <c r="C62" s="284"/>
      <c r="D62" s="284"/>
      <c r="E62" s="284"/>
      <c r="F62" s="442"/>
      <c r="G62" s="413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431" t="s">
        <v>616</v>
      </c>
      <c r="B63" s="286">
        <f t="shared" ref="B63:F63" si="14">(B52+B53+B54+B57+B58)/B61</f>
        <v>0.97942786171623564</v>
      </c>
      <c r="C63" s="286">
        <f t="shared" si="14"/>
        <v>0.97946591517634374</v>
      </c>
      <c r="D63" s="286">
        <f t="shared" si="14"/>
        <v>0.97946591517634374</v>
      </c>
      <c r="E63" s="286">
        <f t="shared" si="14"/>
        <v>0.97946591517634374</v>
      </c>
      <c r="F63" s="454">
        <f t="shared" si="14"/>
        <v>0.97946591517634374</v>
      </c>
      <c r="G63" s="413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3.5" customHeight="1">
      <c r="A64" s="409" t="s">
        <v>622</v>
      </c>
      <c r="B64" s="455">
        <f t="shared" ref="B64:F64" si="15">1-B63</f>
        <v>2.0572138283764363E-2</v>
      </c>
      <c r="C64" s="455">
        <f t="shared" si="15"/>
        <v>2.0534084823656262E-2</v>
      </c>
      <c r="D64" s="455">
        <f t="shared" si="15"/>
        <v>2.0534084823656262E-2</v>
      </c>
      <c r="E64" s="455">
        <f t="shared" si="15"/>
        <v>2.0534084823656262E-2</v>
      </c>
      <c r="F64" s="456">
        <f t="shared" si="15"/>
        <v>2.0534084823656262E-2</v>
      </c>
      <c r="G64" s="413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3.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3.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3.5" customHeight="1">
      <c r="A67" s="445"/>
      <c r="B67" s="457" t="s">
        <v>710</v>
      </c>
      <c r="C67" s="391"/>
      <c r="D67" s="391"/>
      <c r="E67" s="391"/>
      <c r="F67" s="392"/>
      <c r="G67" s="132" t="s">
        <v>711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3.5" customHeight="1">
      <c r="A68" s="446" t="s">
        <v>455</v>
      </c>
      <c r="B68" s="102" t="s">
        <v>69</v>
      </c>
      <c r="C68" s="102" t="s">
        <v>551</v>
      </c>
      <c r="D68" s="102" t="s">
        <v>552</v>
      </c>
      <c r="E68" s="102" t="s">
        <v>553</v>
      </c>
      <c r="F68" s="432" t="s">
        <v>554</v>
      </c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3.5" customHeight="1">
      <c r="A69" s="400" t="s">
        <v>525</v>
      </c>
      <c r="B69" s="330">
        <f>C69*0.9</f>
        <v>708244.52474879997</v>
      </c>
      <c r="C69" s="330">
        <f>'Conformación de Datos'!H182*12+'Conformación de Datos'!H183*12+'Conformación de Datos'!B188*'Conformación de Datos'!H186*12</f>
        <v>786938.36083199992</v>
      </c>
      <c r="D69" s="330">
        <f>'Conformación de Datos'!H182*12+'Conformación de Datos'!H183*12+'Conformación de Datos'!B188*'Conformación de Datos'!H186*12</f>
        <v>786938.36083199992</v>
      </c>
      <c r="E69" s="330">
        <f>'Conformación de Datos'!H182*12+'Conformación de Datos'!H183*12+'Conformación de Datos'!B188*'Conformación de Datos'!H186*12</f>
        <v>786938.36083199992</v>
      </c>
      <c r="F69" s="436">
        <f>'Conformación de Datos'!H182*12+'Conformación de Datos'!H183*12+'Conformación de Datos'!B188*'Conformación de Datos'!H186*12</f>
        <v>786938.36083199992</v>
      </c>
      <c r="G69" s="97" t="s">
        <v>681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404" t="s">
        <v>585</v>
      </c>
      <c r="B70" s="284">
        <f>('E-Inv AF y Am'!B17*0.015)+'Conformación de Datos'!D226*'Conformación de Datos'!C6+0.03*C69+'Conformación de Datos'!D225*'Conformación de Datos'!C6</f>
        <v>218978.46062495999</v>
      </c>
      <c r="C70" s="284">
        <f>('E-Inv AF y Am'!B17*0.015)+'Conformación de Datos'!D226*'Conformación de Datos'!D6+0.03*C69+'Conformación de Datos'!D225*'Conformación de Datos'!D6</f>
        <v>263528.46062496002</v>
      </c>
      <c r="D70" s="284">
        <f>('E-Inv AF y Am'!B17*0.015)+'Conformación de Datos'!D226*'Conformación de Datos'!D6+0.03*D69+'Conformación de Datos'!D225*'Conformación de Datos'!D6</f>
        <v>263528.46062496002</v>
      </c>
      <c r="E70" s="284">
        <f>('E-Inv AF y Am'!B17*0.015)+'Conformación de Datos'!D226*'Conformación de Datos'!D6+0.03*D69+'Conformación de Datos'!D225*'Conformación de Datos'!D6</f>
        <v>263528.46062496002</v>
      </c>
      <c r="F70" s="442">
        <f>('E-Inv AF y Am'!B17*0.015)+'Conformación de Datos'!D226*'Conformación de Datos'!D6+0.03*D69+'Conformación de Datos'!D225*'Conformación de Datos'!D6</f>
        <v>263528.46062496002</v>
      </c>
      <c r="G70" s="97" t="s">
        <v>681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404" t="s">
        <v>202</v>
      </c>
      <c r="B71" s="284">
        <f t="shared" ref="B71:F71" si="16">B55</f>
        <v>2470.6019834265594</v>
      </c>
      <c r="C71" s="284">
        <f t="shared" si="16"/>
        <v>2600.6336667647993</v>
      </c>
      <c r="D71" s="284">
        <f t="shared" si="16"/>
        <v>2600.6336667647993</v>
      </c>
      <c r="E71" s="284">
        <f t="shared" si="16"/>
        <v>2600.6336667647993</v>
      </c>
      <c r="F71" s="442">
        <f t="shared" si="16"/>
        <v>2600.6336667647993</v>
      </c>
      <c r="G71" s="97" t="s">
        <v>569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404" t="s">
        <v>691</v>
      </c>
      <c r="B72" s="284" t="str">
        <f t="shared" ref="B72:F72" si="17">B56</f>
        <v>-</v>
      </c>
      <c r="C72" s="284" t="str">
        <f t="shared" si="17"/>
        <v>-</v>
      </c>
      <c r="D72" s="284" t="str">
        <f t="shared" si="17"/>
        <v>-</v>
      </c>
      <c r="E72" s="284" t="str">
        <f t="shared" si="17"/>
        <v>-</v>
      </c>
      <c r="F72" s="442" t="str">
        <f t="shared" si="17"/>
        <v>-</v>
      </c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404" t="s">
        <v>674</v>
      </c>
      <c r="B73" s="284">
        <f>'Conformación de Datos'!C6*'Conformación de Datos'!D228+'Conformación de Datos'!D229</f>
        <v>644000</v>
      </c>
      <c r="C73" s="284">
        <f>'Conformación de Datos'!D6*'Conformación de Datos'!D228+'Conformación de Datos'!D229</f>
        <v>792500</v>
      </c>
      <c r="D73" s="284">
        <f>'Conformación de Datos'!D6*'Conformación de Datos'!D228+'Conformación de Datos'!D229</f>
        <v>792500</v>
      </c>
      <c r="E73" s="284">
        <f>'Conformación de Datos'!D6*'Conformación de Datos'!D228+'Conformación de Datos'!D229</f>
        <v>792500</v>
      </c>
      <c r="F73" s="442">
        <f>'Conformación de Datos'!D6*'Conformación de Datos'!D228+'Conformación de Datos'!D229</f>
        <v>792500</v>
      </c>
      <c r="G73" s="97" t="s">
        <v>569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404" t="s">
        <v>594</v>
      </c>
      <c r="B74" s="284">
        <f>B58+'Energìa e Impuestos'!$K$27*B87</f>
        <v>729548.41506300005</v>
      </c>
      <c r="C74" s="284">
        <f>C58+'Energìa e Impuestos'!$K$27*C87</f>
        <v>846120.91506300005</v>
      </c>
      <c r="D74" s="284">
        <f>D58+'Energìa e Impuestos'!$K$27*D87</f>
        <v>846120.91506300005</v>
      </c>
      <c r="E74" s="284">
        <f>E58+'Energìa e Impuestos'!$K$27*E87</f>
        <v>846120.91506300005</v>
      </c>
      <c r="F74" s="442">
        <f>F58+'Energìa e Impuestos'!$K$27*F87</f>
        <v>846120.91506300005</v>
      </c>
      <c r="G74" s="97" t="s">
        <v>681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404" t="s">
        <v>237</v>
      </c>
      <c r="B75" s="284">
        <f t="shared" ref="B75:F75" si="18">SUM(B69:B74)*0.02</f>
        <v>46064.840048403741</v>
      </c>
      <c r="C75" s="284">
        <f t="shared" si="18"/>
        <v>53833.767403734499</v>
      </c>
      <c r="D75" s="284">
        <f t="shared" si="18"/>
        <v>53833.767403734499</v>
      </c>
      <c r="E75" s="284">
        <f t="shared" si="18"/>
        <v>53833.767403734499</v>
      </c>
      <c r="F75" s="442">
        <f t="shared" si="18"/>
        <v>53833.767403734499</v>
      </c>
      <c r="G75" s="97" t="s">
        <v>569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404"/>
      <c r="B76" s="209"/>
      <c r="C76" s="209"/>
      <c r="D76" s="209"/>
      <c r="E76" s="209"/>
      <c r="F76" s="453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428" t="s">
        <v>723</v>
      </c>
      <c r="B77" s="284">
        <f t="shared" ref="B77:F77" si="19">SUM(B69:B75)</f>
        <v>2349306.8424685909</v>
      </c>
      <c r="C77" s="284">
        <f t="shared" si="19"/>
        <v>2745522.1375904591</v>
      </c>
      <c r="D77" s="284">
        <f t="shared" si="19"/>
        <v>2745522.1375904591</v>
      </c>
      <c r="E77" s="284">
        <f t="shared" si="19"/>
        <v>2745522.1375904591</v>
      </c>
      <c r="F77" s="442">
        <f t="shared" si="19"/>
        <v>2745522.1375904591</v>
      </c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428"/>
      <c r="B78" s="284"/>
      <c r="C78" s="284"/>
      <c r="D78" s="284"/>
      <c r="E78" s="284"/>
      <c r="F78" s="442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431" t="s">
        <v>616</v>
      </c>
      <c r="B79" s="286">
        <f t="shared" ref="B79:F79" si="20">(B69+B70+B74)/B77</f>
        <v>0.70521711786948504</v>
      </c>
      <c r="C79" s="286">
        <f t="shared" si="20"/>
        <v>0.69079309562022118</v>
      </c>
      <c r="D79" s="286">
        <f t="shared" si="20"/>
        <v>0.69079309562022118</v>
      </c>
      <c r="E79" s="286">
        <f t="shared" si="20"/>
        <v>0.69079309562022118</v>
      </c>
      <c r="F79" s="454">
        <f t="shared" si="20"/>
        <v>0.69079309562022118</v>
      </c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3.5" customHeight="1">
      <c r="A80" s="409" t="s">
        <v>622</v>
      </c>
      <c r="B80" s="455">
        <f t="shared" ref="B80:F80" si="21">1-B79</f>
        <v>0.29478288213051496</v>
      </c>
      <c r="C80" s="455">
        <f t="shared" si="21"/>
        <v>0.30920690437977882</v>
      </c>
      <c r="D80" s="455">
        <f t="shared" si="21"/>
        <v>0.30920690437977882</v>
      </c>
      <c r="E80" s="455">
        <f t="shared" si="21"/>
        <v>0.30920690437977882</v>
      </c>
      <c r="F80" s="456">
        <f t="shared" si="21"/>
        <v>0.30920690437977882</v>
      </c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3.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3.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6.5" customHeight="1">
      <c r="A83" s="459" t="s">
        <v>725</v>
      </c>
      <c r="B83" s="460"/>
      <c r="C83" s="460"/>
      <c r="D83" s="460"/>
      <c r="E83" s="460"/>
      <c r="F83" s="461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3.5" customHeight="1">
      <c r="A84" s="404"/>
      <c r="B84" s="278" t="s">
        <v>69</v>
      </c>
      <c r="C84" s="278" t="s">
        <v>551</v>
      </c>
      <c r="D84" s="278" t="s">
        <v>552</v>
      </c>
      <c r="E84" s="278" t="s">
        <v>553</v>
      </c>
      <c r="F84" s="432" t="s">
        <v>554</v>
      </c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3.5" customHeight="1">
      <c r="A85" s="404" t="s">
        <v>727</v>
      </c>
      <c r="B85" s="462">
        <f>'Conformación de Datos'!C6</f>
        <v>11880</v>
      </c>
      <c r="C85" s="462">
        <f>'Conformación de Datos'!D6</f>
        <v>14850</v>
      </c>
      <c r="D85" s="462">
        <f>'Conformación de Datos'!E6</f>
        <v>14850</v>
      </c>
      <c r="E85" s="462">
        <f>'Conformación de Datos'!F6</f>
        <v>14850</v>
      </c>
      <c r="F85" s="463">
        <f>'Conformación de Datos'!G6</f>
        <v>14850</v>
      </c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404" t="s">
        <v>731</v>
      </c>
      <c r="B86" s="284">
        <f>'Conformación de Datos'!C12</f>
        <v>1427.2727272727273</v>
      </c>
      <c r="C86" s="284">
        <f>'Conformación de Datos'!D12</f>
        <v>1427.2727272727273</v>
      </c>
      <c r="D86" s="284">
        <f>'Conformación de Datos'!E12</f>
        <v>1427.2727272727273</v>
      </c>
      <c r="E86" s="284">
        <f>'Conformación de Datos'!F12</f>
        <v>1427.2727272727273</v>
      </c>
      <c r="F86" s="442">
        <f>'Conformación de Datos'!G12</f>
        <v>1427.2727272727273</v>
      </c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428" t="s">
        <v>732</v>
      </c>
      <c r="B87" s="284">
        <f>'Conformación de Datos'!C17</f>
        <v>16956000</v>
      </c>
      <c r="C87" s="284">
        <f>'Conformación de Datos'!D17</f>
        <v>21195000</v>
      </c>
      <c r="D87" s="284">
        <f>'Conformación de Datos'!E17</f>
        <v>21195000</v>
      </c>
      <c r="E87" s="284">
        <f>'Conformación de Datos'!F17</f>
        <v>21195000</v>
      </c>
      <c r="F87" s="442">
        <f>'Conformación de Datos'!G17</f>
        <v>21195000</v>
      </c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404"/>
      <c r="B88" s="284"/>
      <c r="C88" s="284"/>
      <c r="D88" s="284"/>
      <c r="E88" s="284"/>
      <c r="F88" s="442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404" t="s">
        <v>738</v>
      </c>
      <c r="B89" s="284">
        <f t="shared" ref="B89:F89" si="22">B7</f>
        <v>2093197.9132168619</v>
      </c>
      <c r="C89" s="284">
        <f t="shared" si="22"/>
        <v>2655433.9350000001</v>
      </c>
      <c r="D89" s="284">
        <f t="shared" si="22"/>
        <v>2655433.9350000001</v>
      </c>
      <c r="E89" s="284">
        <f t="shared" si="22"/>
        <v>2655433.9350000001</v>
      </c>
      <c r="F89" s="442">
        <f t="shared" si="22"/>
        <v>2655433.9350000001</v>
      </c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404" t="s">
        <v>570</v>
      </c>
      <c r="B90" s="284">
        <f t="shared" ref="B90:F90" si="23">B8</f>
        <v>2037191.5103616002</v>
      </c>
      <c r="C90" s="284">
        <f t="shared" si="23"/>
        <v>2263546.1226240001</v>
      </c>
      <c r="D90" s="284">
        <f t="shared" si="23"/>
        <v>2263546.1226240001</v>
      </c>
      <c r="E90" s="284">
        <f t="shared" si="23"/>
        <v>2263546.1226240001</v>
      </c>
      <c r="F90" s="442">
        <f t="shared" si="23"/>
        <v>2263546.1226240001</v>
      </c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404" t="s">
        <v>740</v>
      </c>
      <c r="B91" s="284">
        <f t="shared" ref="B91:F91" si="24">SUM(B10:B16)</f>
        <v>2518467.1192107983</v>
      </c>
      <c r="C91" s="284">
        <f t="shared" si="24"/>
        <v>2143770.2353710905</v>
      </c>
      <c r="D91" s="284">
        <f t="shared" si="24"/>
        <v>2143770.2353710905</v>
      </c>
      <c r="E91" s="284">
        <f t="shared" si="24"/>
        <v>2143770.2353710905</v>
      </c>
      <c r="F91" s="442">
        <f t="shared" si="24"/>
        <v>2143770.2353710905</v>
      </c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404"/>
      <c r="B92" s="284"/>
      <c r="C92" s="284"/>
      <c r="D92" s="284"/>
      <c r="E92" s="284"/>
      <c r="F92" s="442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404" t="s">
        <v>741</v>
      </c>
      <c r="B93" s="352">
        <f t="shared" ref="B93:F93" si="25">B17</f>
        <v>6648856.5427892609</v>
      </c>
      <c r="C93" s="352">
        <f t="shared" si="25"/>
        <v>7062750.2929950897</v>
      </c>
      <c r="D93" s="352">
        <f t="shared" si="25"/>
        <v>7062750.2929950897</v>
      </c>
      <c r="E93" s="352">
        <f t="shared" si="25"/>
        <v>7062750.2929950897</v>
      </c>
      <c r="F93" s="465">
        <f t="shared" si="25"/>
        <v>7062750.2929950897</v>
      </c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404"/>
      <c r="B94" s="284"/>
      <c r="C94" s="284"/>
      <c r="D94" s="284"/>
      <c r="E94" s="284"/>
      <c r="F94" s="442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404" t="s">
        <v>661</v>
      </c>
      <c r="B95" s="284"/>
      <c r="C95" s="284"/>
      <c r="D95" s="284"/>
      <c r="E95" s="284"/>
      <c r="F95" s="442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466" t="s">
        <v>636</v>
      </c>
      <c r="B96" s="284">
        <f t="shared" ref="B96:B97" si="26">B41</f>
        <v>278655.36042134126</v>
      </c>
      <c r="C96" s="284"/>
      <c r="D96" s="284"/>
      <c r="E96" s="284"/>
      <c r="F96" s="442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466" t="s">
        <v>664</v>
      </c>
      <c r="B97" s="284">
        <f t="shared" si="26"/>
        <v>-75667.888271241813</v>
      </c>
      <c r="C97" s="284">
        <f t="shared" ref="C97:F97" si="27">C42</f>
        <v>1954.9777695174707</v>
      </c>
      <c r="D97" s="284">
        <f t="shared" si="27"/>
        <v>0</v>
      </c>
      <c r="E97" s="284">
        <f t="shared" si="27"/>
        <v>0</v>
      </c>
      <c r="F97" s="442">
        <f t="shared" si="27"/>
        <v>0</v>
      </c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404"/>
      <c r="B98" s="284"/>
      <c r="C98" s="284"/>
      <c r="D98" s="284"/>
      <c r="E98" s="284"/>
      <c r="F98" s="442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428" t="s">
        <v>742</v>
      </c>
      <c r="B99" s="467">
        <f>B93-B96+B97</f>
        <v>6294533.2940966785</v>
      </c>
      <c r="C99" s="467">
        <f t="shared" ref="C99:F99" si="28">C93-C96-C97</f>
        <v>7060795.3152255723</v>
      </c>
      <c r="D99" s="467">
        <f t="shared" si="28"/>
        <v>7062750.2929950897</v>
      </c>
      <c r="E99" s="467">
        <f t="shared" si="28"/>
        <v>7062750.2929950897</v>
      </c>
      <c r="F99" s="468">
        <f t="shared" si="28"/>
        <v>7062750.2929950897</v>
      </c>
      <c r="G99" s="132" t="s">
        <v>743</v>
      </c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466" t="s">
        <v>744</v>
      </c>
      <c r="B100" s="469">
        <f>'Conformación de Datos'!E136</f>
        <v>12022.3125</v>
      </c>
      <c r="C100" s="469">
        <f>'Conformación de Datos'!$E$139</f>
        <v>14850</v>
      </c>
      <c r="D100" s="469">
        <f>'Conformación de Datos'!$E$139</f>
        <v>14850</v>
      </c>
      <c r="E100" s="469">
        <f>'Conformación de Datos'!$E$139</f>
        <v>14850</v>
      </c>
      <c r="F100" s="470">
        <f>'Conformación de Datos'!$E$139</f>
        <v>14850</v>
      </c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404" t="s">
        <v>745</v>
      </c>
      <c r="B101" s="377">
        <f t="shared" ref="B101:F101" si="29">B99/B100</f>
        <v>523.57092648329331</v>
      </c>
      <c r="C101" s="377">
        <f t="shared" si="29"/>
        <v>475.47443200172205</v>
      </c>
      <c r="D101" s="377">
        <f t="shared" si="29"/>
        <v>475.6060803363697</v>
      </c>
      <c r="E101" s="377">
        <f t="shared" si="29"/>
        <v>475.6060803363697</v>
      </c>
      <c r="F101" s="403">
        <f t="shared" si="29"/>
        <v>475.6060803363697</v>
      </c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404"/>
      <c r="B102" s="467"/>
      <c r="C102" s="467"/>
      <c r="D102" s="467"/>
      <c r="E102" s="467"/>
      <c r="F102" s="468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404" t="s">
        <v>661</v>
      </c>
      <c r="B103" s="467"/>
      <c r="C103" s="467"/>
      <c r="D103" s="467"/>
      <c r="E103" s="467"/>
      <c r="F103" s="468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404" t="s">
        <v>746</v>
      </c>
      <c r="B104" s="377">
        <f>B101*'Conformación de Datos'!$E$238</f>
        <v>74608.857023869292</v>
      </c>
      <c r="C104" s="377">
        <f>C101*'Conformación de Datos'!$E$238</f>
        <v>67755.106560245389</v>
      </c>
      <c r="D104" s="377">
        <f>D101*'Conformación de Datos'!$E$238</f>
        <v>67773.866447932684</v>
      </c>
      <c r="E104" s="377">
        <f>E101*'Conformación de Datos'!$E$238</f>
        <v>67773.866447932684</v>
      </c>
      <c r="F104" s="403">
        <f>F101*'Conformación de Datos'!$E$238</f>
        <v>67773.866447932684</v>
      </c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404"/>
      <c r="B105" s="467"/>
      <c r="C105" s="467"/>
      <c r="D105" s="467"/>
      <c r="E105" s="467"/>
      <c r="F105" s="468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428" t="s">
        <v>747</v>
      </c>
      <c r="B106" s="377">
        <f t="shared" ref="B106:F106" si="30">(B100*B101)-B104</f>
        <v>6219924.4370728089</v>
      </c>
      <c r="C106" s="377">
        <f t="shared" si="30"/>
        <v>6993040.2086653272</v>
      </c>
      <c r="D106" s="377">
        <f t="shared" si="30"/>
        <v>6994976.4265471566</v>
      </c>
      <c r="E106" s="377">
        <f t="shared" si="30"/>
        <v>6994976.4265471566</v>
      </c>
      <c r="F106" s="403">
        <f t="shared" si="30"/>
        <v>6994976.4265471566</v>
      </c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404"/>
      <c r="B107" s="377"/>
      <c r="C107" s="377"/>
      <c r="D107" s="377"/>
      <c r="E107" s="377"/>
      <c r="F107" s="403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428" t="s">
        <v>748</v>
      </c>
      <c r="B108" s="377">
        <f t="shared" ref="B108:F108" si="31">B61</f>
        <v>2562080.6994305989</v>
      </c>
      <c r="C108" s="377">
        <f t="shared" si="31"/>
        <v>2807726.8654027316</v>
      </c>
      <c r="D108" s="377">
        <f t="shared" si="31"/>
        <v>2807726.8654027316</v>
      </c>
      <c r="E108" s="377">
        <f t="shared" si="31"/>
        <v>2807726.8654027316</v>
      </c>
      <c r="F108" s="403">
        <f t="shared" si="31"/>
        <v>2807726.8654027316</v>
      </c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428" t="s">
        <v>750</v>
      </c>
      <c r="B109" s="467">
        <f t="shared" ref="B109:F109" si="32">B77</f>
        <v>2349306.8424685909</v>
      </c>
      <c r="C109" s="467">
        <f t="shared" si="32"/>
        <v>2745522.1375904591</v>
      </c>
      <c r="D109" s="467">
        <f t="shared" si="32"/>
        <v>2745522.1375904591</v>
      </c>
      <c r="E109" s="467">
        <f t="shared" si="32"/>
        <v>2745522.1375904591</v>
      </c>
      <c r="F109" s="468">
        <f t="shared" si="32"/>
        <v>2745522.1375904591</v>
      </c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404"/>
      <c r="B110" s="467"/>
      <c r="C110" s="467"/>
      <c r="D110" s="467"/>
      <c r="E110" s="467"/>
      <c r="F110" s="468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428" t="s">
        <v>751</v>
      </c>
      <c r="B111" s="467">
        <f t="shared" ref="B111:F111" si="33">B106+B108+B109</f>
        <v>11131311.978971999</v>
      </c>
      <c r="C111" s="467">
        <f t="shared" si="33"/>
        <v>12546289.211658517</v>
      </c>
      <c r="D111" s="467">
        <f t="shared" si="33"/>
        <v>12548225.429540347</v>
      </c>
      <c r="E111" s="467">
        <f t="shared" si="33"/>
        <v>12548225.429540347</v>
      </c>
      <c r="F111" s="468">
        <f t="shared" si="33"/>
        <v>12548225.429540347</v>
      </c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404"/>
      <c r="B112" s="467"/>
      <c r="C112" s="467"/>
      <c r="D112" s="467"/>
      <c r="E112" s="467"/>
      <c r="F112" s="468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428" t="s">
        <v>753</v>
      </c>
      <c r="B113" s="467">
        <f t="shared" ref="B113:F113" si="34">B111/B100</f>
        <v>925.88775902905525</v>
      </c>
      <c r="C113" s="467">
        <f t="shared" si="34"/>
        <v>844.8679603810449</v>
      </c>
      <c r="D113" s="467">
        <f t="shared" si="34"/>
        <v>844.99834542359235</v>
      </c>
      <c r="E113" s="467">
        <f t="shared" si="34"/>
        <v>844.99834542359235</v>
      </c>
      <c r="F113" s="468">
        <f t="shared" si="34"/>
        <v>844.99834542359235</v>
      </c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404"/>
      <c r="B114" s="467"/>
      <c r="C114" s="467"/>
      <c r="D114" s="467"/>
      <c r="E114" s="467"/>
      <c r="F114" s="468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428" t="s">
        <v>756</v>
      </c>
      <c r="B115" s="467">
        <f t="shared" ref="B115:F115" si="35">B87-B111</f>
        <v>5824688.0210280009</v>
      </c>
      <c r="C115" s="467">
        <f t="shared" si="35"/>
        <v>8648710.7883414831</v>
      </c>
      <c r="D115" s="467">
        <f t="shared" si="35"/>
        <v>8646774.5704596527</v>
      </c>
      <c r="E115" s="467">
        <f t="shared" si="35"/>
        <v>8646774.5704596527</v>
      </c>
      <c r="F115" s="468">
        <f t="shared" si="35"/>
        <v>8646774.5704596527</v>
      </c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428" t="s">
        <v>218</v>
      </c>
      <c r="B116" s="467">
        <f>InfoInicial!$B$5*B115</f>
        <v>465975.04168224009</v>
      </c>
      <c r="C116" s="467">
        <f>InfoInicial!$B$5*C115</f>
        <v>691896.86306731869</v>
      </c>
      <c r="D116" s="467">
        <f>InfoInicial!$B$5*D115</f>
        <v>691741.96563677222</v>
      </c>
      <c r="E116" s="467">
        <f>InfoInicial!$B$5*E115</f>
        <v>691741.96563677222</v>
      </c>
      <c r="F116" s="468">
        <f>InfoInicial!$B$5*F115</f>
        <v>691741.96563677222</v>
      </c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474" t="s">
        <v>759</v>
      </c>
      <c r="B117" s="467">
        <f>InfoInicial!$B$4*B115</f>
        <v>2038640.8073598002</v>
      </c>
      <c r="C117" s="467">
        <f>InfoInicial!$B$4*C115</f>
        <v>3027048.7759195189</v>
      </c>
      <c r="D117" s="467">
        <f>InfoInicial!$B$4*D115</f>
        <v>3026371.0996608781</v>
      </c>
      <c r="E117" s="467">
        <f>InfoInicial!$B$4*E115</f>
        <v>3026371.0996608781</v>
      </c>
      <c r="F117" s="468">
        <f>InfoInicial!$B$4*F115</f>
        <v>3026371.0996608781</v>
      </c>
      <c r="G117" s="132" t="s">
        <v>762</v>
      </c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428"/>
      <c r="B118" s="350"/>
      <c r="C118" s="350"/>
      <c r="D118" s="350"/>
      <c r="E118" s="350"/>
      <c r="F118" s="450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474" t="s">
        <v>767</v>
      </c>
      <c r="B119" s="350">
        <f t="shared" ref="B119:F119" si="36">B115-B116-B117</f>
        <v>3320072.171985961</v>
      </c>
      <c r="C119" s="350">
        <f t="shared" si="36"/>
        <v>4929765.149354646</v>
      </c>
      <c r="D119" s="350">
        <f t="shared" si="36"/>
        <v>4928661.5051620025</v>
      </c>
      <c r="E119" s="350">
        <f t="shared" si="36"/>
        <v>4928661.5051620025</v>
      </c>
      <c r="F119" s="450">
        <f t="shared" si="36"/>
        <v>4928661.5051620025</v>
      </c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428" t="s">
        <v>769</v>
      </c>
      <c r="B120" s="482">
        <f t="shared" ref="B120:F120" si="37">B119/B87</f>
        <v>0.19580515286541408</v>
      </c>
      <c r="C120" s="482">
        <f t="shared" si="37"/>
        <v>0.23259094830642349</v>
      </c>
      <c r="D120" s="482">
        <f t="shared" si="37"/>
        <v>0.2325388773372023</v>
      </c>
      <c r="E120" s="482">
        <f t="shared" si="37"/>
        <v>0.2325388773372023</v>
      </c>
      <c r="F120" s="484">
        <f t="shared" si="37"/>
        <v>0.2325388773372023</v>
      </c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428"/>
      <c r="B121" s="482"/>
      <c r="C121" s="482"/>
      <c r="D121" s="482"/>
      <c r="E121" s="482"/>
      <c r="F121" s="484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428" t="s">
        <v>773</v>
      </c>
      <c r="B122" s="482"/>
      <c r="C122" s="482"/>
      <c r="D122" s="482"/>
      <c r="E122" s="482"/>
      <c r="F122" s="484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474" t="s">
        <v>774</v>
      </c>
      <c r="B123" s="486">
        <f t="shared" ref="B123:F123" si="38">B119</f>
        <v>3320072.171985961</v>
      </c>
      <c r="C123" s="486">
        <f t="shared" si="38"/>
        <v>4929765.149354646</v>
      </c>
      <c r="D123" s="486">
        <f t="shared" si="38"/>
        <v>4928661.5051620025</v>
      </c>
      <c r="E123" s="486">
        <f t="shared" si="38"/>
        <v>4928661.5051620025</v>
      </c>
      <c r="F123" s="488">
        <f t="shared" si="38"/>
        <v>4928661.5051620025</v>
      </c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428" t="s">
        <v>776</v>
      </c>
      <c r="B124" s="486">
        <f>'E-Inv AF y Am'!D57</f>
        <v>1568878.4146488905</v>
      </c>
      <c r="C124" s="486">
        <f>B124</f>
        <v>1568878.4146488905</v>
      </c>
      <c r="D124" s="486">
        <f>B124</f>
        <v>1568878.4146488905</v>
      </c>
      <c r="E124" s="486">
        <f>'E-Inv AF y Am'!E57</f>
        <v>1568878.4146488905</v>
      </c>
      <c r="F124" s="488">
        <f>E124</f>
        <v>1568878.4146488905</v>
      </c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3.5" customHeight="1">
      <c r="A125" s="421" t="s">
        <v>343</v>
      </c>
      <c r="B125" s="486">
        <f t="shared" ref="B125:F125" si="39">B123+B124</f>
        <v>4888950.586634852</v>
      </c>
      <c r="C125" s="486">
        <f t="shared" si="39"/>
        <v>6498643.5640035365</v>
      </c>
      <c r="D125" s="486">
        <f t="shared" si="39"/>
        <v>6497539.919810893</v>
      </c>
      <c r="E125" s="486">
        <f t="shared" si="39"/>
        <v>6497539.919810893</v>
      </c>
      <c r="F125" s="488">
        <f t="shared" si="39"/>
        <v>6497539.919810893</v>
      </c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3.5" customHeight="1">
      <c r="A126" s="428"/>
      <c r="B126" s="118"/>
      <c r="C126" s="118"/>
      <c r="D126" s="118"/>
      <c r="E126" s="118"/>
      <c r="F126" s="451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428" t="s">
        <v>777</v>
      </c>
      <c r="B127" s="118">
        <f t="shared" ref="B127:F127" si="40">B39*B46</f>
        <v>2057983.7402060064</v>
      </c>
      <c r="C127" s="118">
        <f t="shared" si="40"/>
        <v>1657280.5196986503</v>
      </c>
      <c r="D127" s="118">
        <f t="shared" si="40"/>
        <v>1657280.5196986503</v>
      </c>
      <c r="E127" s="118">
        <f t="shared" si="40"/>
        <v>1657280.5196986503</v>
      </c>
      <c r="F127" s="451">
        <f t="shared" si="40"/>
        <v>1657280.5196986503</v>
      </c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474" t="s">
        <v>778</v>
      </c>
      <c r="B128" s="118">
        <f t="shared" ref="B128:F128" si="41">B39*B47</f>
        <v>4590872.8025832539</v>
      </c>
      <c r="C128" s="118">
        <f t="shared" si="41"/>
        <v>5405469.77329644</v>
      </c>
      <c r="D128" s="118">
        <f t="shared" si="41"/>
        <v>5405469.77329644</v>
      </c>
      <c r="E128" s="118">
        <f t="shared" si="41"/>
        <v>5405469.77329644</v>
      </c>
      <c r="F128" s="451">
        <f t="shared" si="41"/>
        <v>5405469.77329644</v>
      </c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428" t="s">
        <v>779</v>
      </c>
      <c r="B129" s="118">
        <f t="shared" ref="B129:F129" si="42">B61*B63</f>
        <v>2509373.2209877488</v>
      </c>
      <c r="C129" s="118">
        <f t="shared" si="42"/>
        <v>2750072.7637868933</v>
      </c>
      <c r="D129" s="118">
        <f t="shared" si="42"/>
        <v>2750072.7637868933</v>
      </c>
      <c r="E129" s="118">
        <f t="shared" si="42"/>
        <v>2750072.7637868933</v>
      </c>
      <c r="F129" s="451">
        <f t="shared" si="42"/>
        <v>2750072.7637868933</v>
      </c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474" t="s">
        <v>780</v>
      </c>
      <c r="B130" s="118">
        <f t="shared" ref="B130:F130" si="43">B61*B64</f>
        <v>52707.478442849999</v>
      </c>
      <c r="C130" s="118">
        <f t="shared" si="43"/>
        <v>57654.101615838197</v>
      </c>
      <c r="D130" s="118">
        <f t="shared" si="43"/>
        <v>57654.101615838197</v>
      </c>
      <c r="E130" s="118">
        <f t="shared" si="43"/>
        <v>57654.101615838197</v>
      </c>
      <c r="F130" s="451">
        <f t="shared" si="43"/>
        <v>57654.101615838197</v>
      </c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428" t="s">
        <v>781</v>
      </c>
      <c r="B131" s="118">
        <f t="shared" ref="B131:F131" si="44">B77*B79</f>
        <v>1656771.4004367599</v>
      </c>
      <c r="C131" s="118">
        <f t="shared" si="44"/>
        <v>1896587.73651996</v>
      </c>
      <c r="D131" s="118">
        <f t="shared" si="44"/>
        <v>1896587.73651996</v>
      </c>
      <c r="E131" s="118">
        <f t="shared" si="44"/>
        <v>1896587.73651996</v>
      </c>
      <c r="F131" s="451">
        <f t="shared" si="44"/>
        <v>1896587.73651996</v>
      </c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474" t="s">
        <v>783</v>
      </c>
      <c r="B132" s="118">
        <f t="shared" ref="B132:F132" si="45">B77*B80</f>
        <v>692535.4420318309</v>
      </c>
      <c r="C132" s="118">
        <f t="shared" si="45"/>
        <v>848934.40107049909</v>
      </c>
      <c r="D132" s="118">
        <f t="shared" si="45"/>
        <v>848934.40107049909</v>
      </c>
      <c r="E132" s="118">
        <f t="shared" si="45"/>
        <v>848934.40107049909</v>
      </c>
      <c r="F132" s="451">
        <f t="shared" si="45"/>
        <v>848934.40107049909</v>
      </c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428" t="s">
        <v>784</v>
      </c>
      <c r="B133" s="118">
        <f t="shared" ref="B133:F133" si="46">B87-B128-B130-B132</f>
        <v>11619884.276942065</v>
      </c>
      <c r="C133" s="118">
        <f t="shared" si="46"/>
        <v>14882941.724017221</v>
      </c>
      <c r="D133" s="118">
        <f t="shared" si="46"/>
        <v>14882941.724017221</v>
      </c>
      <c r="E133" s="118">
        <f t="shared" si="46"/>
        <v>14882941.724017221</v>
      </c>
      <c r="F133" s="451">
        <f t="shared" si="46"/>
        <v>14882941.724017221</v>
      </c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3.5" customHeight="1">
      <c r="A134" s="409" t="s">
        <v>786</v>
      </c>
      <c r="B134" s="499">
        <f t="shared" ref="B134:F134" si="47">(B127+B129+B131)/B133</f>
        <v>0.53564460826700089</v>
      </c>
      <c r="C134" s="499">
        <f t="shared" si="47"/>
        <v>0.42356821231333402</v>
      </c>
      <c r="D134" s="499">
        <f t="shared" si="47"/>
        <v>0.42356821231333402</v>
      </c>
      <c r="E134" s="499">
        <f t="shared" si="47"/>
        <v>0.42356821231333402</v>
      </c>
      <c r="F134" s="501">
        <f t="shared" si="47"/>
        <v>0.42356821231333402</v>
      </c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6.5" customHeight="1">
      <c r="A135" s="503" t="s">
        <v>789</v>
      </c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504" t="s">
        <v>790</v>
      </c>
      <c r="C137" s="504"/>
      <c r="D137" s="504"/>
      <c r="E137" s="504"/>
      <c r="F137" s="504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504" t="s">
        <v>791</v>
      </c>
      <c r="C138" s="504" t="s">
        <v>792</v>
      </c>
      <c r="D138" s="504" t="s">
        <v>793</v>
      </c>
      <c r="E138" s="504" t="s">
        <v>794</v>
      </c>
      <c r="F138" s="504" t="s">
        <v>795</v>
      </c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505">
        <v>0</v>
      </c>
      <c r="C139" s="506">
        <f t="shared" ref="C139:C144" si="48">B139*$B$86</f>
        <v>0</v>
      </c>
      <c r="D139" s="506">
        <f t="shared" ref="D139:D144" si="49">B139*$B$101</f>
        <v>0</v>
      </c>
      <c r="E139" s="508">
        <f t="shared" ref="E139:E144" si="50">$B$127+$B$129+$B$131</f>
        <v>6224128.3616305152</v>
      </c>
      <c r="F139" s="506">
        <f t="shared" ref="F139:F144" si="51">D139+E139</f>
        <v>6224128.3616305152</v>
      </c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510">
        <v>1500</v>
      </c>
      <c r="C140" s="506">
        <f t="shared" si="48"/>
        <v>2140909.0909090908</v>
      </c>
      <c r="D140" s="506">
        <f t="shared" si="49"/>
        <v>785356.38972493995</v>
      </c>
      <c r="E140" s="508">
        <f t="shared" si="50"/>
        <v>6224128.3616305152</v>
      </c>
      <c r="F140" s="506">
        <f t="shared" si="51"/>
        <v>7009484.7513554553</v>
      </c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510">
        <v>3000</v>
      </c>
      <c r="C141" s="506">
        <f t="shared" si="48"/>
        <v>4281818.1818181816</v>
      </c>
      <c r="D141" s="506">
        <f t="shared" si="49"/>
        <v>1570712.7794498799</v>
      </c>
      <c r="E141" s="508">
        <f t="shared" si="50"/>
        <v>6224128.3616305152</v>
      </c>
      <c r="F141" s="506">
        <f t="shared" si="51"/>
        <v>7794841.1410803953</v>
      </c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505">
        <v>5000</v>
      </c>
      <c r="C142" s="506">
        <f t="shared" si="48"/>
        <v>7136363.6363636367</v>
      </c>
      <c r="D142" s="506">
        <f t="shared" si="49"/>
        <v>2617854.6324164667</v>
      </c>
      <c r="E142" s="508">
        <f t="shared" si="50"/>
        <v>6224128.3616305152</v>
      </c>
      <c r="F142" s="506">
        <f t="shared" si="51"/>
        <v>8841982.9940469824</v>
      </c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505">
        <v>9000</v>
      </c>
      <c r="C143" s="506">
        <f t="shared" si="48"/>
        <v>12845454.545454545</v>
      </c>
      <c r="D143" s="506">
        <f t="shared" si="49"/>
        <v>4712138.3383496394</v>
      </c>
      <c r="E143" s="508">
        <f t="shared" si="50"/>
        <v>6224128.3616305152</v>
      </c>
      <c r="F143" s="506">
        <f t="shared" si="51"/>
        <v>10936266.699980155</v>
      </c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512">
        <f>B85</f>
        <v>11880</v>
      </c>
      <c r="C144" s="506">
        <f t="shared" si="48"/>
        <v>16956000</v>
      </c>
      <c r="D144" s="506">
        <f t="shared" si="49"/>
        <v>6220022.6066215243</v>
      </c>
      <c r="E144" s="508">
        <f t="shared" si="50"/>
        <v>6224128.3616305152</v>
      </c>
      <c r="F144" s="506">
        <f t="shared" si="51"/>
        <v>12444150.96825204</v>
      </c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504" t="s">
        <v>807</v>
      </c>
      <c r="C147" s="504"/>
      <c r="D147" s="504"/>
      <c r="E147" s="504"/>
      <c r="F147" s="504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504" t="s">
        <v>791</v>
      </c>
      <c r="C148" s="504" t="s">
        <v>792</v>
      </c>
      <c r="D148" s="504" t="s">
        <v>793</v>
      </c>
      <c r="E148" s="504" t="s">
        <v>794</v>
      </c>
      <c r="F148" s="504" t="s">
        <v>795</v>
      </c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505">
        <v>0</v>
      </c>
      <c r="C149" s="506">
        <f>B149*$B$86</f>
        <v>0</v>
      </c>
      <c r="D149" s="506">
        <f t="shared" ref="D149:D154" si="52">B149*$F$101</f>
        <v>0</v>
      </c>
      <c r="E149" s="508">
        <f t="shared" ref="E149:E154" si="53">$E$127+$E$129+$E$131</f>
        <v>6303941.0200055037</v>
      </c>
      <c r="F149" s="506">
        <f t="shared" ref="F149:F154" si="54">D149+E149</f>
        <v>6303941.0200055037</v>
      </c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510">
        <v>1500</v>
      </c>
      <c r="C150" s="506">
        <f t="shared" ref="C150:C154" si="55">B150*$C$86</f>
        <v>2140909.0909090908</v>
      </c>
      <c r="D150" s="506">
        <f t="shared" si="52"/>
        <v>713409.12050455459</v>
      </c>
      <c r="E150" s="508">
        <f t="shared" si="53"/>
        <v>6303941.0200055037</v>
      </c>
      <c r="F150" s="506">
        <f t="shared" si="54"/>
        <v>7017350.140510058</v>
      </c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510">
        <v>3000</v>
      </c>
      <c r="C151" s="506">
        <f t="shared" si="55"/>
        <v>4281818.1818181816</v>
      </c>
      <c r="D151" s="506">
        <f t="shared" si="52"/>
        <v>1426818.2410091092</v>
      </c>
      <c r="E151" s="508">
        <f t="shared" si="53"/>
        <v>6303941.0200055037</v>
      </c>
      <c r="F151" s="506">
        <f t="shared" si="54"/>
        <v>7730759.2610146124</v>
      </c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505">
        <v>5000</v>
      </c>
      <c r="C152" s="506">
        <f t="shared" si="55"/>
        <v>7136363.6363636367</v>
      </c>
      <c r="D152" s="506">
        <f t="shared" si="52"/>
        <v>2378030.4016818483</v>
      </c>
      <c r="E152" s="508">
        <f t="shared" si="53"/>
        <v>6303941.0200055037</v>
      </c>
      <c r="F152" s="506">
        <f t="shared" si="54"/>
        <v>8681971.4216873515</v>
      </c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505">
        <v>9000</v>
      </c>
      <c r="C153" s="506">
        <f t="shared" si="55"/>
        <v>12845454.545454545</v>
      </c>
      <c r="D153" s="506">
        <f t="shared" si="52"/>
        <v>4280454.7230273271</v>
      </c>
      <c r="E153" s="508">
        <f t="shared" si="53"/>
        <v>6303941.0200055037</v>
      </c>
      <c r="F153" s="506">
        <f t="shared" si="54"/>
        <v>10584395.743032832</v>
      </c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505">
        <f>'Conformación de Datos'!D6</f>
        <v>14850</v>
      </c>
      <c r="C154" s="506">
        <f t="shared" si="55"/>
        <v>21195000</v>
      </c>
      <c r="D154" s="506">
        <f t="shared" si="52"/>
        <v>7062750.2929950897</v>
      </c>
      <c r="E154" s="508">
        <f t="shared" si="53"/>
        <v>6303941.0200055037</v>
      </c>
      <c r="F154" s="506">
        <f t="shared" si="54"/>
        <v>13366691.313000593</v>
      </c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132" t="s">
        <v>806</v>
      </c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2.7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2.7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2.7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2.7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2.7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12.7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12.7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12.7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 ht="12.7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 ht="12.75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spans="1:26" ht="12.75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spans="1:26" ht="12.75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spans="1:26" ht="12.75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spans="1:26" ht="12.75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spans="1:26" ht="12.75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spans="1:26" ht="12.75" customHeight="1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</row>
    <row r="238" spans="1:26" ht="12.75" customHeight="1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</row>
    <row r="239" spans="1:26" ht="12.75" customHeight="1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</row>
    <row r="240" spans="1:26" ht="12.75" customHeight="1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</row>
    <row r="241" spans="1:26" ht="12.75" customHeight="1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</row>
    <row r="242" spans="1:26" ht="12.75" customHeight="1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</row>
    <row r="243" spans="1:26" ht="12.75" customHeight="1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</row>
    <row r="244" spans="1:26" ht="12.75" customHeight="1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</row>
    <row r="245" spans="1:26" ht="12.75" customHeight="1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</row>
    <row r="246" spans="1:26" ht="12.75" customHeight="1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</row>
    <row r="247" spans="1:26" ht="12.75" customHeight="1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</row>
    <row r="248" spans="1:26" ht="12.75" customHeight="1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</row>
    <row r="249" spans="1:26" ht="12.75" customHeight="1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</row>
    <row r="250" spans="1:26" ht="12.75" customHeight="1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</row>
    <row r="251" spans="1:26" ht="12.75" customHeight="1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</row>
    <row r="252" spans="1:26" ht="12.75" customHeight="1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</row>
    <row r="253" spans="1:26" ht="12.75" customHeight="1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</row>
    <row r="254" spans="1:26" ht="12.75" customHeight="1">
      <c r="A254" s="9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</row>
    <row r="255" spans="1:26" ht="12.75" customHeight="1">
      <c r="A255" s="9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</row>
    <row r="256" spans="1:26" ht="12.75" customHeight="1">
      <c r="A256" s="9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</row>
    <row r="257" spans="1:26" ht="12.75" customHeight="1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</row>
    <row r="258" spans="1:26" ht="12.75" customHeight="1">
      <c r="A258" s="9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</row>
    <row r="259" spans="1:26" ht="12.75" customHeight="1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</row>
    <row r="260" spans="1:26" ht="12.75" customHeight="1">
      <c r="A260" s="9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</row>
    <row r="261" spans="1:26" ht="12.75" customHeight="1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</row>
    <row r="262" spans="1:26" ht="12.75" customHeight="1">
      <c r="A262" s="9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</row>
    <row r="263" spans="1:26" ht="12.75" customHeight="1">
      <c r="A263" s="9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</row>
    <row r="264" spans="1:26" ht="12.75" customHeight="1">
      <c r="A264" s="9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</row>
    <row r="265" spans="1:26" ht="12.75" customHeight="1">
      <c r="A265" s="9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</row>
    <row r="266" spans="1:26" ht="12.75" customHeight="1">
      <c r="A266" s="9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</row>
    <row r="267" spans="1:26" ht="12.75" customHeight="1">
      <c r="A267" s="9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</row>
    <row r="268" spans="1:26" ht="12.75" customHeight="1">
      <c r="A268" s="9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</row>
    <row r="269" spans="1:26" ht="12.75" customHeight="1">
      <c r="A269" s="9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</row>
    <row r="270" spans="1:26" ht="12.75" customHeight="1">
      <c r="A270" s="9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</row>
    <row r="271" spans="1:26" ht="12.75" customHeight="1">
      <c r="A271" s="9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</row>
    <row r="272" spans="1:26" ht="12.75" customHeight="1">
      <c r="A272" s="9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</row>
    <row r="273" spans="1:26" ht="12.75" customHeight="1">
      <c r="A273" s="9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</row>
    <row r="274" spans="1:26" ht="12.75" customHeight="1">
      <c r="A274" s="9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</row>
    <row r="275" spans="1:26" ht="12.75" customHeight="1">
      <c r="A275" s="9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</row>
    <row r="276" spans="1:26" ht="12.75" customHeight="1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</row>
    <row r="277" spans="1:26" ht="12.75" customHeight="1">
      <c r="A277" s="9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</row>
    <row r="278" spans="1:26" ht="12.75" customHeight="1">
      <c r="A278" s="9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</row>
    <row r="279" spans="1:26" ht="12.75" customHeight="1">
      <c r="A279" s="9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</row>
    <row r="280" spans="1:26" ht="12.75" customHeight="1">
      <c r="A280" s="9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</row>
    <row r="281" spans="1:26" ht="12.75" customHeight="1">
      <c r="A281" s="9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</row>
    <row r="282" spans="1:26" ht="12.75" customHeight="1">
      <c r="A282" s="9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</row>
    <row r="283" spans="1:26" ht="12.75" customHeight="1">
      <c r="A283" s="9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</row>
    <row r="284" spans="1:26" ht="12.75" customHeight="1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</row>
    <row r="285" spans="1:26" ht="12.75" customHeight="1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</row>
    <row r="286" spans="1:26" ht="12.75" customHeight="1">
      <c r="A286" s="9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</row>
    <row r="287" spans="1:26" ht="12.75" customHeight="1">
      <c r="A287" s="97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</row>
    <row r="288" spans="1:26" ht="12.75" customHeight="1">
      <c r="A288" s="97"/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</row>
    <row r="289" spans="1:26" ht="12.75" customHeight="1">
      <c r="A289" s="97"/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</row>
    <row r="290" spans="1:26" ht="12.75" customHeight="1">
      <c r="A290" s="97"/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</row>
    <row r="291" spans="1:26" ht="12.75" customHeight="1">
      <c r="A291" s="97"/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</row>
    <row r="292" spans="1:26" ht="12.75" customHeight="1">
      <c r="A292" s="97"/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</row>
    <row r="293" spans="1:26" ht="12.75" customHeight="1">
      <c r="A293" s="97"/>
      <c r="B293" s="97"/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</row>
    <row r="294" spans="1:26" ht="12.75" customHeight="1">
      <c r="A294" s="97"/>
      <c r="B294" s="97"/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</row>
    <row r="295" spans="1:26" ht="12.75" customHeight="1">
      <c r="A295" s="97"/>
      <c r="B295" s="97"/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</row>
    <row r="296" spans="1:26" ht="12.75" customHeight="1">
      <c r="A296" s="97"/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</row>
    <row r="297" spans="1:26" ht="12.75" customHeight="1">
      <c r="A297" s="97"/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</row>
    <row r="298" spans="1:26" ht="12.75" customHeight="1">
      <c r="A298" s="97"/>
      <c r="B298" s="97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</row>
    <row r="299" spans="1:26" ht="12.75" customHeight="1">
      <c r="A299" s="97"/>
      <c r="B299" s="97"/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</row>
    <row r="300" spans="1:26" ht="12.75" customHeight="1">
      <c r="A300" s="97"/>
      <c r="B300" s="97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</row>
    <row r="301" spans="1:26" ht="12.75" customHeight="1">
      <c r="A301" s="97"/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</row>
    <row r="302" spans="1:26" ht="12.75" customHeight="1">
      <c r="A302" s="97"/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</row>
    <row r="303" spans="1:26" ht="12.75" customHeight="1">
      <c r="A303" s="97"/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</row>
    <row r="304" spans="1:26" ht="12.75" customHeight="1">
      <c r="A304" s="97"/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</row>
    <row r="305" spans="1:26" ht="12.75" customHeight="1">
      <c r="A305" s="97"/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</row>
    <row r="306" spans="1:26" ht="12.75" customHeight="1">
      <c r="A306" s="97"/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</row>
    <row r="307" spans="1:26" ht="12.75" customHeight="1">
      <c r="A307" s="97"/>
      <c r="B307" s="97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</row>
    <row r="308" spans="1:26" ht="12.75" customHeight="1">
      <c r="A308" s="97"/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</row>
    <row r="309" spans="1:26" ht="12.75" customHeight="1">
      <c r="A309" s="97"/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</row>
    <row r="310" spans="1:26" ht="12.75" customHeight="1">
      <c r="A310" s="97"/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</row>
    <row r="311" spans="1:26" ht="12.75" customHeight="1">
      <c r="A311" s="97"/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</row>
    <row r="312" spans="1:26" ht="12.75" customHeight="1">
      <c r="A312" s="97"/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</row>
    <row r="313" spans="1:26" ht="12.75" customHeight="1">
      <c r="A313" s="97"/>
      <c r="B313" s="97"/>
      <c r="C313" s="9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</row>
    <row r="314" spans="1:26" ht="12.75" customHeight="1">
      <c r="A314" s="97"/>
      <c r="B314" s="97"/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</row>
    <row r="315" spans="1:26" ht="12.75" customHeight="1">
      <c r="A315" s="97"/>
      <c r="B315" s="97"/>
      <c r="C315" s="9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</row>
    <row r="316" spans="1:26" ht="12.75" customHeight="1">
      <c r="A316" s="97"/>
      <c r="B316" s="97"/>
      <c r="C316" s="9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</row>
    <row r="317" spans="1:26" ht="12.75" customHeight="1">
      <c r="A317" s="97"/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</row>
    <row r="318" spans="1:26" ht="12.75" customHeight="1">
      <c r="A318" s="97"/>
      <c r="B318" s="97"/>
      <c r="C318" s="9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</row>
    <row r="319" spans="1:26" ht="12.75" customHeight="1">
      <c r="A319" s="97"/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  <c r="Z319" s="97"/>
    </row>
    <row r="320" spans="1:26" ht="12.75" customHeight="1">
      <c r="A320" s="97"/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</row>
    <row r="321" spans="1:26" ht="12.75" customHeight="1">
      <c r="A321" s="97"/>
      <c r="B321" s="97"/>
      <c r="C321" s="9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</row>
    <row r="322" spans="1:26" ht="12.75" customHeight="1">
      <c r="A322" s="97"/>
      <c r="B322" s="97"/>
      <c r="C322" s="9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</row>
    <row r="323" spans="1:26" ht="12.75" customHeight="1">
      <c r="A323" s="97"/>
      <c r="B323" s="97"/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</row>
    <row r="324" spans="1:26" ht="12.75" customHeight="1">
      <c r="A324" s="97"/>
      <c r="B324" s="97"/>
      <c r="C324" s="9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</row>
    <row r="325" spans="1:26" ht="12.75" customHeight="1">
      <c r="A325" s="97"/>
      <c r="B325" s="97"/>
      <c r="C325" s="9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</row>
    <row r="326" spans="1:26" ht="12.75" customHeight="1">
      <c r="A326" s="97"/>
      <c r="B326" s="97"/>
      <c r="C326" s="9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</row>
    <row r="327" spans="1:26" ht="12.75" customHeight="1">
      <c r="A327" s="97"/>
      <c r="B327" s="97"/>
      <c r="C327" s="9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</row>
    <row r="328" spans="1:26" ht="12.75" customHeight="1">
      <c r="A328" s="97"/>
      <c r="B328" s="97"/>
      <c r="C328" s="9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</row>
    <row r="329" spans="1:26" ht="12.75" customHeight="1">
      <c r="A329" s="97"/>
      <c r="B329" s="97"/>
      <c r="C329" s="9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</row>
    <row r="330" spans="1:26" ht="12.75" customHeight="1">
      <c r="A330" s="97"/>
      <c r="B330" s="97"/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</row>
    <row r="331" spans="1:26" ht="12.75" customHeight="1">
      <c r="A331" s="97"/>
      <c r="B331" s="97"/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</row>
    <row r="332" spans="1:26" ht="12.75" customHeight="1">
      <c r="A332" s="97"/>
      <c r="B332" s="97"/>
      <c r="C332" s="97"/>
      <c r="D332" s="97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</row>
    <row r="333" spans="1:26" ht="12.75" customHeight="1">
      <c r="A333" s="97"/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</row>
    <row r="334" spans="1:26" ht="12.75" customHeight="1">
      <c r="A334" s="97"/>
      <c r="B334" s="97"/>
      <c r="C334" s="97"/>
      <c r="D334" s="9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</row>
    <row r="335" spans="1:26" ht="12.75" customHeight="1">
      <c r="A335" s="97"/>
      <c r="B335" s="97"/>
      <c r="C335" s="9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</row>
    <row r="336" spans="1:26" ht="12.75" customHeight="1">
      <c r="A336" s="97"/>
      <c r="B336" s="97"/>
      <c r="C336" s="9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</row>
    <row r="337" spans="1:26" ht="12.75" customHeight="1">
      <c r="A337" s="97"/>
      <c r="B337" s="97"/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</row>
    <row r="338" spans="1:26" ht="12.75" customHeight="1">
      <c r="A338" s="97"/>
      <c r="B338" s="97"/>
      <c r="C338" s="9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</row>
    <row r="339" spans="1:26" ht="12.75" customHeight="1">
      <c r="A339" s="97"/>
      <c r="B339" s="97"/>
      <c r="C339" s="9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</row>
    <row r="340" spans="1:26" ht="12.75" customHeight="1">
      <c r="A340" s="97"/>
      <c r="B340" s="97"/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</row>
    <row r="341" spans="1:26" ht="12.75" customHeight="1">
      <c r="A341" s="97"/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</row>
    <row r="342" spans="1:26" ht="12.75" customHeight="1">
      <c r="A342" s="97"/>
      <c r="B342" s="97"/>
      <c r="C342" s="9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</row>
    <row r="343" spans="1:26" ht="12.75" customHeight="1">
      <c r="A343" s="97"/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</row>
    <row r="344" spans="1:26" ht="12.75" customHeight="1">
      <c r="A344" s="97"/>
      <c r="B344" s="97"/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</row>
    <row r="345" spans="1:26" ht="12.75" customHeight="1">
      <c r="A345" s="97"/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</row>
    <row r="346" spans="1:26" ht="12.75" customHeight="1">
      <c r="A346" s="97"/>
      <c r="B346" s="97"/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</row>
    <row r="347" spans="1:26" ht="12.75" customHeight="1">
      <c r="A347" s="97"/>
      <c r="B347" s="97"/>
      <c r="C347" s="97"/>
      <c r="D347" s="97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</row>
    <row r="348" spans="1:26" ht="12.75" customHeight="1">
      <c r="A348" s="97"/>
      <c r="B348" s="97"/>
      <c r="C348" s="9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</row>
    <row r="349" spans="1:26" ht="12.75" customHeight="1">
      <c r="A349" s="97"/>
      <c r="B349" s="97"/>
      <c r="C349" s="9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</row>
    <row r="350" spans="1:26" ht="12.75" customHeight="1">
      <c r="A350" s="97"/>
      <c r="B350" s="97"/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</row>
    <row r="351" spans="1:26" ht="12.75" customHeight="1">
      <c r="A351" s="97"/>
      <c r="B351" s="97"/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</row>
    <row r="352" spans="1:26" ht="12.75" customHeight="1">
      <c r="A352" s="97"/>
      <c r="B352" s="97"/>
      <c r="C352" s="97"/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</row>
    <row r="353" spans="1:26" ht="12.75" customHeight="1">
      <c r="A353" s="97"/>
      <c r="B353" s="97"/>
      <c r="C353" s="9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</row>
    <row r="354" spans="1:26" ht="12.75" customHeight="1">
      <c r="A354" s="97"/>
      <c r="B354" s="97"/>
      <c r="C354" s="9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</row>
    <row r="355" spans="1:26" ht="15.75" customHeight="1"/>
    <row r="356" spans="1:26" ht="15.75" customHeight="1"/>
    <row r="357" spans="1:26" ht="15.75" customHeight="1"/>
    <row r="358" spans="1:26" ht="15.75" customHeight="1"/>
    <row r="359" spans="1:26" ht="15.75" customHeight="1"/>
    <row r="360" spans="1:26" ht="15.75" customHeight="1"/>
    <row r="361" spans="1:26" ht="15.75" customHeight="1"/>
    <row r="362" spans="1:26" ht="15.75" customHeight="1"/>
    <row r="363" spans="1:26" ht="15.75" customHeight="1"/>
    <row r="364" spans="1:26" ht="15.75" customHeight="1"/>
    <row r="365" spans="1:26" ht="15.75" customHeight="1"/>
    <row r="366" spans="1:26" ht="15.75" customHeight="1"/>
    <row r="367" spans="1:26" ht="15.75" customHeight="1"/>
    <row r="368" spans="1:26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showGridLines="0" workbookViewId="0">
      <selection activeCell="A3" sqref="A3:I25"/>
    </sheetView>
  </sheetViews>
  <sheetFormatPr defaultColWidth="14.44140625" defaultRowHeight="15" customHeight="1"/>
  <cols>
    <col min="1" max="1" width="28" customWidth="1"/>
    <col min="2" max="2" width="16.44140625" customWidth="1"/>
    <col min="3" max="3" width="17.109375" customWidth="1"/>
    <col min="4" max="4" width="18.88671875" customWidth="1"/>
    <col min="5" max="5" width="20.109375" customWidth="1"/>
    <col min="6" max="6" width="17.44140625" customWidth="1"/>
    <col min="7" max="7" width="16.6640625" customWidth="1"/>
    <col min="8" max="8" width="15.33203125" customWidth="1"/>
    <col min="9" max="9" width="20.109375" customWidth="1"/>
    <col min="10" max="26" width="9" customWidth="1"/>
  </cols>
  <sheetData>
    <row r="1" spans="1:26" ht="14.25" customHeight="1">
      <c r="A1" s="93" t="s">
        <v>205</v>
      </c>
      <c r="E1" s="97"/>
      <c r="F1" s="97"/>
      <c r="G1" s="94">
        <f>InfoInicial!E1</f>
        <v>10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3.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6.5" customHeight="1">
      <c r="A3" s="322" t="s">
        <v>547</v>
      </c>
      <c r="B3" s="155"/>
      <c r="C3" s="155"/>
      <c r="D3" s="155"/>
      <c r="E3" s="155"/>
      <c r="F3" s="155"/>
      <c r="G3" s="155"/>
      <c r="H3" s="155"/>
      <c r="I3" s="15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26.25" customHeight="1">
      <c r="A4" s="274" t="s">
        <v>455</v>
      </c>
      <c r="B4" s="324" t="s">
        <v>549</v>
      </c>
      <c r="C4" s="324" t="s">
        <v>550</v>
      </c>
      <c r="D4" s="102" t="s">
        <v>69</v>
      </c>
      <c r="E4" s="102" t="s">
        <v>551</v>
      </c>
      <c r="F4" s="102" t="s">
        <v>552</v>
      </c>
      <c r="G4" s="102" t="s">
        <v>553</v>
      </c>
      <c r="H4" s="326" t="s">
        <v>554</v>
      </c>
      <c r="I4" s="104" t="s">
        <v>429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3.5" customHeight="1">
      <c r="A5" s="328" t="s">
        <v>555</v>
      </c>
      <c r="B5" s="330"/>
      <c r="C5" s="330"/>
      <c r="D5" s="330"/>
      <c r="E5" s="330"/>
      <c r="F5" s="330"/>
      <c r="G5" s="330"/>
      <c r="H5" s="332"/>
      <c r="I5" s="334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2.75" customHeight="1">
      <c r="A6" s="336" t="s">
        <v>560</v>
      </c>
      <c r="B6" s="679">
        <v>0</v>
      </c>
      <c r="C6" s="680">
        <f>SUM('E-Inv AF y Am'!B21,'E-Inv AF y Am'!D21)</f>
        <v>27762072.462799996</v>
      </c>
      <c r="D6" s="679">
        <v>0</v>
      </c>
      <c r="E6" s="679">
        <v>0</v>
      </c>
      <c r="F6" s="679">
        <v>0</v>
      </c>
      <c r="G6" s="679">
        <v>0</v>
      </c>
      <c r="H6" s="679">
        <v>0</v>
      </c>
      <c r="I6" s="681">
        <f>SUM(C6)</f>
        <v>27762072.462799996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2.75" customHeight="1">
      <c r="A7" s="336" t="s">
        <v>563</v>
      </c>
      <c r="B7" s="680">
        <f>'E-Inv AF y Am'!B24</f>
        <v>11104.828985119999</v>
      </c>
      <c r="C7" s="680">
        <f>'E-Inv AF y Am'!B32-'E-Inv AF y Am'!B24</f>
        <v>36770.22999933199</v>
      </c>
      <c r="D7" s="680">
        <f>'E-Inv AF y Am'!C27</f>
        <v>93480</v>
      </c>
      <c r="E7" s="679" t="s">
        <v>278</v>
      </c>
      <c r="F7" s="679" t="s">
        <v>278</v>
      </c>
      <c r="G7" s="679" t="s">
        <v>278</v>
      </c>
      <c r="H7" s="682" t="s">
        <v>278</v>
      </c>
      <c r="I7" s="683">
        <f>SUM(B7:D7)</f>
        <v>141355.05898445199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2.75" customHeight="1">
      <c r="A8" s="328" t="s">
        <v>568</v>
      </c>
      <c r="B8" s="684">
        <f t="shared" ref="B8:D8" si="0">SUM(B6:B7)</f>
        <v>11104.828985119999</v>
      </c>
      <c r="C8" s="685">
        <f t="shared" si="0"/>
        <v>27798842.69279933</v>
      </c>
      <c r="D8" s="685">
        <f t="shared" si="0"/>
        <v>93480</v>
      </c>
      <c r="E8" s="685">
        <v>0</v>
      </c>
      <c r="F8" s="685">
        <v>0</v>
      </c>
      <c r="G8" s="685">
        <v>0</v>
      </c>
      <c r="H8" s="685">
        <v>0</v>
      </c>
      <c r="I8" s="685">
        <f>SUM(I6:I7)</f>
        <v>27903427.521784447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2.75" customHeight="1">
      <c r="A9" s="336"/>
      <c r="B9" s="679"/>
      <c r="C9" s="679"/>
      <c r="D9" s="679"/>
      <c r="E9" s="679"/>
      <c r="F9" s="679"/>
      <c r="G9" s="679"/>
      <c r="H9" s="682"/>
      <c r="I9" s="681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2.75" customHeight="1">
      <c r="A10" s="328" t="s">
        <v>575</v>
      </c>
      <c r="B10" s="679"/>
      <c r="C10" s="679"/>
      <c r="D10" s="679"/>
      <c r="E10" s="679"/>
      <c r="F10" s="679"/>
      <c r="G10" s="679"/>
      <c r="H10" s="682"/>
      <c r="I10" s="681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2.75" customHeight="1">
      <c r="A11" s="336" t="s">
        <v>576</v>
      </c>
      <c r="B11" s="680" t="s">
        <v>278</v>
      </c>
      <c r="C11" s="680">
        <f>'E-InvAT'!B6</f>
        <v>339120</v>
      </c>
      <c r="D11" s="680">
        <f>'E-InvAT'!C6-'E-InvAT'!B6</f>
        <v>84780</v>
      </c>
      <c r="E11" s="680">
        <f>'E-InvAT'!D6-'E-InvAT'!C6</f>
        <v>0</v>
      </c>
      <c r="F11" s="680">
        <f>'E-InvAT'!E6-'E-InvAT'!D6</f>
        <v>0</v>
      </c>
      <c r="G11" s="680">
        <f>'E-InvAT'!F6-'E-InvAT'!E6</f>
        <v>0</v>
      </c>
      <c r="H11" s="680">
        <f>'E-InvAT'!G6-'E-InvAT'!F6</f>
        <v>0</v>
      </c>
      <c r="I11" s="683">
        <f>SUM(B11:H11)</f>
        <v>423900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2.75" customHeight="1">
      <c r="A12" s="336" t="s">
        <v>584</v>
      </c>
      <c r="B12" s="679"/>
      <c r="C12" s="679"/>
      <c r="D12" s="679">
        <f>'E-InvAT'!C7-'E-InvAT'!C19-'E-InvAT'!C20</f>
        <v>993463.99611181463</v>
      </c>
      <c r="E12" s="679">
        <f>'E-InvAT'!D7-'E-InvAT'!D19-'E-InvAT'!D20-D12</f>
        <v>214108.18591545289</v>
      </c>
      <c r="F12" s="679">
        <f>'E-InvAT'!E7-'E-InvAT'!E19-'E-InvAT'!E20-('E-InvAT'!D7-'E-InvAT'!D19-'E-InvAT'!D20)</f>
        <v>438.33741436433047</v>
      </c>
      <c r="G12" s="679">
        <f>'E-InvAT'!F7-'E-InvAT'!F19-'E-InvAT'!F20-'E-InvAT'!E7+'E-InvAT'!E19+'E-InvAT'!E20</f>
        <v>-0.10189184256887529</v>
      </c>
      <c r="H12" s="679">
        <f>'E-InvAT'!G7-'E-InvAT'!G19-'E-InvAT'!G20-'E-InvAT'!F7+'E-InvAT'!F19+'E-InvAT'!F20</f>
        <v>-1.3096723705530167E-10</v>
      </c>
      <c r="I12" s="681">
        <f>SUM(C12:H12)</f>
        <v>1208010.417549789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2.75" customHeight="1">
      <c r="A13" s="336" t="s">
        <v>591</v>
      </c>
      <c r="B13" s="679"/>
      <c r="C13" s="679"/>
      <c r="D13" s="679"/>
      <c r="E13" s="679"/>
      <c r="F13" s="679"/>
      <c r="G13" s="679"/>
      <c r="H13" s="682"/>
      <c r="I13" s="681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2.75" customHeight="1">
      <c r="A14" s="336" t="s">
        <v>592</v>
      </c>
      <c r="B14" s="679" t="s">
        <v>278</v>
      </c>
      <c r="C14" s="680">
        <f>'E-InvAT'!B10</f>
        <v>177949.98552863329</v>
      </c>
      <c r="D14" s="686">
        <f>'E-InvAT'!C10-'E-InvAT'!B10</f>
        <v>1149762.6035063737</v>
      </c>
      <c r="E14" s="680">
        <f>'E-InvAT'!D10-'E-InvAT'!C10</f>
        <v>0</v>
      </c>
      <c r="F14" s="680">
        <f>'E-InvAT'!E10-'E-InvAT'!D10</f>
        <v>0</v>
      </c>
      <c r="G14" s="680">
        <f>'E-InvAT'!F10-'E-InvAT'!E10</f>
        <v>0</v>
      </c>
      <c r="H14" s="680">
        <f>'E-InvAT'!G10-'E-InvAT'!F10</f>
        <v>0</v>
      </c>
      <c r="I14" s="683">
        <f t="shared" ref="I14:I15" si="1">SUM(C14:H14)</f>
        <v>1327712.5890350069</v>
      </c>
      <c r="J14" s="132" t="s">
        <v>601</v>
      </c>
      <c r="K14" s="139" t="s">
        <v>415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2.75" customHeight="1">
      <c r="A15" s="336" t="s">
        <v>602</v>
      </c>
      <c r="B15" s="679" t="s">
        <v>278</v>
      </c>
      <c r="C15" s="687">
        <f>0.8*'E-InvAT'!C11</f>
        <v>162486.37063403093</v>
      </c>
      <c r="D15" s="679">
        <f>0.2*'E-InvAT'!C11</f>
        <v>40621.592658507732</v>
      </c>
      <c r="E15" s="679">
        <f>'E-InvAT'!D11-'E-InvAT'!C11</f>
        <v>4449.2491192620655</v>
      </c>
      <c r="F15" s="679">
        <f>'E-InvAT'!E11-'E-InvAT'!D11</f>
        <v>0</v>
      </c>
      <c r="G15" s="679">
        <f>'E-InvAT'!F11-'E-InvAT'!E11</f>
        <v>0</v>
      </c>
      <c r="H15" s="682">
        <f>'E-InvAT'!G11-'E-InvAT'!F11</f>
        <v>0</v>
      </c>
      <c r="I15" s="681">
        <f t="shared" si="1"/>
        <v>207557.21241180072</v>
      </c>
      <c r="J15" s="132" t="s">
        <v>612</v>
      </c>
      <c r="K15" s="97"/>
      <c r="L15" s="382" t="s">
        <v>613</v>
      </c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2.75" customHeight="1">
      <c r="A16" s="336" t="s">
        <v>614</v>
      </c>
      <c r="B16" s="679"/>
      <c r="C16" s="679"/>
      <c r="D16" s="679">
        <f>'E-InvAT'!C12-'E-InvAT'!C17-'E-InvAT'!B12+'E-InvAT'!B17</f>
        <v>61723.621944596744</v>
      </c>
      <c r="E16" s="679">
        <f>'E-InvAT'!D12-'E-InvAT'!D17-'E-InvAT'!C12+'E-InvAT'!C17</f>
        <v>599.00556392535145</v>
      </c>
      <c r="F16" s="679">
        <f>'E-InvAT'!E12-'E-InvAT'!E17-'E-InvAT'!D12+'E-InvAT'!D17</f>
        <v>0</v>
      </c>
      <c r="G16" s="679">
        <f>'E-InvAT'!F12-'E-InvAT'!F17-'E-InvAT'!E12+'E-InvAT'!E17</f>
        <v>0</v>
      </c>
      <c r="H16" s="679">
        <f>'E-InvAT'!G12-'E-InvAT'!G17-'E-InvAT'!F12+'E-InvAT'!F17</f>
        <v>0</v>
      </c>
      <c r="I16" s="681">
        <f>SUM(B16:H16)</f>
        <v>62322.627508522099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2.75" customHeight="1">
      <c r="A17" s="336" t="s">
        <v>617</v>
      </c>
      <c r="B17" s="679"/>
      <c r="C17" s="679"/>
      <c r="D17" s="679">
        <f>'E-InvAT'!C13-'E-InvAT'!C18</f>
        <v>68457.250688585671</v>
      </c>
      <c r="E17" s="679">
        <f>'E-InvAT'!D13-'E-InvAT'!D18-'E-InvAT'!C13+'E-InvAT'!C18</f>
        <v>-5179.5124656928801</v>
      </c>
      <c r="F17" s="679">
        <f>'E-InvAT'!E13-'E-InvAT'!E18-'E-InvAT'!D13+'E-InvAT'!D18</f>
        <v>17.520203604312883</v>
      </c>
      <c r="G17" s="679">
        <f>'E-InvAT'!F13-'E-InvAT'!F18-'E-InvAT'!E13+'E-InvAT'!E18</f>
        <v>0</v>
      </c>
      <c r="H17" s="679">
        <f>'E-InvAT'!G13-'E-InvAT'!G18-'E-InvAT'!F13+'E-InvAT'!F18</f>
        <v>0</v>
      </c>
      <c r="I17" s="681">
        <f>SUM(D17:H17)</f>
        <v>63295.258426497101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2.75" customHeight="1">
      <c r="A18" s="328" t="s">
        <v>625</v>
      </c>
      <c r="B18" s="684">
        <f t="shared" ref="B18:I18" si="2">SUM(B11:B17)</f>
        <v>0</v>
      </c>
      <c r="C18" s="684">
        <f t="shared" si="2"/>
        <v>679556.35616266425</v>
      </c>
      <c r="D18" s="684">
        <f t="shared" si="2"/>
        <v>2398809.0649098777</v>
      </c>
      <c r="E18" s="684">
        <f t="shared" si="2"/>
        <v>213976.92813294742</v>
      </c>
      <c r="F18" s="684">
        <f t="shared" si="2"/>
        <v>455.85761796864335</v>
      </c>
      <c r="G18" s="684">
        <f t="shared" si="2"/>
        <v>-0.10189184256887529</v>
      </c>
      <c r="H18" s="684">
        <f t="shared" si="2"/>
        <v>-1.3096723705530167E-10</v>
      </c>
      <c r="I18" s="688">
        <f t="shared" si="2"/>
        <v>3292798.1049316162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2.75" customHeight="1">
      <c r="A19" s="336"/>
      <c r="B19" s="679"/>
      <c r="C19" s="679"/>
      <c r="D19" s="679"/>
      <c r="E19" s="679"/>
      <c r="F19" s="679"/>
      <c r="G19" s="679"/>
      <c r="H19" s="682"/>
      <c r="I19" s="681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2.75" customHeight="1">
      <c r="A20" s="328" t="s">
        <v>627</v>
      </c>
      <c r="B20" s="679"/>
      <c r="C20" s="679"/>
      <c r="D20" s="679"/>
      <c r="E20" s="679"/>
      <c r="F20" s="679"/>
      <c r="G20" s="679"/>
      <c r="H20" s="682"/>
      <c r="I20" s="681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2.75" customHeight="1">
      <c r="A21" s="336" t="s">
        <v>630</v>
      </c>
      <c r="B21" s="679">
        <f t="shared" ref="B21:H21" si="3">0.21*B8</f>
        <v>2332.0140868751996</v>
      </c>
      <c r="C21" s="679">
        <f t="shared" si="3"/>
        <v>5837756.9654878592</v>
      </c>
      <c r="D21" s="679">
        <f t="shared" si="3"/>
        <v>19630.8</v>
      </c>
      <c r="E21" s="679">
        <f t="shared" si="3"/>
        <v>0</v>
      </c>
      <c r="F21" s="679">
        <f t="shared" si="3"/>
        <v>0</v>
      </c>
      <c r="G21" s="679">
        <f t="shared" si="3"/>
        <v>0</v>
      </c>
      <c r="H21" s="679">
        <f t="shared" si="3"/>
        <v>0</v>
      </c>
      <c r="I21" s="681">
        <f t="shared" ref="I21:I23" si="4">SUM(B21:H21)</f>
        <v>5859719.7795747342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2.75" customHeight="1">
      <c r="A22" s="336" t="s">
        <v>634</v>
      </c>
      <c r="B22" s="687">
        <f t="shared" ref="B22:H22" si="5">0.21*B18</f>
        <v>0</v>
      </c>
      <c r="C22" s="687">
        <f t="shared" si="5"/>
        <v>142706.83479415948</v>
      </c>
      <c r="D22" s="687">
        <f t="shared" si="5"/>
        <v>503749.9036310743</v>
      </c>
      <c r="E22" s="687">
        <f t="shared" si="5"/>
        <v>44935.154907918957</v>
      </c>
      <c r="F22" s="687">
        <f t="shared" si="5"/>
        <v>95.730099773415105</v>
      </c>
      <c r="G22" s="687">
        <f t="shared" si="5"/>
        <v>-2.139728693946381E-2</v>
      </c>
      <c r="H22" s="687">
        <f t="shared" si="5"/>
        <v>-2.7503119781613348E-11</v>
      </c>
      <c r="I22" s="689">
        <f t="shared" si="4"/>
        <v>691487.60203563923</v>
      </c>
      <c r="J22" s="132" t="s">
        <v>642</v>
      </c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2.75" customHeight="1">
      <c r="A23" s="328" t="s">
        <v>643</v>
      </c>
      <c r="B23" s="684">
        <f t="shared" ref="B23:H23" si="6">SUM(B21:B22)</f>
        <v>2332.0140868751996</v>
      </c>
      <c r="C23" s="684">
        <f t="shared" si="6"/>
        <v>5980463.8002820183</v>
      </c>
      <c r="D23" s="684">
        <f t="shared" si="6"/>
        <v>523380.70363107428</v>
      </c>
      <c r="E23" s="684">
        <f t="shared" si="6"/>
        <v>44935.154907918957</v>
      </c>
      <c r="F23" s="684">
        <f t="shared" si="6"/>
        <v>95.730099773415105</v>
      </c>
      <c r="G23" s="684">
        <f t="shared" si="6"/>
        <v>-2.139728693946381E-2</v>
      </c>
      <c r="H23" s="684">
        <f t="shared" si="6"/>
        <v>-2.7503119781613348E-11</v>
      </c>
      <c r="I23" s="688">
        <f t="shared" si="4"/>
        <v>6551207.3816103721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2.75" customHeight="1">
      <c r="A24" s="328"/>
      <c r="B24" s="679"/>
      <c r="C24" s="679"/>
      <c r="D24" s="679"/>
      <c r="E24" s="679"/>
      <c r="F24" s="679"/>
      <c r="G24" s="679"/>
      <c r="H24" s="682"/>
      <c r="I24" s="681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3.5" customHeight="1">
      <c r="A25" s="406" t="s">
        <v>648</v>
      </c>
      <c r="B25" s="690">
        <f t="shared" ref="B25:I25" si="7">SUM(B8,B18,B23)</f>
        <v>13436.843071995198</v>
      </c>
      <c r="C25" s="690">
        <f t="shared" si="7"/>
        <v>34458862.849244013</v>
      </c>
      <c r="D25" s="690">
        <f t="shared" si="7"/>
        <v>3015669.7685409519</v>
      </c>
      <c r="E25" s="690">
        <f t="shared" si="7"/>
        <v>258912.08304086636</v>
      </c>
      <c r="F25" s="690">
        <f t="shared" si="7"/>
        <v>551.58771774205843</v>
      </c>
      <c r="G25" s="690">
        <f t="shared" si="7"/>
        <v>-0.1232891295083391</v>
      </c>
      <c r="H25" s="690">
        <f t="shared" si="7"/>
        <v>-1.5847035683691502E-10</v>
      </c>
      <c r="I25" s="690">
        <f t="shared" si="7"/>
        <v>37747433.008326434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2.75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2.75" customHeight="1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2.75" customHeight="1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2.75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2.75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2.75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2.75" customHeight="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2.7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2.75" customHeigh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2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2.7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2.7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2.7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2.7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2.7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2.7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2.7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2.7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2.7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2.7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2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2.7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2.7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2.7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2.7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>
      <selection activeCell="A2" sqref="A2:G30"/>
    </sheetView>
  </sheetViews>
  <sheetFormatPr defaultColWidth="14.44140625" defaultRowHeight="15" customHeight="1"/>
  <cols>
    <col min="1" max="1" width="28" customWidth="1"/>
    <col min="2" max="7" width="13.88671875" customWidth="1"/>
    <col min="8" max="26" width="9" customWidth="1"/>
  </cols>
  <sheetData>
    <row r="1" spans="1:26" ht="14.25" customHeight="1">
      <c r="A1" s="93" t="s">
        <v>205</v>
      </c>
      <c r="E1" s="97"/>
      <c r="F1" s="97"/>
      <c r="G1" s="427">
        <f>InfoInicial!E1</f>
        <v>10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6.5" customHeight="1">
      <c r="A2" s="691" t="s">
        <v>663</v>
      </c>
      <c r="B2" s="692"/>
      <c r="C2" s="692"/>
      <c r="D2" s="692"/>
      <c r="E2" s="692"/>
      <c r="F2" s="692"/>
      <c r="G2" s="693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5.75" customHeight="1">
      <c r="A3" s="694"/>
      <c r="B3" s="695" t="s">
        <v>666</v>
      </c>
      <c r="C3" s="695"/>
      <c r="D3" s="695"/>
      <c r="E3" s="695"/>
      <c r="F3" s="695"/>
      <c r="G3" s="6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3.5" customHeight="1">
      <c r="A4" s="697" t="s">
        <v>455</v>
      </c>
      <c r="B4" s="698" t="s">
        <v>226</v>
      </c>
      <c r="C4" s="699" t="s">
        <v>69</v>
      </c>
      <c r="D4" s="699" t="s">
        <v>551</v>
      </c>
      <c r="E4" s="699" t="s">
        <v>552</v>
      </c>
      <c r="F4" s="699" t="s">
        <v>553</v>
      </c>
      <c r="G4" s="700" t="s">
        <v>554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3.5" customHeight="1">
      <c r="A5" s="701" t="s">
        <v>669</v>
      </c>
      <c r="B5" s="702"/>
      <c r="C5" s="703"/>
      <c r="D5" s="703"/>
      <c r="E5" s="703"/>
      <c r="F5" s="703"/>
      <c r="G5" s="704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2.75" customHeight="1">
      <c r="A6" s="705" t="s">
        <v>670</v>
      </c>
      <c r="B6" s="706"/>
      <c r="C6" s="679">
        <f>'E-Costos'!B7*InfoInicial!$B$3</f>
        <v>439571.56177554099</v>
      </c>
      <c r="D6" s="679">
        <f>'E-Costos'!C7*InfoInicial!$B$3</f>
        <v>557641.12635000004</v>
      </c>
      <c r="E6" s="679">
        <f>'E-Costos'!D7*InfoInicial!$B$3</f>
        <v>557641.12635000004</v>
      </c>
      <c r="F6" s="679">
        <f>'E-Costos'!E7*InfoInicial!$B$3</f>
        <v>557641.12635000004</v>
      </c>
      <c r="G6" s="707">
        <f>'E-Costos'!F7*InfoInicial!$B$3</f>
        <v>557641.12635000004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2.75" customHeight="1">
      <c r="A7" s="705" t="s">
        <v>585</v>
      </c>
      <c r="B7" s="706"/>
      <c r="C7" s="679">
        <f>'E-Costos'!B12*InfoInicial!$B$3</f>
        <v>74856.186790181993</v>
      </c>
      <c r="D7" s="679">
        <f>'E-Costos'!C12*InfoInicial!$B$3</f>
        <v>74856.186790181993</v>
      </c>
      <c r="E7" s="679">
        <f>'E-Costos'!D12*InfoInicial!$B$3</f>
        <v>74856.186790181993</v>
      </c>
      <c r="F7" s="679">
        <f>'E-Costos'!E12*InfoInicial!$B$3</f>
        <v>74856.186790181993</v>
      </c>
      <c r="G7" s="707">
        <f>'E-Costos'!F12*InfoInicial!$B$3</f>
        <v>74856.186790181993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2.75" customHeight="1">
      <c r="A8" s="705" t="s">
        <v>586</v>
      </c>
      <c r="B8" s="706"/>
      <c r="C8" s="679">
        <f>'E-Costos'!B13*InfoInicial!$B$3</f>
        <v>21845.322800824313</v>
      </c>
      <c r="D8" s="679">
        <f>'E-Costos'!C13*InfoInicial!$B$3</f>
        <v>27306.653501030392</v>
      </c>
      <c r="E8" s="679">
        <f>'E-Costos'!D13*InfoInicial!$B$3</f>
        <v>27306.653501030392</v>
      </c>
      <c r="F8" s="679">
        <f>'E-Costos'!E13*InfoInicial!$B$3</f>
        <v>27306.653501030392</v>
      </c>
      <c r="G8" s="707">
        <f>'E-Costos'!F13*InfoInicial!$B$3</f>
        <v>27306.653501030392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2.75" customHeight="1">
      <c r="A9" s="705" t="s">
        <v>593</v>
      </c>
      <c r="B9" s="706"/>
      <c r="C9" s="679" t="s">
        <v>278</v>
      </c>
      <c r="D9" s="679" t="s">
        <v>278</v>
      </c>
      <c r="E9" s="679" t="s">
        <v>278</v>
      </c>
      <c r="F9" s="679" t="s">
        <v>278</v>
      </c>
      <c r="G9" s="707" t="s">
        <v>278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2.75" customHeight="1">
      <c r="A10" s="705" t="s">
        <v>673</v>
      </c>
      <c r="B10" s="706"/>
      <c r="C10" s="679" t="s">
        <v>278</v>
      </c>
      <c r="D10" s="679" t="s">
        <v>278</v>
      </c>
      <c r="E10" s="679" t="s">
        <v>278</v>
      </c>
      <c r="F10" s="679" t="s">
        <v>278</v>
      </c>
      <c r="G10" s="707" t="s">
        <v>278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2.75" customHeight="1">
      <c r="A11" s="705" t="s">
        <v>674</v>
      </c>
      <c r="B11" s="706"/>
      <c r="C11" s="679" t="s">
        <v>278</v>
      </c>
      <c r="D11" s="679" t="s">
        <v>278</v>
      </c>
      <c r="E11" s="679" t="s">
        <v>278</v>
      </c>
      <c r="F11" s="679" t="s">
        <v>278</v>
      </c>
      <c r="G11" s="707" t="s">
        <v>278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2.75" customHeight="1">
      <c r="A12" s="708" t="s">
        <v>368</v>
      </c>
      <c r="B12" s="706"/>
      <c r="C12" s="679">
        <f t="shared" ref="C12:G12" si="0">SUM(C6:C11)</f>
        <v>536273.07136654726</v>
      </c>
      <c r="D12" s="679">
        <f t="shared" si="0"/>
        <v>659803.96664121246</v>
      </c>
      <c r="E12" s="679">
        <f t="shared" si="0"/>
        <v>659803.96664121246</v>
      </c>
      <c r="F12" s="679">
        <f t="shared" si="0"/>
        <v>659803.96664121246</v>
      </c>
      <c r="G12" s="707">
        <f t="shared" si="0"/>
        <v>659803.96664121246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2.75" customHeight="1">
      <c r="A13" s="705" t="s">
        <v>677</v>
      </c>
      <c r="B13" s="706"/>
      <c r="C13" s="679">
        <f>('E-Costos'!G35-'E-Costos'!G26)*InfoInicial!B3</f>
        <v>19810.55501074623</v>
      </c>
      <c r="D13" s="679"/>
      <c r="E13" s="679"/>
      <c r="F13" s="679"/>
      <c r="G13" s="707"/>
      <c r="H13" s="97"/>
      <c r="I13" s="97"/>
      <c r="J13" s="223">
        <f>'E-IVA '!E25</f>
        <v>142780.31980891945</v>
      </c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2.75" customHeight="1">
      <c r="A14" s="705" t="s">
        <v>678</v>
      </c>
      <c r="B14" s="706"/>
      <c r="C14" s="679"/>
      <c r="D14" s="679"/>
      <c r="E14" s="679"/>
      <c r="F14" s="679"/>
      <c r="G14" s="70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2.75" customHeight="1">
      <c r="A15" s="705" t="s">
        <v>679</v>
      </c>
      <c r="B15" s="706"/>
      <c r="C15" s="687">
        <v>0</v>
      </c>
      <c r="D15" s="679">
        <f>'E-InvAT'!C32</f>
        <v>8524.0247822723722</v>
      </c>
      <c r="E15" s="679">
        <f>'E-InvAT'!D32</f>
        <v>141.26250536969928</v>
      </c>
      <c r="F15" s="679">
        <f>'E-InvAT'!E32</f>
        <v>0</v>
      </c>
      <c r="G15" s="707">
        <f>'E-InvAT'!F32</f>
        <v>0</v>
      </c>
      <c r="H15" s="132" t="s">
        <v>683</v>
      </c>
      <c r="I15" s="97"/>
      <c r="J15" s="139" t="s">
        <v>415</v>
      </c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2.75" customHeight="1">
      <c r="A16" s="705" t="s">
        <v>684</v>
      </c>
      <c r="B16" s="706"/>
      <c r="C16" s="687">
        <v>0</v>
      </c>
      <c r="D16" s="679">
        <f>'E-InvAT'!C33</f>
        <v>6020.7315795398299</v>
      </c>
      <c r="E16" s="679">
        <f>'E-InvAT'!D33</f>
        <v>227.56887890352209</v>
      </c>
      <c r="F16" s="679">
        <f>'E-InvAT'!E33</f>
        <v>0</v>
      </c>
      <c r="G16" s="707">
        <f>'E-InvAT'!F33</f>
        <v>0</v>
      </c>
      <c r="H16" s="132" t="s">
        <v>683</v>
      </c>
      <c r="I16" s="97"/>
      <c r="J16" s="139" t="s">
        <v>415</v>
      </c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2.75" customHeight="1">
      <c r="A17" s="708" t="s">
        <v>685</v>
      </c>
      <c r="B17" s="706"/>
      <c r="C17" s="679">
        <f t="shared" ref="C17:G17" si="1">C12-C13-C15-C16</f>
        <v>516462.51635580102</v>
      </c>
      <c r="D17" s="679">
        <f t="shared" si="1"/>
        <v>645259.21027940023</v>
      </c>
      <c r="E17" s="679">
        <f t="shared" si="1"/>
        <v>659435.13525693922</v>
      </c>
      <c r="F17" s="679">
        <f t="shared" si="1"/>
        <v>659803.96664121246</v>
      </c>
      <c r="G17" s="707">
        <f t="shared" si="1"/>
        <v>659803.96664121246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2.75" customHeight="1">
      <c r="A18" s="708" t="s">
        <v>686</v>
      </c>
      <c r="B18" s="706"/>
      <c r="C18" s="679">
        <f>InfoInicial!$B$3*('E-Costos'!B54+'E-Costos'!B55+'E-Costos'!B57)</f>
        <v>17858.296441383449</v>
      </c>
      <c r="D18" s="679">
        <f>InfoInicial!$B$3*('E-Costos'!C54+'E-Costos'!C55+'E-Costos'!C57)</f>
        <v>19742.210875424909</v>
      </c>
      <c r="E18" s="679">
        <f>InfoInicial!$B$3*('E-Costos'!D54+'E-Costos'!D55+'E-Costos'!D57)</f>
        <v>19742.210875424909</v>
      </c>
      <c r="F18" s="679">
        <f>InfoInicial!$B$3*('E-Costos'!E54+'E-Costos'!E55+'E-Costos'!E57)</f>
        <v>19742.210875424909</v>
      </c>
      <c r="G18" s="707">
        <f>InfoInicial!$B$3*('E-Costos'!F54+'E-Costos'!F55+'E-Costos'!F57)</f>
        <v>19742.210875424909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2.75" customHeight="1">
      <c r="A19" s="708" t="s">
        <v>688</v>
      </c>
      <c r="B19" s="706"/>
      <c r="C19" s="679">
        <f>InfoInicial!$B$3*('E-Costos'!B70+'E-Costos'!B71+'E-Costos'!B73)</f>
        <v>181744.30314776115</v>
      </c>
      <c r="D19" s="679">
        <f>InfoInicial!$B$3*('E-Costos'!C70+'E-Costos'!C71+'E-Costos'!C73)</f>
        <v>222312.10980126218</v>
      </c>
      <c r="E19" s="679">
        <f>InfoInicial!$B$3*('E-Costos'!D70+'E-Costos'!D71+'E-Costos'!D73)</f>
        <v>222312.10980126218</v>
      </c>
      <c r="F19" s="679">
        <f>InfoInicial!$B$3*('E-Costos'!E70+'E-Costos'!E71+'E-Costos'!E73)</f>
        <v>222312.10980126218</v>
      </c>
      <c r="G19" s="707">
        <f>InfoInicial!$B$3*('E-Costos'!F70+'E-Costos'!F71+'E-Costos'!F73)</f>
        <v>222312.10980126218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2.75" customHeight="1">
      <c r="A20" s="708"/>
      <c r="B20" s="706"/>
      <c r="C20" s="679"/>
      <c r="D20" s="679"/>
      <c r="E20" s="679"/>
      <c r="F20" s="679"/>
      <c r="G20" s="70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2.75" customHeight="1">
      <c r="A21" s="705" t="s">
        <v>690</v>
      </c>
      <c r="B21" s="706"/>
      <c r="C21" s="679">
        <f t="shared" ref="C21:G21" si="2">SUM(C17:C19)</f>
        <v>716065.1159449456</v>
      </c>
      <c r="D21" s="679">
        <f t="shared" si="2"/>
        <v>887313.53095608728</v>
      </c>
      <c r="E21" s="679">
        <f t="shared" si="2"/>
        <v>901489.45593362628</v>
      </c>
      <c r="F21" s="679">
        <f t="shared" si="2"/>
        <v>901858.28731789952</v>
      </c>
      <c r="G21" s="707">
        <f t="shared" si="2"/>
        <v>901858.28731789952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2.75" customHeight="1">
      <c r="A22" s="705" t="s">
        <v>693</v>
      </c>
      <c r="B22" s="706"/>
      <c r="C22" s="679">
        <f>InfoInicial!$B$3*'Conformación de Datos'!C17</f>
        <v>3560760</v>
      </c>
      <c r="D22" s="679">
        <f>InfoInicial!$B$3*'Conformación de Datos'!D17</f>
        <v>4450950</v>
      </c>
      <c r="E22" s="679">
        <f>InfoInicial!$B$3*'Conformación de Datos'!E17</f>
        <v>4450950</v>
      </c>
      <c r="F22" s="679">
        <f>InfoInicial!$B$3*'Conformación de Datos'!F17</f>
        <v>4450950</v>
      </c>
      <c r="G22" s="707">
        <f>InfoInicial!$B$3*'Conformación de Datos'!G17</f>
        <v>4450950</v>
      </c>
      <c r="H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2.75" customHeight="1">
      <c r="A23" s="708" t="s">
        <v>695</v>
      </c>
      <c r="B23" s="706"/>
      <c r="C23" s="679">
        <f t="shared" ref="C23:G23" si="3">C22-C21</f>
        <v>2844694.8840550543</v>
      </c>
      <c r="D23" s="679">
        <f t="shared" si="3"/>
        <v>3563636.4690439128</v>
      </c>
      <c r="E23" s="679">
        <f t="shared" si="3"/>
        <v>3549460.5440663737</v>
      </c>
      <c r="F23" s="679">
        <f t="shared" si="3"/>
        <v>3549091.7126821005</v>
      </c>
      <c r="G23" s="707">
        <f t="shared" si="3"/>
        <v>3549091.7126821005</v>
      </c>
      <c r="H23" s="97"/>
      <c r="I23" s="452">
        <f>C25+C26-C23</f>
        <v>3661481.6339449133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2.75" customHeight="1">
      <c r="A24" s="705"/>
      <c r="B24" s="706"/>
      <c r="C24" s="679"/>
      <c r="D24" s="679"/>
      <c r="E24" s="679"/>
      <c r="F24" s="679"/>
      <c r="G24" s="70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2.75" customHeight="1">
      <c r="A25" s="709" t="s">
        <v>697</v>
      </c>
      <c r="B25" s="706"/>
      <c r="C25" s="679">
        <f>'E-Cal Inv.'!B23+'E-Cal Inv.'!C23</f>
        <v>5982795.8143688934</v>
      </c>
      <c r="D25" s="679">
        <f t="shared" ref="D25:G25" si="4">IF(C27&lt;0,0,C27)</f>
        <v>3661481.6339449133</v>
      </c>
      <c r="E25" s="679">
        <f t="shared" si="4"/>
        <v>142780.31980891945</v>
      </c>
      <c r="F25" s="679">
        <f t="shared" si="4"/>
        <v>0</v>
      </c>
      <c r="G25" s="707">
        <f t="shared" si="4"/>
        <v>0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2.75" customHeight="1">
      <c r="A26" s="709" t="s">
        <v>700</v>
      </c>
      <c r="B26" s="679">
        <f>'E-Cal Inv.'!B23+'E-Cal Inv.'!C23</f>
        <v>5982795.8143688934</v>
      </c>
      <c r="C26" s="679">
        <f>'E-Cal Inv.'!D23</f>
        <v>523380.70363107428</v>
      </c>
      <c r="D26" s="679">
        <f>'E-Cal Inv.'!E23</f>
        <v>44935.154907918957</v>
      </c>
      <c r="E26" s="679">
        <f>'E-Cal Inv.'!F23</f>
        <v>95.730099773415105</v>
      </c>
      <c r="F26" s="679">
        <f>'E-Cal Inv.'!G23</f>
        <v>-2.139728693946381E-2</v>
      </c>
      <c r="G26" s="707">
        <f>'E-Cal Inv.'!H23</f>
        <v>-2.7503119781613348E-11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2.75" customHeight="1">
      <c r="A27" s="708" t="s">
        <v>703</v>
      </c>
      <c r="B27" s="679">
        <f>'E-Cal Inv.'!B23+'E-Cal Inv.'!C23</f>
        <v>5982795.8143688934</v>
      </c>
      <c r="C27" s="679">
        <f t="shared" ref="C27:G27" si="5">IF(C25+C26-C23&gt;0,C25+C26-C23,0)</f>
        <v>3661481.6339449133</v>
      </c>
      <c r="D27" s="679">
        <f t="shared" si="5"/>
        <v>142780.31980891945</v>
      </c>
      <c r="E27" s="679">
        <f t="shared" si="5"/>
        <v>0</v>
      </c>
      <c r="F27" s="679">
        <f t="shared" si="5"/>
        <v>0</v>
      </c>
      <c r="G27" s="679">
        <f t="shared" si="5"/>
        <v>0</v>
      </c>
      <c r="H27" s="132" t="s">
        <v>704</v>
      </c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2.75" customHeight="1">
      <c r="A28" s="708" t="s">
        <v>706</v>
      </c>
      <c r="B28" s="706"/>
      <c r="C28" s="679">
        <f t="shared" ref="C28:G28" si="6">IF(C25+C26&gt;C23,C23,IF(C23-C25-C26&gt;0,C25+C26,0))</f>
        <v>2844694.8840550543</v>
      </c>
      <c r="D28" s="679">
        <f t="shared" si="6"/>
        <v>3563636.4690439128</v>
      </c>
      <c r="E28" s="679">
        <f t="shared" si="6"/>
        <v>142876.04990869286</v>
      </c>
      <c r="F28" s="679">
        <f t="shared" si="6"/>
        <v>-2.139728693946381E-2</v>
      </c>
      <c r="G28" s="679">
        <f t="shared" si="6"/>
        <v>-2.7503119781613348E-11</v>
      </c>
      <c r="H28" s="139" t="s">
        <v>415</v>
      </c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2.75" customHeight="1">
      <c r="A29" s="705"/>
      <c r="B29" s="706"/>
      <c r="C29" s="679"/>
      <c r="D29" s="679"/>
      <c r="E29" s="679"/>
      <c r="F29" s="679"/>
      <c r="G29" s="70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3.5" customHeight="1">
      <c r="A30" s="710" t="s">
        <v>709</v>
      </c>
      <c r="B30" s="711">
        <f t="shared" ref="B30:G30" si="7">IF(B23-B27-B28&gt;0,B23-B27-B28,0)</f>
        <v>0</v>
      </c>
      <c r="C30" s="711">
        <f t="shared" si="7"/>
        <v>0</v>
      </c>
      <c r="D30" s="711">
        <f t="shared" si="7"/>
        <v>0</v>
      </c>
      <c r="E30" s="711">
        <f t="shared" si="7"/>
        <v>3406584.4941576808</v>
      </c>
      <c r="F30" s="711">
        <f t="shared" si="7"/>
        <v>3549091.7340793875</v>
      </c>
      <c r="G30" s="711">
        <f t="shared" si="7"/>
        <v>3549091.7126821005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2.75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2.75" customHeight="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2.7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2.75" customHeight="1">
      <c r="A34" s="97"/>
      <c r="B34" s="97"/>
      <c r="C34" s="223">
        <f>'E-IVA '!B17</f>
        <v>0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2.75" customHeigh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2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2.7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2.7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2.7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2.7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2.7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2.7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2.7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2.7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2.7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2.7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2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2.7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2.7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2.7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2.7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2.7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12.7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12.7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12.7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 ht="12.7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showGridLines="0" workbookViewId="0">
      <selection activeCell="C33" sqref="C33"/>
    </sheetView>
  </sheetViews>
  <sheetFormatPr defaultColWidth="14.44140625" defaultRowHeight="15" customHeight="1"/>
  <cols>
    <col min="1" max="1" width="45.44140625" customWidth="1"/>
    <col min="2" max="2" width="23.5546875" customWidth="1"/>
    <col min="3" max="3" width="18.109375" customWidth="1"/>
    <col min="4" max="4" width="17.6640625" customWidth="1"/>
    <col min="5" max="5" width="19.33203125" customWidth="1"/>
    <col min="6" max="6" width="15.88671875" customWidth="1"/>
    <col min="7" max="7" width="16" customWidth="1"/>
    <col min="8" max="26" width="9" customWidth="1"/>
  </cols>
  <sheetData>
    <row r="1" spans="1:26" ht="14.25" customHeight="1">
      <c r="A1" s="93" t="s">
        <v>205</v>
      </c>
      <c r="E1" s="94">
        <f>InfoInicial!E1</f>
        <v>10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3.5" customHeight="1">
      <c r="A2" s="9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6.5" customHeight="1">
      <c r="A3" s="712" t="s">
        <v>672</v>
      </c>
      <c r="B3" s="692"/>
      <c r="C3" s="692"/>
      <c r="D3" s="692"/>
      <c r="E3" s="692"/>
      <c r="F3" s="692"/>
      <c r="G3" s="693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3.5" customHeight="1">
      <c r="A4" s="713" t="s">
        <v>455</v>
      </c>
      <c r="B4" s="699" t="s">
        <v>226</v>
      </c>
      <c r="C4" s="699" t="s">
        <v>69</v>
      </c>
      <c r="D4" s="699" t="s">
        <v>551</v>
      </c>
      <c r="E4" s="699" t="s">
        <v>552</v>
      </c>
      <c r="F4" s="699" t="s">
        <v>553</v>
      </c>
      <c r="G4" s="700" t="s">
        <v>554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3.5" customHeight="1">
      <c r="A5" s="714" t="s">
        <v>675</v>
      </c>
      <c r="B5" s="703"/>
      <c r="C5" s="703"/>
      <c r="D5" s="703"/>
      <c r="E5" s="703"/>
      <c r="F5" s="703"/>
      <c r="G5" s="704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2.75" customHeight="1">
      <c r="A6" s="714" t="s">
        <v>676</v>
      </c>
      <c r="B6" s="679">
        <f>C6*0.8</f>
        <v>339120</v>
      </c>
      <c r="C6" s="679">
        <f>'Conformación de Datos'!$D$17*0.02</f>
        <v>423900</v>
      </c>
      <c r="D6" s="679">
        <f>'Conformación de Datos'!$D$17*0.02</f>
        <v>423900</v>
      </c>
      <c r="E6" s="679">
        <f>'Conformación de Datos'!$D$17*0.02</f>
        <v>423900</v>
      </c>
      <c r="F6" s="679">
        <f>'Conformación de Datos'!$D$17*0.02</f>
        <v>423900</v>
      </c>
      <c r="G6" s="707">
        <f>'Conformación de Datos'!$D$17*0.02</f>
        <v>423900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2.75" customHeight="1">
      <c r="A7" s="714" t="s">
        <v>680</v>
      </c>
      <c r="B7" s="679">
        <v>0</v>
      </c>
      <c r="C7" s="679">
        <f>'Conformación de Datos'!$C$17*30/365</f>
        <v>1393643.8356164384</v>
      </c>
      <c r="D7" s="679">
        <f>'Conformación de Datos'!$D$17*30/365</f>
        <v>1742054.7945205478</v>
      </c>
      <c r="E7" s="679">
        <f>'Conformación de Datos'!$D$17*30/365</f>
        <v>1742054.7945205478</v>
      </c>
      <c r="F7" s="679">
        <f>'Conformación de Datos'!$D$17*30/365</f>
        <v>1742054.7945205478</v>
      </c>
      <c r="G7" s="707">
        <f>'Conformación de Datos'!$D$17*30/365</f>
        <v>1742054.7945205478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2.75" customHeight="1">
      <c r="A8" s="715"/>
      <c r="B8" s="679"/>
      <c r="C8" s="679"/>
      <c r="D8" s="679"/>
      <c r="E8" s="679"/>
      <c r="F8" s="679"/>
      <c r="G8" s="70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2.75" customHeight="1">
      <c r="A9" s="714" t="s">
        <v>628</v>
      </c>
      <c r="B9" s="684">
        <f t="shared" ref="B9:G9" si="0">SUM(B10:B13)</f>
        <v>177949.98552863329</v>
      </c>
      <c r="C9" s="684">
        <f t="shared" si="0"/>
        <v>1681097.2976226569</v>
      </c>
      <c r="D9" s="684">
        <f t="shared" si="0"/>
        <v>1676737.8185087773</v>
      </c>
      <c r="E9" s="684">
        <f t="shared" si="0"/>
        <v>1676756.5783964647</v>
      </c>
      <c r="F9" s="684">
        <f t="shared" si="0"/>
        <v>1676756.5783964647</v>
      </c>
      <c r="G9" s="716">
        <f t="shared" si="0"/>
        <v>1676756.5783964647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2.75" customHeight="1">
      <c r="A10" s="715" t="s">
        <v>687</v>
      </c>
      <c r="B10" s="679">
        <f>'Conformación de Datos'!D295*'Conformación de Datos'!D293</f>
        <v>177949.98552863329</v>
      </c>
      <c r="C10" s="679">
        <f>'Conformación de Datos'!D289*'Conformación de Datos'!D293</f>
        <v>1327712.5890350069</v>
      </c>
      <c r="D10" s="679">
        <f>'Conformación de Datos'!D289*'Conformación de Datos'!D293</f>
        <v>1327712.5890350069</v>
      </c>
      <c r="E10" s="679">
        <f>'Conformación de Datos'!D289*'Conformación de Datos'!D293</f>
        <v>1327712.5890350069</v>
      </c>
      <c r="F10" s="679">
        <f>'Conformación de Datos'!D289*'Conformación de Datos'!D293</f>
        <v>1327712.5890350069</v>
      </c>
      <c r="G10" s="707">
        <f>'Conformación de Datos'!D289*'Conformación de Datos'!D293</f>
        <v>1327712.5890350069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2.75" customHeight="1">
      <c r="A11" s="715" t="s">
        <v>689</v>
      </c>
      <c r="B11" s="679"/>
      <c r="C11" s="679">
        <f>('E-Costos'!B12)*6/12+'E-Costos'!B54/12+'E-Costos'!B70/12</f>
        <v>203107.96329253865</v>
      </c>
      <c r="D11" s="679">
        <f>('E-Costos'!$C$12)*6/12+'E-Costos'!C54/12+'E-Costos'!C70/12</f>
        <v>207557.21241180072</v>
      </c>
      <c r="E11" s="679">
        <f>('E-Costos'!$C$12)*6/12+'E-Costos'!D54/12+'E-Costos'!D70/12</f>
        <v>207557.21241180072</v>
      </c>
      <c r="F11" s="679">
        <f>('E-Costos'!$C$12)*6/12+'E-Costos'!E54/12+'E-Costos'!E70/12</f>
        <v>207557.21241180072</v>
      </c>
      <c r="G11" s="707">
        <f>('E-Costos'!$C$12)*6/12+'E-Costos'!F54/12+'E-Costos'!F70/12</f>
        <v>207557.21241180072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2.75" customHeight="1">
      <c r="A12" s="715" t="s">
        <v>692</v>
      </c>
      <c r="B12" s="679"/>
      <c r="C12" s="679">
        <f>'E-Costos'!B35</f>
        <v>75667.888271241813</v>
      </c>
      <c r="D12" s="679">
        <f>'E-Costos'!C35</f>
        <v>73712.910501724342</v>
      </c>
      <c r="E12" s="679">
        <f>'E-Costos'!D35</f>
        <v>73712.910501724342</v>
      </c>
      <c r="F12" s="679">
        <f>'E-Costos'!E35</f>
        <v>73712.910501724342</v>
      </c>
      <c r="G12" s="707">
        <f>'E-Costos'!F35</f>
        <v>73712.910501724342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2.75" customHeight="1">
      <c r="A13" s="715" t="s">
        <v>694</v>
      </c>
      <c r="B13" s="679"/>
      <c r="C13" s="679">
        <f>'E-Costos'!B104</f>
        <v>74608.857023869292</v>
      </c>
      <c r="D13" s="679">
        <f>'E-Costos'!C104</f>
        <v>67755.106560245389</v>
      </c>
      <c r="E13" s="679">
        <f>'E-Costos'!D104</f>
        <v>67773.866447932684</v>
      </c>
      <c r="F13" s="679">
        <f>'E-Costos'!E104</f>
        <v>67773.866447932684</v>
      </c>
      <c r="G13" s="707">
        <f>'E-Costos'!F104</f>
        <v>67773.866447932684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2.75" customHeight="1">
      <c r="A14" s="715"/>
      <c r="B14" s="679"/>
      <c r="C14" s="679"/>
      <c r="D14" s="679"/>
      <c r="E14" s="679"/>
      <c r="F14" s="679"/>
      <c r="G14" s="70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2.75" customHeight="1">
      <c r="A15" s="714" t="s">
        <v>696</v>
      </c>
      <c r="B15" s="684">
        <f t="shared" ref="B15:G15" si="1">B6+B7+B9</f>
        <v>517069.98552863329</v>
      </c>
      <c r="C15" s="684">
        <f t="shared" si="1"/>
        <v>3498641.1332390951</v>
      </c>
      <c r="D15" s="684">
        <f t="shared" si="1"/>
        <v>3842692.6130293249</v>
      </c>
      <c r="E15" s="684">
        <f t="shared" si="1"/>
        <v>3842711.3729170123</v>
      </c>
      <c r="F15" s="684">
        <f t="shared" si="1"/>
        <v>3842711.3729170123</v>
      </c>
      <c r="G15" s="716">
        <f t="shared" si="1"/>
        <v>3842711.3729170123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2.75" customHeight="1">
      <c r="A16" s="714" t="s">
        <v>698</v>
      </c>
      <c r="B16" s="679">
        <f t="shared" ref="B16:G16" si="2">SUM(B17:B20)</f>
        <v>0</v>
      </c>
      <c r="C16" s="679">
        <f t="shared" si="2"/>
        <v>420275.71216655255</v>
      </c>
      <c r="D16" s="679">
        <f t="shared" si="2"/>
        <v>550350.26382383518</v>
      </c>
      <c r="E16" s="679">
        <f t="shared" si="2"/>
        <v>549913.16609355365</v>
      </c>
      <c r="F16" s="679">
        <f t="shared" si="2"/>
        <v>549913.26798539609</v>
      </c>
      <c r="G16" s="707">
        <f t="shared" si="2"/>
        <v>549913.26798539609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2.75" customHeight="1">
      <c r="A17" s="715" t="s">
        <v>699</v>
      </c>
      <c r="B17" s="679"/>
      <c r="C17" s="679">
        <f>'E-Costos'!B28</f>
        <v>13944.266326645065</v>
      </c>
      <c r="D17" s="679">
        <f>'E-Costos'!C28</f>
        <v>11390.28299320224</v>
      </c>
      <c r="E17" s="679">
        <f>'E-Costos'!D28</f>
        <v>11390.28299320224</v>
      </c>
      <c r="F17" s="679">
        <f>'E-Costos'!E28</f>
        <v>11390.28299320224</v>
      </c>
      <c r="G17" s="707">
        <f>'E-Costos'!F28</f>
        <v>11390.28299320224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2.75" customHeight="1">
      <c r="A18" s="715" t="s">
        <v>702</v>
      </c>
      <c r="B18" s="679"/>
      <c r="C18" s="687">
        <f>('E-Costos'!B10-'E-Costos'!B28)/'E-Costos'!B87*C13</f>
        <v>6151.6063352836154</v>
      </c>
      <c r="D18" s="687">
        <f>('E-Costos'!C10-'E-Costos'!C28)/'E-Costos'!C87*D13</f>
        <v>4477.3683373525937</v>
      </c>
      <c r="E18" s="687">
        <f>('E-Costos'!D10-'E-Costos'!D28)/'E-Costos'!D87*E13</f>
        <v>4478.6080214355743</v>
      </c>
      <c r="F18" s="687">
        <f>('E-Costos'!E10-'E-Costos'!E28)/'E-Costos'!E87*F13</f>
        <v>4478.6080214355743</v>
      </c>
      <c r="G18" s="687">
        <f>('E-Costos'!F10-'E-Costos'!F28)/'E-Costos'!F87*G13</f>
        <v>4478.6080214355743</v>
      </c>
      <c r="H18" s="132" t="s">
        <v>705</v>
      </c>
      <c r="I18" s="139" t="s">
        <v>287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2.75" customHeight="1">
      <c r="A19" s="715" t="s">
        <v>707</v>
      </c>
      <c r="B19" s="679"/>
      <c r="C19" s="679">
        <f>'E-Costos'!B120*C7</f>
        <v>272882.64427281875</v>
      </c>
      <c r="D19" s="679">
        <f>'E-Costos'!C120*D7</f>
        <v>405186.17665928596</v>
      </c>
      <c r="E19" s="679">
        <f>'E-Costos'!D120*E7</f>
        <v>405095.46617769881</v>
      </c>
      <c r="F19" s="679">
        <f>'E-Costos'!E120*F7</f>
        <v>405095.46617769881</v>
      </c>
      <c r="G19" s="707">
        <f>'E-Costos'!F120*G7</f>
        <v>405095.46617769881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2.75" customHeight="1">
      <c r="A20" s="715" t="s">
        <v>708</v>
      </c>
      <c r="B20" s="679"/>
      <c r="C20" s="687">
        <f>('E-Inv AF y Am'!$D$57-C17-C18+B17+B18)/'E-Costos'!B87*C7</f>
        <v>127297.19523180506</v>
      </c>
      <c r="D20" s="687">
        <f>('E-Inv AF y Am'!$D$57-D17-D18+C17+C18)/'E-Costos'!C87*D7</f>
        <v>129296.43583399433</v>
      </c>
      <c r="E20" s="687">
        <f>('E-Inv AF y Am'!$D$57-E17-E18+D17+D18)/'E-Costos'!D87*E7</f>
        <v>128948.80890121705</v>
      </c>
      <c r="F20" s="679">
        <f>('E-Inv AF y Am'!$E$57-F17-F18+E17+E18)/365*30</f>
        <v>128948.91079305949</v>
      </c>
      <c r="G20" s="679">
        <f>('E-Inv AF y Am'!$E$57-G17-G18+F17+F18)/365*30</f>
        <v>128948.91079305949</v>
      </c>
      <c r="H20" s="132" t="s">
        <v>712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2.75" customHeight="1">
      <c r="A21" s="715"/>
      <c r="B21" s="679"/>
      <c r="C21" s="679"/>
      <c r="D21" s="679"/>
      <c r="E21" s="679"/>
      <c r="F21" s="679"/>
      <c r="G21" s="70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2.75" customHeight="1">
      <c r="A22" s="714" t="s">
        <v>713</v>
      </c>
      <c r="B22" s="684">
        <f t="shared" ref="B22:G22" si="3">B15-B16</f>
        <v>517069.98552863329</v>
      </c>
      <c r="C22" s="684">
        <f t="shared" si="3"/>
        <v>3078365.4210725427</v>
      </c>
      <c r="D22" s="684">
        <f t="shared" si="3"/>
        <v>3292342.3492054897</v>
      </c>
      <c r="E22" s="684">
        <f t="shared" si="3"/>
        <v>3292798.2068234589</v>
      </c>
      <c r="F22" s="684">
        <f t="shared" si="3"/>
        <v>3292798.1049316162</v>
      </c>
      <c r="G22" s="716">
        <f t="shared" si="3"/>
        <v>3292798.1049316162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2.75" customHeight="1">
      <c r="A23" s="715"/>
      <c r="B23" s="679"/>
      <c r="C23" s="679"/>
      <c r="D23" s="679"/>
      <c r="E23" s="679"/>
      <c r="F23" s="679"/>
      <c r="G23" s="70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2.75" customHeight="1">
      <c r="A24" s="714" t="s">
        <v>714</v>
      </c>
      <c r="B24" s="684">
        <f>B15</f>
        <v>517069.98552863329</v>
      </c>
      <c r="C24" s="684">
        <f t="shared" ref="C24:G24" si="4">C15-B15</f>
        <v>2981571.1477104616</v>
      </c>
      <c r="D24" s="684">
        <f t="shared" si="4"/>
        <v>344051.47979022982</v>
      </c>
      <c r="E24" s="684">
        <f t="shared" si="4"/>
        <v>18.759887687396258</v>
      </c>
      <c r="F24" s="684">
        <f t="shared" si="4"/>
        <v>0</v>
      </c>
      <c r="G24" s="716">
        <f t="shared" si="4"/>
        <v>0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2.75" customHeight="1">
      <c r="A25" s="714" t="s">
        <v>715</v>
      </c>
      <c r="B25" s="684">
        <f>B22</f>
        <v>517069.98552863329</v>
      </c>
      <c r="C25" s="684">
        <f t="shared" ref="C25:G25" si="5">C22-B22</f>
        <v>2561295.4355439092</v>
      </c>
      <c r="D25" s="684">
        <f t="shared" si="5"/>
        <v>213976.92813294707</v>
      </c>
      <c r="E25" s="684">
        <f t="shared" si="5"/>
        <v>455.85761796915904</v>
      </c>
      <c r="F25" s="684">
        <f t="shared" si="5"/>
        <v>-0.1018918426707387</v>
      </c>
      <c r="G25" s="716">
        <f t="shared" si="5"/>
        <v>0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2.75" customHeight="1">
      <c r="A26" s="715"/>
      <c r="B26" s="679"/>
      <c r="C26" s="679"/>
      <c r="D26" s="679"/>
      <c r="E26" s="679"/>
      <c r="F26" s="679"/>
      <c r="G26" s="70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2.75" customHeight="1">
      <c r="A27" s="714" t="s">
        <v>644</v>
      </c>
      <c r="B27" s="679"/>
      <c r="C27" s="679"/>
      <c r="D27" s="679"/>
      <c r="E27" s="679"/>
      <c r="F27" s="679"/>
      <c r="G27" s="70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2.75" customHeight="1">
      <c r="A28" s="715" t="s">
        <v>716</v>
      </c>
      <c r="B28" s="679">
        <v>0</v>
      </c>
      <c r="C28" s="679">
        <v>0</v>
      </c>
      <c r="D28" s="679">
        <v>0</v>
      </c>
      <c r="E28" s="679">
        <v>0</v>
      </c>
      <c r="F28" s="679">
        <v>0</v>
      </c>
      <c r="G28" s="707">
        <v>0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2.75" customHeight="1">
      <c r="A29" s="715" t="s">
        <v>717</v>
      </c>
      <c r="B29" s="679"/>
      <c r="C29" s="679"/>
      <c r="D29" s="679"/>
      <c r="E29" s="679"/>
      <c r="F29" s="679"/>
      <c r="G29" s="70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2.75" customHeight="1">
      <c r="A30" s="715" t="s">
        <v>718</v>
      </c>
      <c r="B30" s="679">
        <f t="shared" ref="B30:B31" si="6">0.21*B10</f>
        <v>37369.496961012992</v>
      </c>
      <c r="C30" s="679">
        <f t="shared" ref="C30:G30" si="7">0.21*(C10-B10)</f>
        <v>241450.14673633847</v>
      </c>
      <c r="D30" s="679">
        <f t="shared" si="7"/>
        <v>0</v>
      </c>
      <c r="E30" s="679">
        <f t="shared" si="7"/>
        <v>0</v>
      </c>
      <c r="F30" s="679">
        <f t="shared" si="7"/>
        <v>0</v>
      </c>
      <c r="G30" s="707">
        <f t="shared" si="7"/>
        <v>0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2.75" customHeight="1">
      <c r="A31" s="715" t="s">
        <v>719</v>
      </c>
      <c r="B31" s="679">
        <f t="shared" si="6"/>
        <v>0</v>
      </c>
      <c r="C31" s="679">
        <f t="shared" ref="C31:G31" si="8">0.21*(C11-B11)</f>
        <v>42652.672291433119</v>
      </c>
      <c r="D31" s="679">
        <f t="shared" si="8"/>
        <v>934.34231504503373</v>
      </c>
      <c r="E31" s="679">
        <f t="shared" si="8"/>
        <v>0</v>
      </c>
      <c r="F31" s="679">
        <f t="shared" si="8"/>
        <v>0</v>
      </c>
      <c r="G31" s="707">
        <f t="shared" si="8"/>
        <v>0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2.75" customHeight="1">
      <c r="A32" s="715" t="s">
        <v>720</v>
      </c>
      <c r="B32" s="679">
        <v>0</v>
      </c>
      <c r="C32" s="679">
        <f>(SUM('E-Costos'!B25,'E-Costos'!B30,'E-Costos'!B31,'E-Costos'!B32))*0.21</f>
        <v>8524.0247822723722</v>
      </c>
      <c r="D32" s="679">
        <f>(((SUM('E-Costos'!C25,'E-Costos'!C30,'E-Costos'!C31,'E-Costos'!C32))*0.21)-((SUM('E-Costos'!B25,'E-Costos'!B30,'E-Costos'!B31,'E-Costos'!B32))*0.21))</f>
        <v>141.26250536969928</v>
      </c>
      <c r="E32" s="679">
        <f>(((SUM('E-Costos'!D25,'E-Costos'!D30,'E-Costos'!D31,'E-Costos'!D32))*0.21)-((SUM('E-Costos'!C25,'E-Costos'!C30,'E-Costos'!C31,'E-Costos'!C32))*0.21))</f>
        <v>0</v>
      </c>
      <c r="F32" s="679">
        <f>(((SUM('E-Costos'!E25,'E-Costos'!E30,'E-Costos'!E31,'E-Costos'!E32))*0.21)-((SUM('E-Costos'!D25,'E-Costos'!D30,'E-Costos'!D31,'E-Costos'!D32))*0.21))</f>
        <v>0</v>
      </c>
      <c r="G32" s="707">
        <f>(((SUM('E-Costos'!F25,'E-Costos'!F30,'E-Costos'!F31,'E-Costos'!F32))*0.21)-((SUM('E-Costos'!E25,'E-Costos'!E30,'E-Costos'!E31,'E-Costos'!E32))*0.21))</f>
        <v>0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2.75" customHeight="1">
      <c r="A33" s="715" t="s">
        <v>721</v>
      </c>
      <c r="B33" s="679">
        <v>0</v>
      </c>
      <c r="C33" s="679">
        <f>'Conformación de Datos'!B308</f>
        <v>6020.7315795398299</v>
      </c>
      <c r="D33" s="679">
        <f>'Conformación de Datos'!C308</f>
        <v>227.56887890352209</v>
      </c>
      <c r="E33" s="679">
        <f>'Conformación de Datos'!D308</f>
        <v>0</v>
      </c>
      <c r="F33" s="679">
        <f>'Conformación de Datos'!E308</f>
        <v>0</v>
      </c>
      <c r="G33" s="707">
        <f>'Conformación de Datos'!F308</f>
        <v>0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2.75" customHeight="1">
      <c r="A34" s="714" t="s">
        <v>722</v>
      </c>
      <c r="B34" s="684">
        <f t="shared" ref="B34:G34" si="9">SUM(B28:B33)</f>
        <v>37369.496961012992</v>
      </c>
      <c r="C34" s="684">
        <f t="shared" si="9"/>
        <v>298647.57538958377</v>
      </c>
      <c r="D34" s="684">
        <f t="shared" si="9"/>
        <v>1303.1736993182551</v>
      </c>
      <c r="E34" s="684">
        <f t="shared" si="9"/>
        <v>0</v>
      </c>
      <c r="F34" s="684">
        <f t="shared" si="9"/>
        <v>0</v>
      </c>
      <c r="G34" s="716">
        <f t="shared" si="9"/>
        <v>0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2.75" customHeight="1">
      <c r="A35" s="715"/>
      <c r="B35" s="717"/>
      <c r="C35" s="717"/>
      <c r="D35" s="717"/>
      <c r="E35" s="717"/>
      <c r="F35" s="717"/>
      <c r="G35" s="718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3.5" customHeight="1">
      <c r="A36" s="719" t="s">
        <v>724</v>
      </c>
      <c r="B36" s="720">
        <f t="shared" ref="B36:G36" si="10">B25+B34</f>
        <v>554439.4824896463</v>
      </c>
      <c r="C36" s="720">
        <f t="shared" si="10"/>
        <v>2859943.0109334928</v>
      </c>
      <c r="D36" s="720">
        <f t="shared" si="10"/>
        <v>215280.10183226533</v>
      </c>
      <c r="E36" s="720">
        <f t="shared" si="10"/>
        <v>455.85761796915904</v>
      </c>
      <c r="F36" s="720">
        <f t="shared" si="10"/>
        <v>-0.1018918426707387</v>
      </c>
      <c r="G36" s="721">
        <f t="shared" si="10"/>
        <v>0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2.7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2.7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2.75" customHeight="1">
      <c r="A39" s="97" t="s">
        <v>726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97" t="s">
        <v>728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97" t="s">
        <v>729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97" t="s">
        <v>730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2.7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2.75" customHeight="1">
      <c r="A48" s="97"/>
      <c r="B48" s="284">
        <f>(SUM('E-Costos'!B41,'E-Costos'!B46,'E-Costos'!B47,'E-Costos'!B48))*0.21</f>
        <v>58517.83568848166</v>
      </c>
      <c r="C48" s="284">
        <f>(SUM('E-Costos'!C41,'E-Costos'!C46,'E-Costos'!C47,'E-Costos'!C48))*0.21</f>
        <v>0.21</v>
      </c>
      <c r="D48" s="284">
        <f>(SUM('E-Costos'!D41,'E-Costos'!D46,'E-Costos'!D47,'E-Costos'!D48))*0.21</f>
        <v>0.21</v>
      </c>
      <c r="E48" s="284">
        <f>(SUM('E-Costos'!E41,'E-Costos'!E46,'E-Costos'!E47,'E-Costos'!E48))*0.21</f>
        <v>0.21</v>
      </c>
      <c r="F48" s="284">
        <f>(SUM('E-Costos'!F41,'E-Costos'!F46,'E-Costos'!F47,'E-Costos'!F48))*0.21</f>
        <v>0.21</v>
      </c>
      <c r="G48" s="340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2.75" customHeight="1">
      <c r="A49" s="97"/>
      <c r="B49" s="97" t="s">
        <v>556</v>
      </c>
      <c r="C49" s="97" t="s">
        <v>733</v>
      </c>
      <c r="D49" s="97" t="s">
        <v>734</v>
      </c>
      <c r="E49" s="97" t="s">
        <v>735</v>
      </c>
      <c r="F49" s="97" t="s">
        <v>736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2.75" customHeight="1">
      <c r="A50" s="97" t="s">
        <v>737</v>
      </c>
      <c r="B50" s="464">
        <v>452231</v>
      </c>
      <c r="C50" s="97">
        <v>3119.97</v>
      </c>
      <c r="D50" s="97">
        <v>3119.97</v>
      </c>
      <c r="E50" s="97">
        <v>3119.97</v>
      </c>
      <c r="F50" s="97">
        <v>3119.97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2.75" customHeight="1">
      <c r="A51" s="97" t="s">
        <v>739</v>
      </c>
      <c r="B51" s="464">
        <v>452231</v>
      </c>
      <c r="C51" s="97">
        <v>-18.05</v>
      </c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2.7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2.7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2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2.7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2.7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2.7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2.7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2.7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12.7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12.7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12.7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 ht="12.7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 ht="12.75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spans="1:26" ht="12.75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spans="1:26" ht="12.75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spans="1:26" ht="12.75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spans="1:26" ht="12.75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spans="1:26" ht="12.75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spans="1:26" ht="12.75" customHeight="1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</row>
    <row r="238" spans="1:26" ht="12.75" customHeight="1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</row>
    <row r="239" spans="1:26" ht="12.75" customHeight="1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</row>
    <row r="240" spans="1:26" ht="12.75" customHeight="1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</row>
    <row r="241" spans="1:26" ht="12.75" customHeight="1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</row>
    <row r="242" spans="1:26" ht="12.75" customHeight="1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</row>
    <row r="243" spans="1:26" ht="12.75" customHeight="1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</row>
    <row r="244" spans="1:26" ht="12.75" customHeight="1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</row>
    <row r="245" spans="1:26" ht="12.75" customHeight="1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</row>
    <row r="246" spans="1:26" ht="12.75" customHeight="1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</row>
    <row r="247" spans="1:26" ht="12.75" customHeight="1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</row>
    <row r="248" spans="1:26" ht="12.75" customHeight="1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</row>
    <row r="249" spans="1:26" ht="12.75" customHeight="1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</row>
    <row r="250" spans="1:26" ht="12.75" customHeight="1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</row>
    <row r="251" spans="1:26" ht="12.75" customHeight="1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</row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</sheetPr>
  <dimension ref="A1:Z1000"/>
  <sheetViews>
    <sheetView showGridLines="0" workbookViewId="0">
      <selection activeCell="M14" sqref="M4:T14"/>
    </sheetView>
  </sheetViews>
  <sheetFormatPr defaultColWidth="14.44140625" defaultRowHeight="15" customHeight="1"/>
  <cols>
    <col min="1" max="1" width="27.109375" customWidth="1"/>
    <col min="2" max="2" width="16.44140625" customWidth="1"/>
    <col min="3" max="3" width="15" customWidth="1"/>
    <col min="4" max="7" width="15.33203125" customWidth="1"/>
    <col min="8" max="8" width="4.88671875" customWidth="1"/>
    <col min="9" max="9" width="15" customWidth="1"/>
    <col min="10" max="12" width="9" customWidth="1"/>
    <col min="13" max="13" width="14.44140625" customWidth="1"/>
    <col min="14" max="26" width="9" customWidth="1"/>
  </cols>
  <sheetData>
    <row r="1" spans="1:26" ht="14.25" customHeight="1">
      <c r="A1" s="93" t="s">
        <v>205</v>
      </c>
      <c r="E1" s="97"/>
      <c r="F1" s="268">
        <f>InfoInicial!E1</f>
        <v>10</v>
      </c>
      <c r="G1" s="94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6.5" customHeight="1">
      <c r="A2" s="270" t="s">
        <v>454</v>
      </c>
      <c r="B2" s="271"/>
      <c r="C2" s="271"/>
      <c r="D2" s="271"/>
      <c r="E2" s="271"/>
      <c r="F2" s="271"/>
      <c r="G2" s="272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2.75" customHeight="1">
      <c r="A3" s="274" t="s">
        <v>455</v>
      </c>
      <c r="B3" s="673" t="s">
        <v>456</v>
      </c>
      <c r="C3" s="674"/>
      <c r="D3" s="673" t="s">
        <v>458</v>
      </c>
      <c r="E3" s="674"/>
      <c r="F3" s="673" t="s">
        <v>460</v>
      </c>
      <c r="G3" s="675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2.75" customHeight="1">
      <c r="A4" s="274" t="s">
        <v>321</v>
      </c>
      <c r="B4" s="278" t="s">
        <v>461</v>
      </c>
      <c r="C4" s="278" t="s">
        <v>463</v>
      </c>
      <c r="D4" s="278" t="s">
        <v>461</v>
      </c>
      <c r="E4" s="278" t="s">
        <v>463</v>
      </c>
      <c r="F4" s="278" t="s">
        <v>461</v>
      </c>
      <c r="G4" s="280" t="s">
        <v>463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2.75" customHeight="1">
      <c r="A5" s="128" t="s">
        <v>464</v>
      </c>
      <c r="B5" s="284">
        <f>'E-Cal Inv.'!I8</f>
        <v>27903427.521784447</v>
      </c>
      <c r="C5" s="286">
        <f t="shared" ref="C5:C7" si="0">B5/$B$8</f>
        <v>0.73921390934396602</v>
      </c>
      <c r="D5" s="284">
        <f>('E-Inv AF y Am'!B47+'E-Inv AF y Am'!B51+'E-Inv AF y Am'!B46+'E-Inv AF y Am'!B45)</f>
        <v>16825221.600000001</v>
      </c>
      <c r="E5" s="286">
        <f>D5/B8</f>
        <v>0.4457315440837698</v>
      </c>
      <c r="F5" s="284">
        <f t="shared" ref="F5:F7" si="1">B5-D5</f>
        <v>11078205.921784446</v>
      </c>
      <c r="G5" s="287">
        <f>F5/B8</f>
        <v>0.29348236526019622</v>
      </c>
      <c r="H5" s="97"/>
      <c r="I5" s="97"/>
      <c r="J5" s="288"/>
      <c r="K5" s="97"/>
      <c r="L5" s="97"/>
      <c r="M5" s="97"/>
      <c r="N5" s="471" t="s">
        <v>749</v>
      </c>
      <c r="T5" s="97"/>
      <c r="U5" s="97"/>
      <c r="V5" s="97"/>
      <c r="W5" s="97"/>
      <c r="X5" s="97"/>
      <c r="Y5" s="97"/>
      <c r="Z5" s="97"/>
    </row>
    <row r="6" spans="1:26" ht="12.75" customHeight="1">
      <c r="A6" s="113" t="s">
        <v>471</v>
      </c>
      <c r="B6" s="284">
        <f>'E-Cal Inv.'!I18</f>
        <v>3292798.1049316162</v>
      </c>
      <c r="C6" s="286">
        <f t="shared" si="0"/>
        <v>8.7232371647769577E-2</v>
      </c>
      <c r="D6" s="284">
        <f>'E-Cal Inv.'!I14</f>
        <v>1327712.5890350069</v>
      </c>
      <c r="E6" s="286">
        <f>D6/B8</f>
        <v>3.5173586207627325E-2</v>
      </c>
      <c r="F6" s="284">
        <f t="shared" si="1"/>
        <v>1965085.5158966093</v>
      </c>
      <c r="G6" s="287">
        <f>F6/B8</f>
        <v>5.2058785440142252E-2</v>
      </c>
      <c r="H6" s="97"/>
      <c r="I6" s="97"/>
      <c r="J6" s="288"/>
      <c r="K6" s="97"/>
      <c r="L6" s="97"/>
      <c r="M6" s="97"/>
      <c r="N6" s="288" t="s">
        <v>752</v>
      </c>
      <c r="T6" s="97"/>
      <c r="U6" s="97"/>
      <c r="V6" s="97"/>
      <c r="W6" s="97"/>
      <c r="X6" s="97"/>
      <c r="Y6" s="97"/>
      <c r="Z6" s="97"/>
    </row>
    <row r="7" spans="1:26" ht="12.75" customHeight="1">
      <c r="A7" s="113" t="s">
        <v>473</v>
      </c>
      <c r="B7" s="284">
        <f>'E-Cal Inv.'!I23</f>
        <v>6551207.3816103721</v>
      </c>
      <c r="C7" s="286">
        <f t="shared" si="0"/>
        <v>0.17355371900826444</v>
      </c>
      <c r="D7" s="291">
        <v>0</v>
      </c>
      <c r="E7" s="286">
        <f>D7/B8</f>
        <v>0</v>
      </c>
      <c r="F7" s="284">
        <f t="shared" si="1"/>
        <v>6551207.3816103721</v>
      </c>
      <c r="G7" s="287">
        <f>F7/B8</f>
        <v>0.17355371900826444</v>
      </c>
      <c r="H7" s="97"/>
      <c r="I7" s="97"/>
      <c r="J7" s="97"/>
      <c r="K7" s="97"/>
      <c r="L7" s="97"/>
      <c r="M7" s="288" t="s">
        <v>476</v>
      </c>
      <c r="N7" s="292" t="s">
        <v>754</v>
      </c>
      <c r="O7" s="292">
        <v>0.22</v>
      </c>
      <c r="P7" s="292" t="s">
        <v>755</v>
      </c>
      <c r="T7" s="97"/>
      <c r="U7" s="97"/>
      <c r="V7" s="97"/>
      <c r="W7" s="97"/>
      <c r="X7" s="97"/>
      <c r="Y7" s="97"/>
      <c r="Z7" s="97"/>
    </row>
    <row r="8" spans="1:26" ht="13.5" customHeight="1">
      <c r="A8" s="160" t="s">
        <v>429</v>
      </c>
      <c r="B8" s="293">
        <f t="shared" ref="B8:C8" si="2">SUM(B5:B7)</f>
        <v>37747433.008326434</v>
      </c>
      <c r="C8" s="294">
        <f t="shared" si="2"/>
        <v>1</v>
      </c>
      <c r="D8" s="293">
        <f>SUM(D5:D7)</f>
        <v>18152934.18903501</v>
      </c>
      <c r="E8" s="294">
        <f>D8/B8</f>
        <v>0.48090513029139714</v>
      </c>
      <c r="F8" s="293">
        <f t="shared" ref="F8:G8" si="3">SUM(F5:F7)</f>
        <v>19594498.819291428</v>
      </c>
      <c r="G8" s="295">
        <f t="shared" si="3"/>
        <v>0.51909486970860286</v>
      </c>
      <c r="H8" s="97"/>
      <c r="I8" s="97"/>
      <c r="J8" s="97"/>
      <c r="K8" s="97"/>
      <c r="L8" s="97"/>
      <c r="M8" s="288" t="s">
        <v>757</v>
      </c>
      <c r="N8" s="296">
        <v>0.04</v>
      </c>
      <c r="O8" s="292">
        <v>0.04</v>
      </c>
      <c r="T8" s="97"/>
      <c r="U8" s="97"/>
      <c r="V8" s="97"/>
      <c r="W8" s="97"/>
      <c r="X8" s="97"/>
      <c r="Y8" s="97"/>
      <c r="Z8" s="97"/>
    </row>
    <row r="9" spans="1:26" ht="14.25" customHeight="1">
      <c r="A9" s="134"/>
      <c r="B9" s="220"/>
      <c r="C9" s="297"/>
      <c r="D9" s="220"/>
      <c r="E9" s="220"/>
      <c r="F9" s="220"/>
      <c r="G9" s="220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6.5" customHeight="1">
      <c r="A10" s="472" t="s">
        <v>758</v>
      </c>
      <c r="B10" s="473"/>
      <c r="C10" s="473"/>
      <c r="D10" s="473"/>
      <c r="E10" s="473"/>
      <c r="F10" s="473"/>
      <c r="G10" s="473"/>
      <c r="H10" s="473"/>
      <c r="I10" s="475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2.75" customHeight="1">
      <c r="A11" s="476" t="s">
        <v>760</v>
      </c>
      <c r="B11" s="477" t="s">
        <v>761</v>
      </c>
      <c r="C11" s="477" t="s">
        <v>763</v>
      </c>
      <c r="D11" s="477" t="s">
        <v>764</v>
      </c>
      <c r="E11" s="477" t="s">
        <v>763</v>
      </c>
      <c r="F11" s="477" t="s">
        <v>765</v>
      </c>
      <c r="G11" s="477" t="s">
        <v>764</v>
      </c>
      <c r="H11" s="477"/>
      <c r="I11" s="478" t="s">
        <v>766</v>
      </c>
      <c r="J11" s="97"/>
      <c r="K11" s="97"/>
      <c r="L11" s="97"/>
      <c r="M11" s="288" t="s">
        <v>476</v>
      </c>
      <c r="N11" s="292" t="s">
        <v>477</v>
      </c>
      <c r="O11" s="292">
        <v>0.15</v>
      </c>
      <c r="P11" s="292" t="s">
        <v>478</v>
      </c>
      <c r="T11" s="97"/>
      <c r="U11" s="97"/>
      <c r="V11" s="97"/>
      <c r="W11" s="97"/>
      <c r="X11" s="97"/>
      <c r="Y11" s="97"/>
      <c r="Z11" s="97"/>
    </row>
    <row r="12" spans="1:26" ht="13.5" customHeight="1">
      <c r="A12" s="479"/>
      <c r="B12" s="480"/>
      <c r="C12" s="480" t="s">
        <v>768</v>
      </c>
      <c r="D12" s="480" t="s">
        <v>768</v>
      </c>
      <c r="E12" s="480" t="s">
        <v>282</v>
      </c>
      <c r="F12" s="480" t="s">
        <v>770</v>
      </c>
      <c r="G12" s="480" t="s">
        <v>282</v>
      </c>
      <c r="H12" s="480" t="s">
        <v>771</v>
      </c>
      <c r="I12" s="481" t="s">
        <v>772</v>
      </c>
      <c r="J12" s="97"/>
      <c r="K12" s="97"/>
      <c r="L12" s="97"/>
      <c r="M12" s="288"/>
      <c r="N12" s="296"/>
      <c r="P12" s="292" t="s">
        <v>485</v>
      </c>
      <c r="T12" s="97"/>
      <c r="U12" s="97"/>
      <c r="V12" s="97"/>
      <c r="W12" s="97"/>
      <c r="X12" s="97"/>
      <c r="Y12" s="97"/>
      <c r="Z12" s="97"/>
    </row>
    <row r="13" spans="1:26" ht="13.5" customHeight="1">
      <c r="A13" s="483" t="str">
        <f>'Marcha Credito Act. Fijo NO REN'!B13</f>
        <v>1/4/-1</v>
      </c>
      <c r="B13" s="448">
        <f>'Marcha Credito Act. Fijo NO REN'!C13</f>
        <v>8412610.8000000007</v>
      </c>
      <c r="C13" s="448"/>
      <c r="D13" s="448"/>
      <c r="E13" s="448"/>
      <c r="F13" s="166"/>
      <c r="G13" s="448"/>
      <c r="H13" s="485"/>
      <c r="I13" s="487">
        <f>'Marcha Credito Act. Fijo NO REN'!J13</f>
        <v>336504.43200000003</v>
      </c>
      <c r="J13" s="97"/>
      <c r="K13" s="97"/>
      <c r="L13" s="97"/>
      <c r="M13" s="288" t="s">
        <v>775</v>
      </c>
      <c r="T13" s="97"/>
      <c r="U13" s="97"/>
      <c r="V13" s="97"/>
      <c r="W13" s="97"/>
      <c r="X13" s="97"/>
      <c r="Y13" s="97"/>
      <c r="Z13" s="97"/>
    </row>
    <row r="14" spans="1:26" ht="12.75" customHeight="1">
      <c r="A14" s="489" t="str">
        <f>'Marcha Credito Act. Fijo NO REN'!B14</f>
        <v>1/8/-1</v>
      </c>
      <c r="B14" s="291">
        <f>'Marcha Credito Act. Fijo NO REN'!C14</f>
        <v>16825221.600000001</v>
      </c>
      <c r="C14" s="284"/>
      <c r="D14" s="284">
        <f>'Marcha Credito Act. Fijo NO REN'!E14</f>
        <v>616924.79200000002</v>
      </c>
      <c r="E14" s="284"/>
      <c r="F14" s="118"/>
      <c r="G14" s="284"/>
      <c r="H14" s="482"/>
      <c r="I14" s="340">
        <f>'Marcha Credito Act. Fijo NO REN'!J14</f>
        <v>336504.43200000003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2.75" customHeight="1">
      <c r="A15" s="489" t="str">
        <f>'Marcha Credito Act. Fijo NO REN'!B15</f>
        <v>1/12/-1</v>
      </c>
      <c r="B15" s="284">
        <f>'Marcha Credito Act. Fijo NO REN'!C15</f>
        <v>16825221.600000001</v>
      </c>
      <c r="C15" s="284"/>
      <c r="D15" s="284">
        <f>'Marcha Credito Act. Fijo NO REN'!E15</f>
        <v>1233849.584</v>
      </c>
      <c r="E15" s="284"/>
      <c r="F15" s="118"/>
      <c r="G15" s="284"/>
      <c r="H15" s="482"/>
      <c r="I15" s="340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2.75" customHeight="1">
      <c r="A16" s="489"/>
      <c r="B16" s="284"/>
      <c r="C16" s="284"/>
      <c r="D16" s="284"/>
      <c r="E16" s="284"/>
      <c r="F16" s="118"/>
      <c r="G16" s="284"/>
      <c r="H16" s="482"/>
      <c r="I16" s="340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2.75" customHeight="1">
      <c r="A17" s="489"/>
      <c r="B17" s="284"/>
      <c r="C17" s="284"/>
      <c r="D17" s="284"/>
      <c r="E17" s="284"/>
      <c r="F17" s="118"/>
      <c r="G17" s="284"/>
      <c r="H17" s="482"/>
      <c r="I17" s="340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2.75" customHeight="1">
      <c r="A18" s="489"/>
      <c r="B18" s="284"/>
      <c r="C18" s="284"/>
      <c r="D18" s="284"/>
      <c r="E18" s="284"/>
      <c r="F18" s="118"/>
      <c r="G18" s="284"/>
      <c r="H18" s="482"/>
      <c r="I18" s="340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2.75" customHeight="1">
      <c r="A19" s="489"/>
      <c r="B19" s="284"/>
      <c r="C19" s="284"/>
      <c r="D19" s="284"/>
      <c r="E19" s="284"/>
      <c r="F19" s="118"/>
      <c r="G19" s="284"/>
      <c r="H19" s="482"/>
      <c r="I19" s="340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3.5" customHeight="1">
      <c r="A20" s="490"/>
      <c r="B20" s="491"/>
      <c r="C20" s="491"/>
      <c r="D20" s="433"/>
      <c r="E20" s="491"/>
      <c r="F20" s="146"/>
      <c r="G20" s="433"/>
      <c r="H20" s="492"/>
      <c r="I20" s="493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4.25" customHeight="1">
      <c r="A21" s="96" t="s">
        <v>782</v>
      </c>
      <c r="B21" s="494"/>
      <c r="C21" s="494"/>
      <c r="D21" s="495">
        <f>SUM(D13:D20)</f>
        <v>1850774.3760000002</v>
      </c>
      <c r="E21" s="494"/>
      <c r="F21" s="496"/>
      <c r="G21" s="495">
        <f>D21</f>
        <v>1850774.3760000002</v>
      </c>
      <c r="H21" s="497"/>
      <c r="I21" s="495">
        <f>SUM(I13:I20)</f>
        <v>673008.86400000006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3.5" customHeight="1">
      <c r="A22" s="498" t="s">
        <v>785</v>
      </c>
      <c r="B22" s="448">
        <f>'Marcha Credito Act. Fijo NO REN'!C22</f>
        <v>16825221.600000001</v>
      </c>
      <c r="C22" s="448"/>
      <c r="D22" s="330"/>
      <c r="E22" s="448"/>
      <c r="F22" s="166"/>
      <c r="G22" s="330"/>
      <c r="H22" s="500"/>
      <c r="I22" s="334"/>
      <c r="J22" s="97"/>
      <c r="K22" s="97"/>
      <c r="L22" s="288" t="s">
        <v>787</v>
      </c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2.75" customHeight="1">
      <c r="A23" s="502" t="s">
        <v>788</v>
      </c>
      <c r="B23" s="284">
        <f>B22+$D$6-C23</f>
        <v>16470412.029035009</v>
      </c>
      <c r="C23" s="284">
        <f>'Marcha Credito Act. Fijo NO REN'!D23</f>
        <v>1682522.1600000001</v>
      </c>
      <c r="D23" s="284">
        <f>(B22*O7/2)+(D6*O11/12)</f>
        <v>1867370.7833629379</v>
      </c>
      <c r="E23" s="284"/>
      <c r="F23" s="118"/>
      <c r="G23" s="284"/>
      <c r="H23" s="482"/>
      <c r="I23" s="340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2.75" customHeight="1">
      <c r="A24" s="502" t="s">
        <v>796</v>
      </c>
      <c r="B24" s="284">
        <f t="shared" ref="B24:B32" si="4">B23-C24</f>
        <v>14787889.869035009</v>
      </c>
      <c r="C24" s="284">
        <f>'Marcha Credito Act. Fijo NO REN'!D24</f>
        <v>1682522.1600000001</v>
      </c>
      <c r="D24" s="284">
        <f t="shared" ref="D24:D32" si="5">((B23-$D$6)*$O$7/2)+($D$6*$O$11/2)</f>
        <v>1765275.3825776258</v>
      </c>
      <c r="E24" s="284">
        <f>C23+C24</f>
        <v>3365044.3200000003</v>
      </c>
      <c r="F24" s="284">
        <f>(B24+B22)/2</f>
        <v>15806555.734517505</v>
      </c>
      <c r="G24" s="284">
        <f>D23+D24</f>
        <v>3632646.1659405637</v>
      </c>
      <c r="H24" s="286">
        <f>G24/F24</f>
        <v>0.22981895783961248</v>
      </c>
      <c r="I24" s="340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2.75" customHeight="1">
      <c r="A25" s="502" t="s">
        <v>798</v>
      </c>
      <c r="B25" s="284">
        <f t="shared" si="4"/>
        <v>13105367.709035009</v>
      </c>
      <c r="C25" s="284">
        <f>'Marcha Credito Act. Fijo NO REN'!D25</f>
        <v>1682522.1600000001</v>
      </c>
      <c r="D25" s="284">
        <f t="shared" si="5"/>
        <v>1580197.9449776257</v>
      </c>
      <c r="E25" s="284"/>
      <c r="F25" s="284"/>
      <c r="G25" s="284"/>
      <c r="H25" s="286"/>
      <c r="I25" s="340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2.75" customHeight="1">
      <c r="A26" s="502" t="s">
        <v>800</v>
      </c>
      <c r="B26" s="284">
        <f t="shared" si="4"/>
        <v>11422845.549035009</v>
      </c>
      <c r="C26" s="284">
        <f>'Marcha Credito Act. Fijo NO REN'!D26</f>
        <v>1682522.1600000001</v>
      </c>
      <c r="D26" s="284">
        <f t="shared" si="5"/>
        <v>1395120.5073776259</v>
      </c>
      <c r="E26" s="284">
        <f>C25+C26</f>
        <v>3365044.3200000003</v>
      </c>
      <c r="F26" s="284">
        <f>(B26+B24)/2</f>
        <v>13105367.709035009</v>
      </c>
      <c r="G26" s="284">
        <f>D25+D26</f>
        <v>2975318.4523552516</v>
      </c>
      <c r="H26" s="286">
        <f>G26/F26</f>
        <v>0.22703052050222358</v>
      </c>
      <c r="I26" s="340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2.75" customHeight="1">
      <c r="A27" s="502" t="s">
        <v>802</v>
      </c>
      <c r="B27" s="284">
        <f t="shared" si="4"/>
        <v>9740323.3890350088</v>
      </c>
      <c r="C27" s="284">
        <f>'Marcha Credito Act. Fijo NO REN'!D27</f>
        <v>1682522.1600000001</v>
      </c>
      <c r="D27" s="284">
        <f t="shared" si="5"/>
        <v>1210043.0697776258</v>
      </c>
      <c r="E27" s="284"/>
      <c r="F27" s="284"/>
      <c r="G27" s="284"/>
      <c r="H27" s="286"/>
      <c r="I27" s="340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2.75" customHeight="1">
      <c r="A28" s="502" t="s">
        <v>803</v>
      </c>
      <c r="B28" s="284">
        <f t="shared" si="4"/>
        <v>8057801.2290350087</v>
      </c>
      <c r="C28" s="284">
        <f>'Marcha Credito Act. Fijo NO REN'!D28</f>
        <v>1682522.1600000001</v>
      </c>
      <c r="D28" s="284">
        <f t="shared" si="5"/>
        <v>1024965.6321776258</v>
      </c>
      <c r="E28" s="284">
        <f>C27+C28</f>
        <v>3365044.3200000003</v>
      </c>
      <c r="F28" s="284">
        <f>(B28+B26)/2</f>
        <v>9740323.3890350088</v>
      </c>
      <c r="G28" s="284">
        <f>D27+D28</f>
        <v>2235008.7019552514</v>
      </c>
      <c r="H28" s="286">
        <f>G28/F28</f>
        <v>0.22945939397364071</v>
      </c>
      <c r="I28" s="340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2.75" customHeight="1">
      <c r="A29" s="502" t="s">
        <v>804</v>
      </c>
      <c r="B29" s="284">
        <f t="shared" si="4"/>
        <v>6375279.0690350085</v>
      </c>
      <c r="C29" s="284">
        <f>'Marcha Credito Act. Fijo NO REN'!D29</f>
        <v>1682522.1600000001</v>
      </c>
      <c r="D29" s="284">
        <f t="shared" si="5"/>
        <v>839888.1945776256</v>
      </c>
      <c r="E29" s="284"/>
      <c r="F29" s="284"/>
      <c r="G29" s="284"/>
      <c r="H29" s="286"/>
      <c r="I29" s="340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2.75" customHeight="1">
      <c r="A30" s="502" t="s">
        <v>808</v>
      </c>
      <c r="B30" s="284">
        <f t="shared" si="4"/>
        <v>4692756.9090350084</v>
      </c>
      <c r="C30" s="284">
        <f>'Marcha Credito Act. Fijo NO REN'!D30</f>
        <v>1682522.1600000001</v>
      </c>
      <c r="D30" s="284">
        <f t="shared" si="5"/>
        <v>654810.75697762566</v>
      </c>
      <c r="E30" s="284">
        <f>C29+C30</f>
        <v>3365044.3200000003</v>
      </c>
      <c r="F30" s="284">
        <f>(B30+B28)/2</f>
        <v>6375279.0690350085</v>
      </c>
      <c r="G30" s="284">
        <f>D29+D30</f>
        <v>1494698.9515552511</v>
      </c>
      <c r="H30" s="286">
        <f>G30/F30</f>
        <v>0.23445231736051605</v>
      </c>
      <c r="I30" s="340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2.75" customHeight="1">
      <c r="A31" s="502" t="s">
        <v>811</v>
      </c>
      <c r="B31" s="284">
        <f t="shared" si="4"/>
        <v>3010234.7490350083</v>
      </c>
      <c r="C31" s="284">
        <f>'Marcha Credito Act. Fijo NO REN'!D31</f>
        <v>1682522.1600000001</v>
      </c>
      <c r="D31" s="284">
        <f t="shared" si="5"/>
        <v>469733.31937762565</v>
      </c>
      <c r="E31" s="284"/>
      <c r="F31" s="284"/>
      <c r="G31" s="284"/>
      <c r="H31" s="286"/>
      <c r="I31" s="340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2.75" customHeight="1">
      <c r="A32" s="502" t="s">
        <v>813</v>
      </c>
      <c r="B32" s="284">
        <f t="shared" si="4"/>
        <v>1327712.5890350081</v>
      </c>
      <c r="C32" s="284">
        <f>'Marcha Credito Act. Fijo NO REN'!D32</f>
        <v>1682522.1600000001</v>
      </c>
      <c r="D32" s="284">
        <f t="shared" si="5"/>
        <v>284655.88177762565</v>
      </c>
      <c r="E32" s="284">
        <f>C31+C32</f>
        <v>3365044.3200000003</v>
      </c>
      <c r="F32" s="284">
        <f>(B32+B30)/2</f>
        <v>3010234.7490350083</v>
      </c>
      <c r="G32" s="284">
        <f>D31+D32</f>
        <v>754389.20115525136</v>
      </c>
      <c r="H32" s="286">
        <f>G32/F32</f>
        <v>0.25060809672637196</v>
      </c>
      <c r="I32" s="340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2.75" customHeight="1">
      <c r="A33" s="514"/>
      <c r="B33" s="284"/>
      <c r="C33" s="284"/>
      <c r="D33" s="284"/>
      <c r="E33" s="284"/>
      <c r="F33" s="284"/>
      <c r="G33" s="284"/>
      <c r="H33" s="286"/>
      <c r="I33" s="340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2.75" customHeight="1">
      <c r="A34" s="514"/>
      <c r="B34" s="284"/>
      <c r="C34" s="284"/>
      <c r="D34" s="284"/>
      <c r="E34" s="284"/>
      <c r="F34" s="284"/>
      <c r="G34" s="284"/>
      <c r="H34" s="286"/>
      <c r="I34" s="340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2.75" customHeight="1">
      <c r="A35" s="514"/>
      <c r="B35" s="284"/>
      <c r="C35" s="284"/>
      <c r="D35" s="284"/>
      <c r="E35" s="284"/>
      <c r="F35" s="118"/>
      <c r="G35" s="284"/>
      <c r="H35" s="482"/>
      <c r="I35" s="340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2.75" customHeight="1">
      <c r="A36" s="514"/>
      <c r="B36" s="284"/>
      <c r="C36" s="284"/>
      <c r="D36" s="284"/>
      <c r="E36" s="284"/>
      <c r="F36" s="284"/>
      <c r="G36" s="284"/>
      <c r="H36" s="286"/>
      <c r="I36" s="340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2.75" customHeight="1">
      <c r="A37" s="514"/>
      <c r="B37" s="284"/>
      <c r="C37" s="284"/>
      <c r="D37" s="284"/>
      <c r="E37" s="284"/>
      <c r="F37" s="118"/>
      <c r="G37" s="284"/>
      <c r="H37" s="482"/>
      <c r="I37" s="340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2.75" customHeight="1">
      <c r="A38" s="514"/>
      <c r="B38" s="284"/>
      <c r="C38" s="284"/>
      <c r="D38" s="284"/>
      <c r="E38" s="284"/>
      <c r="F38" s="284"/>
      <c r="G38" s="284"/>
      <c r="H38" s="286"/>
      <c r="I38" s="340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2.75" customHeight="1">
      <c r="A39" s="514"/>
      <c r="B39" s="284"/>
      <c r="C39" s="284"/>
      <c r="D39" s="284"/>
      <c r="E39" s="284"/>
      <c r="F39" s="118"/>
      <c r="G39" s="284"/>
      <c r="H39" s="482"/>
      <c r="I39" s="340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514"/>
      <c r="B40" s="284"/>
      <c r="C40" s="284"/>
      <c r="D40" s="284"/>
      <c r="E40" s="284"/>
      <c r="F40" s="284"/>
      <c r="G40" s="284"/>
      <c r="H40" s="286"/>
      <c r="I40" s="340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514"/>
      <c r="B41" s="284"/>
      <c r="C41" s="284"/>
      <c r="D41" s="284"/>
      <c r="E41" s="284"/>
      <c r="F41" s="118"/>
      <c r="G41" s="284"/>
      <c r="H41" s="482"/>
      <c r="I41" s="340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514"/>
      <c r="B42" s="284"/>
      <c r="C42" s="284"/>
      <c r="D42" s="284"/>
      <c r="E42" s="284"/>
      <c r="F42" s="284"/>
      <c r="G42" s="284"/>
      <c r="H42" s="286"/>
      <c r="I42" s="340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514"/>
      <c r="B43" s="284"/>
      <c r="C43" s="284"/>
      <c r="D43" s="284"/>
      <c r="E43" s="284"/>
      <c r="F43" s="118"/>
      <c r="G43" s="284"/>
      <c r="H43" s="482"/>
      <c r="I43" s="340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514"/>
      <c r="B44" s="284"/>
      <c r="C44" s="284"/>
      <c r="D44" s="284"/>
      <c r="E44" s="284"/>
      <c r="F44" s="284"/>
      <c r="G44" s="284"/>
      <c r="H44" s="286"/>
      <c r="I44" s="340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514"/>
      <c r="B45" s="284"/>
      <c r="C45" s="284"/>
      <c r="D45" s="284"/>
      <c r="E45" s="284"/>
      <c r="F45" s="118"/>
      <c r="G45" s="284"/>
      <c r="H45" s="482"/>
      <c r="I45" s="340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514"/>
      <c r="B46" s="284"/>
      <c r="C46" s="284"/>
      <c r="D46" s="284"/>
      <c r="E46" s="284"/>
      <c r="F46" s="284"/>
      <c r="G46" s="284"/>
      <c r="H46" s="286"/>
      <c r="I46" s="340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2.75" customHeight="1">
      <c r="A47" s="514"/>
      <c r="B47" s="284"/>
      <c r="C47" s="284"/>
      <c r="D47" s="284"/>
      <c r="E47" s="284"/>
      <c r="F47" s="118"/>
      <c r="G47" s="284"/>
      <c r="H47" s="482"/>
      <c r="I47" s="340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2.75" customHeight="1">
      <c r="A48" s="514"/>
      <c r="B48" s="284"/>
      <c r="C48" s="284"/>
      <c r="D48" s="284"/>
      <c r="E48" s="284"/>
      <c r="F48" s="284"/>
      <c r="G48" s="284"/>
      <c r="H48" s="286"/>
      <c r="I48" s="340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2.75" customHeight="1">
      <c r="A49" s="514"/>
      <c r="B49" s="284"/>
      <c r="C49" s="284"/>
      <c r="D49" s="284"/>
      <c r="E49" s="284"/>
      <c r="F49" s="118"/>
      <c r="G49" s="284"/>
      <c r="H49" s="482"/>
      <c r="I49" s="3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2.75" customHeight="1">
      <c r="A50" s="514"/>
      <c r="B50" s="284"/>
      <c r="C50" s="284"/>
      <c r="D50" s="284"/>
      <c r="E50" s="284"/>
      <c r="F50" s="284"/>
      <c r="G50" s="284"/>
      <c r="H50" s="286"/>
      <c r="I50" s="3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2.75" customHeight="1">
      <c r="A51" s="514"/>
      <c r="B51" s="284"/>
      <c r="C51" s="284"/>
      <c r="D51" s="284"/>
      <c r="E51" s="284"/>
      <c r="F51" s="118"/>
      <c r="G51" s="284"/>
      <c r="H51" s="482"/>
      <c r="I51" s="340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2.75" customHeight="1">
      <c r="A52" s="514"/>
      <c r="B52" s="284"/>
      <c r="C52" s="284"/>
      <c r="D52" s="284"/>
      <c r="E52" s="284"/>
      <c r="F52" s="284"/>
      <c r="G52" s="284"/>
      <c r="H52" s="286"/>
      <c r="I52" s="340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489"/>
      <c r="B53" s="284"/>
      <c r="C53" s="284"/>
      <c r="D53" s="284"/>
      <c r="E53" s="284"/>
      <c r="F53" s="118"/>
      <c r="G53" s="284"/>
      <c r="H53" s="482"/>
      <c r="I53" s="340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3.5" customHeight="1">
      <c r="A54" s="515" t="s">
        <v>820</v>
      </c>
      <c r="B54" s="293">
        <f t="shared" ref="B54:E54" si="6">SUM(B22:B32)</f>
        <v>105815844.69035009</v>
      </c>
      <c r="C54" s="293">
        <f t="shared" si="6"/>
        <v>16825221.600000001</v>
      </c>
      <c r="D54" s="293">
        <f t="shared" si="6"/>
        <v>11092061.472961567</v>
      </c>
      <c r="E54" s="293">
        <f t="shared" si="6"/>
        <v>16825221.600000001</v>
      </c>
      <c r="F54" s="293"/>
      <c r="G54" s="293">
        <f>SUM(G22:G32)</f>
        <v>11092061.472961569</v>
      </c>
      <c r="H54" s="293"/>
      <c r="I54" s="293">
        <f>I21</f>
        <v>673008.86400000006</v>
      </c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2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2.7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2.7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2.7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2.7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2.7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12.7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12.7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12.7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 ht="12.7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 ht="12.75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spans="1:26" ht="12.75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spans="1:26" ht="12.75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spans="1:26" ht="12.75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spans="1:26" ht="12.75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spans="1:26" ht="12.75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spans="1:26" ht="12.75" customHeight="1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</row>
    <row r="238" spans="1:26" ht="12.75" customHeight="1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</row>
    <row r="239" spans="1:26" ht="12.75" customHeight="1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</row>
    <row r="240" spans="1:26" ht="12.75" customHeight="1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</row>
    <row r="241" spans="1:26" ht="12.75" customHeight="1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</row>
    <row r="242" spans="1:26" ht="12.75" customHeight="1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</row>
    <row r="243" spans="1:26" ht="12.75" customHeight="1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</row>
    <row r="244" spans="1:26" ht="12.75" customHeight="1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</row>
    <row r="245" spans="1:26" ht="12.75" customHeight="1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</row>
    <row r="246" spans="1:26" ht="12.75" customHeight="1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</row>
    <row r="247" spans="1:26" ht="12.75" customHeight="1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</row>
    <row r="248" spans="1:26" ht="12.75" customHeight="1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</row>
    <row r="249" spans="1:26" ht="12.75" customHeight="1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</row>
    <row r="250" spans="1:26" ht="12.75" customHeight="1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</row>
    <row r="251" spans="1:26" ht="12.75" customHeight="1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</row>
    <row r="252" spans="1:26" ht="12.75" customHeight="1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</row>
    <row r="253" spans="1:26" ht="12.75" customHeight="1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</row>
    <row r="254" spans="1:26" ht="12.75" customHeight="1">
      <c r="A254" s="9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D3:E3"/>
    <mergeCell ref="F3:G3"/>
  </mergeCells>
  <hyperlinks>
    <hyperlink ref="N5" r:id="rId1" xr:uid="{00000000-0004-0000-0D00-000000000000}"/>
  </hyperlinks>
  <pageMargins left="0.7" right="0.7" top="0.75" bottom="0.75" header="0" footer="0"/>
  <pageSetup orientation="landscape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2CC"/>
    <outlinePr summaryBelow="0" summaryRight="0"/>
  </sheetPr>
  <dimension ref="A1:M50"/>
  <sheetViews>
    <sheetView topLeftCell="B1" workbookViewId="0"/>
  </sheetViews>
  <sheetFormatPr defaultColWidth="14.44140625" defaultRowHeight="15" customHeight="1"/>
  <cols>
    <col min="1" max="1" width="9.88671875" customWidth="1"/>
    <col min="2" max="2" width="19.6640625" customWidth="1"/>
    <col min="3" max="3" width="15.109375" bestFit="1" customWidth="1"/>
    <col min="5" max="5" width="15.109375" bestFit="1" customWidth="1"/>
    <col min="7" max="7" width="15.109375" bestFit="1" customWidth="1"/>
  </cols>
  <sheetData>
    <row r="1" spans="1:13" ht="15" customHeight="1">
      <c r="A1" s="93"/>
      <c r="B1" s="93" t="s">
        <v>205</v>
      </c>
      <c r="F1" s="97"/>
      <c r="G1" s="268">
        <f>InfoInicial!E1</f>
        <v>10</v>
      </c>
      <c r="H1" s="94"/>
      <c r="I1" s="97"/>
      <c r="J1" s="97"/>
    </row>
    <row r="2" spans="1:13">
      <c r="A2" s="269"/>
      <c r="B2" s="270" t="s">
        <v>454</v>
      </c>
      <c r="C2" s="271"/>
      <c r="D2" s="271"/>
      <c r="E2" s="271"/>
      <c r="F2" s="271"/>
      <c r="G2" s="271"/>
      <c r="H2" s="272"/>
      <c r="I2" s="97"/>
      <c r="J2" s="97"/>
    </row>
    <row r="3" spans="1:13" ht="15" customHeight="1">
      <c r="A3" s="273"/>
      <c r="B3" s="274" t="s">
        <v>455</v>
      </c>
      <c r="C3" s="673" t="s">
        <v>456</v>
      </c>
      <c r="D3" s="674"/>
      <c r="E3" s="673" t="s">
        <v>458</v>
      </c>
      <c r="F3" s="674"/>
      <c r="G3" s="673" t="s">
        <v>460</v>
      </c>
      <c r="H3" s="675"/>
      <c r="I3" s="97"/>
      <c r="J3" s="97"/>
    </row>
    <row r="4" spans="1:13" ht="15" customHeight="1">
      <c r="A4" s="273"/>
      <c r="B4" s="274" t="s">
        <v>321</v>
      </c>
      <c r="C4" s="278" t="s">
        <v>461</v>
      </c>
      <c r="D4" s="278" t="s">
        <v>463</v>
      </c>
      <c r="E4" s="278" t="s">
        <v>461</v>
      </c>
      <c r="F4" s="278" t="s">
        <v>463</v>
      </c>
      <c r="G4" s="278" t="s">
        <v>461</v>
      </c>
      <c r="H4" s="280" t="s">
        <v>463</v>
      </c>
      <c r="I4" s="97"/>
      <c r="J4" s="97"/>
    </row>
    <row r="5" spans="1:13" ht="15" customHeight="1">
      <c r="A5" s="282"/>
      <c r="B5" s="128" t="s">
        <v>464</v>
      </c>
      <c r="C5" s="284">
        <f>'E-Cal Inv.'!I8</f>
        <v>27903427.521784447</v>
      </c>
      <c r="D5" s="286">
        <f t="shared" ref="D5:D7" si="0">C5/$C$8</f>
        <v>0.73921390934396602</v>
      </c>
      <c r="E5" s="284">
        <f>('E-Inv AF y Am'!B47+'E-Inv AF y Am'!B51+'E-Inv AF y Am'!B46+'E-Inv AF y Am'!B45)</f>
        <v>16825221.600000001</v>
      </c>
      <c r="F5" s="286">
        <f>E5/C8</f>
        <v>0.4457315440837698</v>
      </c>
      <c r="G5" s="284">
        <f t="shared" ref="G5:G7" si="1">C5-E5</f>
        <v>11078205.921784446</v>
      </c>
      <c r="H5" s="287">
        <f>G5/C8</f>
        <v>0.29348236526019622</v>
      </c>
      <c r="I5" s="97"/>
      <c r="J5" s="97"/>
      <c r="K5" s="471" t="s">
        <v>749</v>
      </c>
    </row>
    <row r="6" spans="1:13" ht="15" customHeight="1">
      <c r="A6" s="97"/>
      <c r="B6" s="113" t="s">
        <v>471</v>
      </c>
      <c r="C6" s="284">
        <f>'E-Cal Inv.'!I18</f>
        <v>3292798.1049316162</v>
      </c>
      <c r="D6" s="286">
        <f t="shared" si="0"/>
        <v>8.7232371647769577E-2</v>
      </c>
      <c r="E6" s="284">
        <f>'E-Cal Inv.'!I14+'E-Cal Inv.'!I15</f>
        <v>1535269.8014468076</v>
      </c>
      <c r="F6" s="286">
        <f>E6/C8</f>
        <v>4.0672164412031767E-2</v>
      </c>
      <c r="G6" s="284">
        <f t="shared" si="1"/>
        <v>1757528.3034848087</v>
      </c>
      <c r="H6" s="287">
        <f>G6/C8</f>
        <v>4.6560207235737811E-2</v>
      </c>
      <c r="I6" s="97"/>
      <c r="J6" s="97"/>
      <c r="K6" s="288" t="s">
        <v>752</v>
      </c>
    </row>
    <row r="7" spans="1:13" ht="15" customHeight="1">
      <c r="A7" s="97"/>
      <c r="B7" s="113" t="s">
        <v>473</v>
      </c>
      <c r="C7" s="284">
        <f>'E-Cal Inv.'!I23</f>
        <v>6551207.3816103721</v>
      </c>
      <c r="D7" s="286">
        <f t="shared" si="0"/>
        <v>0.17355371900826444</v>
      </c>
      <c r="E7" s="291">
        <v>0</v>
      </c>
      <c r="F7" s="286">
        <f>E7/C8</f>
        <v>0</v>
      </c>
      <c r="G7" s="284">
        <f t="shared" si="1"/>
        <v>6551207.3816103721</v>
      </c>
      <c r="H7" s="287">
        <f>G7/C8</f>
        <v>0.17355371900826444</v>
      </c>
      <c r="I7" s="97"/>
      <c r="J7" s="288" t="s">
        <v>476</v>
      </c>
      <c r="K7" s="292" t="s">
        <v>754</v>
      </c>
      <c r="L7" s="292">
        <v>0.22</v>
      </c>
      <c r="M7" s="292" t="s">
        <v>755</v>
      </c>
    </row>
    <row r="8" spans="1:13" ht="15" customHeight="1">
      <c r="A8" s="134"/>
      <c r="B8" s="160" t="s">
        <v>429</v>
      </c>
      <c r="C8" s="293">
        <f t="shared" ref="C8:D8" si="2">SUM(C5:C7)</f>
        <v>37747433.008326434</v>
      </c>
      <c r="D8" s="294">
        <f t="shared" si="2"/>
        <v>1</v>
      </c>
      <c r="E8" s="293">
        <f>SUM(E5:E7)</f>
        <v>18360491.401446808</v>
      </c>
      <c r="F8" s="294">
        <f>E8/C8</f>
        <v>0.48640370849580156</v>
      </c>
      <c r="G8" s="293">
        <f t="shared" ref="G8:H8" si="3">SUM(G5:G7)</f>
        <v>19386941.606879625</v>
      </c>
      <c r="H8" s="295">
        <f t="shared" si="3"/>
        <v>0.5135962915041985</v>
      </c>
      <c r="I8" s="97"/>
      <c r="J8" s="288" t="s">
        <v>757</v>
      </c>
      <c r="K8" s="296">
        <v>0.04</v>
      </c>
      <c r="L8" s="292">
        <v>0.04</v>
      </c>
    </row>
    <row r="9" spans="1:13" ht="15" customHeight="1">
      <c r="A9" s="134"/>
      <c r="B9" s="134"/>
      <c r="C9" s="220"/>
      <c r="D9" s="297"/>
      <c r="E9" s="220"/>
      <c r="F9" s="220"/>
      <c r="G9" s="220"/>
      <c r="H9" s="220"/>
      <c r="I9" s="97"/>
      <c r="J9" s="97"/>
    </row>
    <row r="10" spans="1:13">
      <c r="A10" s="269"/>
      <c r="B10" s="472" t="s">
        <v>758</v>
      </c>
      <c r="C10" s="473"/>
      <c r="D10" s="473"/>
      <c r="E10" s="473"/>
      <c r="F10" s="473"/>
      <c r="G10" s="473"/>
      <c r="H10" s="473"/>
      <c r="I10" s="473"/>
      <c r="J10" s="475"/>
    </row>
    <row r="11" spans="1:13" ht="15" customHeight="1">
      <c r="A11" s="273"/>
      <c r="B11" s="476" t="s">
        <v>760</v>
      </c>
      <c r="C11" s="477" t="s">
        <v>761</v>
      </c>
      <c r="D11" s="477" t="s">
        <v>763</v>
      </c>
      <c r="E11" s="477" t="s">
        <v>764</v>
      </c>
      <c r="F11" s="477" t="s">
        <v>763</v>
      </c>
      <c r="G11" s="477" t="s">
        <v>765</v>
      </c>
      <c r="H11" s="477" t="s">
        <v>764</v>
      </c>
      <c r="I11" s="477"/>
      <c r="J11" s="478" t="s">
        <v>766</v>
      </c>
    </row>
    <row r="12" spans="1:13" ht="15" customHeight="1">
      <c r="A12" s="273"/>
      <c r="B12" s="479"/>
      <c r="C12" s="480"/>
      <c r="D12" s="480" t="s">
        <v>768</v>
      </c>
      <c r="E12" s="480" t="s">
        <v>768</v>
      </c>
      <c r="F12" s="480" t="s">
        <v>282</v>
      </c>
      <c r="G12" s="480" t="s">
        <v>770</v>
      </c>
      <c r="H12" s="480" t="s">
        <v>282</v>
      </c>
      <c r="I12" s="480" t="s">
        <v>771</v>
      </c>
      <c r="J12" s="481" t="s">
        <v>772</v>
      </c>
    </row>
    <row r="13" spans="1:13" ht="15" customHeight="1">
      <c r="A13" s="288"/>
      <c r="B13" s="507" t="s">
        <v>797</v>
      </c>
      <c r="C13" s="448">
        <f>E5/2</f>
        <v>8412610.8000000007</v>
      </c>
      <c r="D13" s="448"/>
      <c r="E13" s="448"/>
      <c r="F13" s="448"/>
      <c r="G13" s="166"/>
      <c r="H13" s="448"/>
      <c r="I13" s="485"/>
      <c r="J13" s="487">
        <f>(L8*E5)/2</f>
        <v>336504.43200000003</v>
      </c>
    </row>
    <row r="14" spans="1:13" ht="15" customHeight="1">
      <c r="A14" s="288"/>
      <c r="B14" s="509" t="s">
        <v>799</v>
      </c>
      <c r="C14" s="284">
        <f>E5</f>
        <v>16825221.600000001</v>
      </c>
      <c r="D14" s="284"/>
      <c r="E14" s="284">
        <f>(L7/12*4)*C13</f>
        <v>616924.79200000002</v>
      </c>
      <c r="F14" s="284"/>
      <c r="G14" s="118"/>
      <c r="H14" s="284"/>
      <c r="I14" s="482"/>
      <c r="J14" s="340">
        <f>(L8*E5)/2</f>
        <v>336504.43200000003</v>
      </c>
    </row>
    <row r="15" spans="1:13" ht="15" customHeight="1">
      <c r="A15" s="288"/>
      <c r="B15" s="509" t="s">
        <v>801</v>
      </c>
      <c r="C15" s="284">
        <f>E5</f>
        <v>16825221.600000001</v>
      </c>
      <c r="D15" s="284"/>
      <c r="E15" s="284">
        <f>C14*(L7/12*4)</f>
        <v>1233849.584</v>
      </c>
      <c r="F15" s="284"/>
      <c r="G15" s="118"/>
      <c r="H15" s="284"/>
      <c r="I15" s="482"/>
      <c r="J15" s="340"/>
    </row>
    <row r="16" spans="1:13" ht="15" customHeight="1">
      <c r="A16" s="511"/>
      <c r="B16" s="489"/>
      <c r="C16" s="284"/>
      <c r="D16" s="284"/>
      <c r="E16" s="284"/>
      <c r="F16" s="284"/>
      <c r="G16" s="118"/>
      <c r="H16" s="284"/>
      <c r="I16" s="482"/>
      <c r="J16" s="340"/>
    </row>
    <row r="17" spans="1:10" ht="15" customHeight="1">
      <c r="A17" s="511"/>
      <c r="B17" s="489"/>
      <c r="C17" s="284"/>
      <c r="D17" s="284"/>
      <c r="E17" s="284"/>
      <c r="F17" s="284"/>
      <c r="G17" s="118"/>
      <c r="H17" s="284"/>
      <c r="I17" s="482"/>
      <c r="J17" s="340"/>
    </row>
    <row r="18" spans="1:10" ht="15" customHeight="1">
      <c r="A18" s="511"/>
      <c r="B18" s="489"/>
      <c r="C18" s="284"/>
      <c r="D18" s="284"/>
      <c r="E18" s="284"/>
      <c r="F18" s="284"/>
      <c r="G18" s="118"/>
      <c r="H18" s="284"/>
      <c r="I18" s="482"/>
      <c r="J18" s="340"/>
    </row>
    <row r="19" spans="1:10" ht="15" customHeight="1">
      <c r="A19" s="511"/>
      <c r="B19" s="489"/>
      <c r="C19" s="284"/>
      <c r="D19" s="284"/>
      <c r="E19" s="284"/>
      <c r="F19" s="284"/>
      <c r="G19" s="118"/>
      <c r="H19" s="284"/>
      <c r="I19" s="482"/>
      <c r="J19" s="340"/>
    </row>
    <row r="20" spans="1:10" ht="15" customHeight="1">
      <c r="A20" s="511"/>
      <c r="B20" s="490"/>
      <c r="C20" s="491"/>
      <c r="D20" s="491"/>
      <c r="E20" s="433"/>
      <c r="F20" s="491"/>
      <c r="G20" s="146"/>
      <c r="H20" s="433"/>
      <c r="I20" s="492"/>
      <c r="J20" s="493"/>
    </row>
    <row r="21" spans="1:10" ht="15" customHeight="1">
      <c r="A21" s="96"/>
      <c r="B21" s="96" t="s">
        <v>782</v>
      </c>
      <c r="C21" s="494"/>
      <c r="D21" s="494"/>
      <c r="E21" s="495">
        <f>SUM(E13:E18)</f>
        <v>1850774.3760000002</v>
      </c>
      <c r="F21" s="494"/>
      <c r="G21" s="496"/>
      <c r="H21" s="495">
        <f>E21</f>
        <v>1850774.3760000002</v>
      </c>
      <c r="I21" s="497"/>
      <c r="J21" s="495">
        <f>SUM(J13:J18)</f>
        <v>673008.86400000006</v>
      </c>
    </row>
    <row r="22" spans="1:10" ht="15" customHeight="1">
      <c r="A22" s="511"/>
      <c r="B22" s="498" t="s">
        <v>785</v>
      </c>
      <c r="C22" s="448">
        <f>C15</f>
        <v>16825221.600000001</v>
      </c>
      <c r="D22" s="448"/>
      <c r="E22" s="330"/>
      <c r="F22" s="448"/>
      <c r="G22" s="166"/>
      <c r="H22" s="330"/>
      <c r="I22" s="500"/>
      <c r="J22" s="334"/>
    </row>
    <row r="23" spans="1:10" ht="15" customHeight="1">
      <c r="A23" s="511"/>
      <c r="B23" s="502" t="s">
        <v>805</v>
      </c>
      <c r="C23" s="284">
        <f>C15-D23</f>
        <v>15142699.440000001</v>
      </c>
      <c r="D23" s="284">
        <f t="shared" ref="D23:D32" si="4">$C$15/10</f>
        <v>1682522.1600000001</v>
      </c>
      <c r="E23" s="284">
        <f t="shared" ref="E23:E32" si="5">C22*($L$7/2)</f>
        <v>1850774.3760000002</v>
      </c>
      <c r="F23" s="284"/>
      <c r="G23" s="118"/>
      <c r="H23" s="284"/>
      <c r="I23" s="482"/>
      <c r="J23" s="340"/>
    </row>
    <row r="24" spans="1:10" ht="15" customHeight="1">
      <c r="A24" s="513"/>
      <c r="B24" s="502" t="s">
        <v>809</v>
      </c>
      <c r="C24" s="284">
        <f t="shared" ref="C24:C32" si="6">C23-D24</f>
        <v>13460177.280000001</v>
      </c>
      <c r="D24" s="284">
        <f t="shared" si="4"/>
        <v>1682522.1600000001</v>
      </c>
      <c r="E24" s="284">
        <f t="shared" si="5"/>
        <v>1665696.9384000001</v>
      </c>
      <c r="F24" s="284">
        <f>D24+D23</f>
        <v>3365044.3200000003</v>
      </c>
      <c r="G24" s="284"/>
      <c r="H24" s="284">
        <f>E24+E23</f>
        <v>3516471.3144000005</v>
      </c>
      <c r="I24" s="286"/>
      <c r="J24" s="340"/>
    </row>
    <row r="25" spans="1:10" ht="15" customHeight="1">
      <c r="A25" s="513"/>
      <c r="B25" s="502" t="s">
        <v>810</v>
      </c>
      <c r="C25" s="284">
        <f t="shared" si="6"/>
        <v>11777655.120000001</v>
      </c>
      <c r="D25" s="284">
        <f t="shared" si="4"/>
        <v>1682522.1600000001</v>
      </c>
      <c r="E25" s="284">
        <f t="shared" si="5"/>
        <v>1480619.5008</v>
      </c>
      <c r="F25" s="284"/>
      <c r="G25" s="284"/>
      <c r="H25" s="284"/>
      <c r="I25" s="286"/>
      <c r="J25" s="340"/>
    </row>
    <row r="26" spans="1:10" ht="15" customHeight="1">
      <c r="A26" s="513"/>
      <c r="B26" s="502" t="s">
        <v>812</v>
      </c>
      <c r="C26" s="284">
        <f t="shared" si="6"/>
        <v>10095132.960000001</v>
      </c>
      <c r="D26" s="284">
        <f t="shared" si="4"/>
        <v>1682522.1600000001</v>
      </c>
      <c r="E26" s="284">
        <f t="shared" si="5"/>
        <v>1295542.0632000002</v>
      </c>
      <c r="F26" s="284">
        <f>D26+D25</f>
        <v>3365044.3200000003</v>
      </c>
      <c r="G26" s="284"/>
      <c r="H26" s="284">
        <f>E26+E25</f>
        <v>2776161.5640000002</v>
      </c>
      <c r="I26" s="286"/>
      <c r="J26" s="340"/>
    </row>
    <row r="27" spans="1:10" ht="15" customHeight="1">
      <c r="A27" s="513"/>
      <c r="B27" s="502" t="s">
        <v>814</v>
      </c>
      <c r="C27" s="284">
        <f t="shared" si="6"/>
        <v>8412610.8000000007</v>
      </c>
      <c r="D27" s="284">
        <f t="shared" si="4"/>
        <v>1682522.1600000001</v>
      </c>
      <c r="E27" s="284">
        <f t="shared" si="5"/>
        <v>1110464.6256000001</v>
      </c>
      <c r="F27" s="284"/>
      <c r="G27" s="284"/>
      <c r="H27" s="284"/>
      <c r="I27" s="286"/>
      <c r="J27" s="340"/>
    </row>
    <row r="28" spans="1:10" ht="15" customHeight="1">
      <c r="A28" s="513"/>
      <c r="B28" s="502" t="s">
        <v>815</v>
      </c>
      <c r="C28" s="284">
        <f t="shared" si="6"/>
        <v>6730088.6400000006</v>
      </c>
      <c r="D28" s="284">
        <f t="shared" si="4"/>
        <v>1682522.1600000001</v>
      </c>
      <c r="E28" s="284">
        <f t="shared" si="5"/>
        <v>925387.18800000008</v>
      </c>
      <c r="F28" s="284">
        <f>D28+D27</f>
        <v>3365044.3200000003</v>
      </c>
      <c r="G28" s="284"/>
      <c r="H28" s="284">
        <f>E28+E27</f>
        <v>2035851.8136000002</v>
      </c>
      <c r="I28" s="286"/>
      <c r="J28" s="340"/>
    </row>
    <row r="29" spans="1:10" ht="15" customHeight="1">
      <c r="A29" s="513"/>
      <c r="B29" s="502" t="s">
        <v>816</v>
      </c>
      <c r="C29" s="284">
        <f t="shared" si="6"/>
        <v>5047566.4800000004</v>
      </c>
      <c r="D29" s="284">
        <f t="shared" si="4"/>
        <v>1682522.1600000001</v>
      </c>
      <c r="E29" s="284">
        <f t="shared" si="5"/>
        <v>740309.75040000002</v>
      </c>
      <c r="F29" s="284"/>
      <c r="G29" s="284"/>
      <c r="H29" s="284"/>
      <c r="I29" s="286"/>
      <c r="J29" s="340"/>
    </row>
    <row r="30" spans="1:10" ht="13.2">
      <c r="A30" s="513"/>
      <c r="B30" s="502" t="s">
        <v>817</v>
      </c>
      <c r="C30" s="284">
        <f t="shared" si="6"/>
        <v>3365044.3200000003</v>
      </c>
      <c r="D30" s="284">
        <f t="shared" si="4"/>
        <v>1682522.1600000001</v>
      </c>
      <c r="E30" s="284">
        <f t="shared" si="5"/>
        <v>555232.31280000007</v>
      </c>
      <c r="F30" s="284">
        <f>D30+D29</f>
        <v>3365044.3200000003</v>
      </c>
      <c r="G30" s="284"/>
      <c r="H30" s="284">
        <f>E30+E29</f>
        <v>1295542.0632000002</v>
      </c>
      <c r="I30" s="286"/>
      <c r="J30" s="340"/>
    </row>
    <row r="31" spans="1:10" ht="13.2">
      <c r="A31" s="513"/>
      <c r="B31" s="502" t="s">
        <v>818</v>
      </c>
      <c r="C31" s="284">
        <f t="shared" si="6"/>
        <v>1682522.1600000001</v>
      </c>
      <c r="D31" s="284">
        <f t="shared" si="4"/>
        <v>1682522.1600000001</v>
      </c>
      <c r="E31" s="284">
        <f t="shared" si="5"/>
        <v>370154.87520000001</v>
      </c>
      <c r="F31" s="284"/>
      <c r="G31" s="118"/>
      <c r="H31" s="284"/>
      <c r="I31" s="482"/>
      <c r="J31" s="340"/>
    </row>
    <row r="32" spans="1:10" ht="13.2">
      <c r="A32" s="513"/>
      <c r="B32" s="502" t="s">
        <v>819</v>
      </c>
      <c r="C32" s="284">
        <f t="shared" si="6"/>
        <v>0</v>
      </c>
      <c r="D32" s="284">
        <f t="shared" si="4"/>
        <v>1682522.1600000001</v>
      </c>
      <c r="E32" s="284">
        <f t="shared" si="5"/>
        <v>185077.4376</v>
      </c>
      <c r="F32" s="284">
        <f>D32+D31</f>
        <v>3365044.3200000003</v>
      </c>
      <c r="G32" s="284"/>
      <c r="H32" s="284">
        <f>E32+E31</f>
        <v>555232.31279999996</v>
      </c>
      <c r="I32" s="286"/>
      <c r="J32" s="340"/>
    </row>
    <row r="33" spans="1:10" ht="13.2">
      <c r="A33" s="513"/>
      <c r="B33" s="502"/>
      <c r="C33" s="284"/>
      <c r="D33" s="284"/>
      <c r="E33" s="284"/>
      <c r="F33" s="284"/>
      <c r="G33" s="118"/>
      <c r="H33" s="284"/>
      <c r="I33" s="482"/>
      <c r="J33" s="340"/>
    </row>
    <row r="34" spans="1:10" ht="13.2">
      <c r="A34" s="513"/>
      <c r="B34" s="502"/>
      <c r="C34" s="284"/>
      <c r="D34" s="284"/>
      <c r="E34" s="284"/>
      <c r="F34" s="284"/>
      <c r="G34" s="284"/>
      <c r="H34" s="284"/>
      <c r="I34" s="286"/>
      <c r="J34" s="340"/>
    </row>
    <row r="35" spans="1:10" ht="13.2">
      <c r="A35" s="513"/>
      <c r="B35" s="502"/>
      <c r="C35" s="284"/>
      <c r="D35" s="284"/>
      <c r="E35" s="284"/>
      <c r="F35" s="284"/>
      <c r="G35" s="118"/>
      <c r="H35" s="284"/>
      <c r="I35" s="482"/>
      <c r="J35" s="340"/>
    </row>
    <row r="36" spans="1:10" ht="13.2">
      <c r="A36" s="513"/>
      <c r="B36" s="502"/>
      <c r="C36" s="284"/>
      <c r="D36" s="284"/>
      <c r="E36" s="284"/>
      <c r="F36" s="284"/>
      <c r="G36" s="284"/>
      <c r="H36" s="284"/>
      <c r="I36" s="286"/>
      <c r="J36" s="340"/>
    </row>
    <row r="37" spans="1:10" ht="13.2">
      <c r="A37" s="513"/>
      <c r="B37" s="514"/>
      <c r="C37" s="284"/>
      <c r="D37" s="284"/>
      <c r="E37" s="284"/>
      <c r="F37" s="284"/>
      <c r="G37" s="118"/>
      <c r="H37" s="284"/>
      <c r="I37" s="482"/>
      <c r="J37" s="340"/>
    </row>
    <row r="38" spans="1:10" ht="13.2">
      <c r="A38" s="513"/>
      <c r="B38" s="514"/>
      <c r="C38" s="284"/>
      <c r="D38" s="284"/>
      <c r="E38" s="284"/>
      <c r="F38" s="284"/>
      <c r="G38" s="284"/>
      <c r="H38" s="284"/>
      <c r="I38" s="286"/>
      <c r="J38" s="340"/>
    </row>
    <row r="39" spans="1:10" ht="13.2">
      <c r="A39" s="513"/>
      <c r="B39" s="514"/>
      <c r="C39" s="284"/>
      <c r="D39" s="284"/>
      <c r="E39" s="284"/>
      <c r="F39" s="284"/>
      <c r="G39" s="118"/>
      <c r="H39" s="284"/>
      <c r="I39" s="482"/>
      <c r="J39" s="340"/>
    </row>
    <row r="40" spans="1:10" ht="13.2">
      <c r="A40" s="513"/>
      <c r="B40" s="514"/>
      <c r="C40" s="284"/>
      <c r="D40" s="284"/>
      <c r="E40" s="284"/>
      <c r="F40" s="284"/>
      <c r="G40" s="284"/>
      <c r="H40" s="284"/>
      <c r="I40" s="286"/>
      <c r="J40" s="340"/>
    </row>
    <row r="41" spans="1:10" ht="13.2">
      <c r="A41" s="513"/>
      <c r="B41" s="514"/>
      <c r="C41" s="284"/>
      <c r="D41" s="284"/>
      <c r="E41" s="284"/>
      <c r="F41" s="284"/>
      <c r="G41" s="118"/>
      <c r="H41" s="284"/>
      <c r="I41" s="482"/>
      <c r="J41" s="340"/>
    </row>
    <row r="42" spans="1:10" ht="13.2">
      <c r="A42" s="513"/>
      <c r="B42" s="514"/>
      <c r="C42" s="284"/>
      <c r="D42" s="284"/>
      <c r="E42" s="284"/>
      <c r="F42" s="284"/>
      <c r="G42" s="284"/>
      <c r="H42" s="284"/>
      <c r="I42" s="286"/>
      <c r="J42" s="340"/>
    </row>
    <row r="43" spans="1:10" ht="13.2">
      <c r="A43" s="513"/>
      <c r="B43" s="514"/>
      <c r="C43" s="284"/>
      <c r="D43" s="284"/>
      <c r="E43" s="284"/>
      <c r="F43" s="284"/>
      <c r="G43" s="118"/>
      <c r="H43" s="284"/>
      <c r="I43" s="482"/>
      <c r="J43" s="340"/>
    </row>
    <row r="44" spans="1:10" ht="13.2">
      <c r="A44" s="513"/>
      <c r="B44" s="514"/>
      <c r="C44" s="284"/>
      <c r="D44" s="284"/>
      <c r="E44" s="284"/>
      <c r="F44" s="284"/>
      <c r="G44" s="284"/>
      <c r="H44" s="284"/>
      <c r="I44" s="286"/>
      <c r="J44" s="340"/>
    </row>
    <row r="45" spans="1:10" ht="13.2">
      <c r="A45" s="513"/>
      <c r="B45" s="514"/>
      <c r="C45" s="284"/>
      <c r="D45" s="284"/>
      <c r="E45" s="284"/>
      <c r="F45" s="284"/>
      <c r="G45" s="118"/>
      <c r="H45" s="284"/>
      <c r="I45" s="482"/>
      <c r="J45" s="340"/>
    </row>
    <row r="46" spans="1:10" ht="13.2">
      <c r="A46" s="513"/>
      <c r="B46" s="514"/>
      <c r="C46" s="284"/>
      <c r="D46" s="284"/>
      <c r="E46" s="284"/>
      <c r="F46" s="284"/>
      <c r="G46" s="284"/>
      <c r="H46" s="284"/>
      <c r="I46" s="286"/>
      <c r="J46" s="340"/>
    </row>
    <row r="47" spans="1:10" ht="13.2">
      <c r="A47" s="513"/>
      <c r="B47" s="514"/>
      <c r="C47" s="284"/>
      <c r="D47" s="284"/>
      <c r="E47" s="284"/>
      <c r="F47" s="284"/>
      <c r="G47" s="118"/>
      <c r="H47" s="284"/>
      <c r="I47" s="482"/>
      <c r="J47" s="340"/>
    </row>
    <row r="48" spans="1:10" ht="13.2">
      <c r="A48" s="513"/>
      <c r="B48" s="514"/>
      <c r="C48" s="284"/>
      <c r="D48" s="284"/>
      <c r="E48" s="284"/>
      <c r="F48" s="284"/>
      <c r="G48" s="284"/>
      <c r="H48" s="284"/>
      <c r="I48" s="286"/>
      <c r="J48" s="340"/>
    </row>
    <row r="49" spans="1:10" ht="13.2">
      <c r="A49" s="511"/>
      <c r="B49" s="489"/>
      <c r="C49" s="284"/>
      <c r="D49" s="284"/>
      <c r="E49" s="284"/>
      <c r="F49" s="284"/>
      <c r="G49" s="118"/>
      <c r="H49" s="284"/>
      <c r="I49" s="482"/>
      <c r="J49" s="340"/>
    </row>
    <row r="50" spans="1:10" ht="13.2">
      <c r="A50" s="273"/>
      <c r="B50" s="515" t="s">
        <v>820</v>
      </c>
      <c r="C50" s="293"/>
      <c r="D50" s="293">
        <f t="shared" ref="D50:I50" si="7">SUM(D22:D49)</f>
        <v>16825221.600000001</v>
      </c>
      <c r="E50" s="293">
        <f t="shared" si="7"/>
        <v>10179259.068</v>
      </c>
      <c r="F50" s="293">
        <f t="shared" si="7"/>
        <v>16825221.600000001</v>
      </c>
      <c r="G50" s="293">
        <f t="shared" si="7"/>
        <v>0</v>
      </c>
      <c r="H50" s="293">
        <f t="shared" si="7"/>
        <v>10179259.068</v>
      </c>
      <c r="I50" s="293">
        <f t="shared" si="7"/>
        <v>0</v>
      </c>
      <c r="J50" s="293">
        <f>J13+J14</f>
        <v>673008.86400000006</v>
      </c>
    </row>
  </sheetData>
  <mergeCells count="3">
    <mergeCell ref="C3:D3"/>
    <mergeCell ref="E3:F3"/>
    <mergeCell ref="G3:H3"/>
  </mergeCells>
  <hyperlinks>
    <hyperlink ref="K5" r:id="rId1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FF00"/>
  </sheetPr>
  <dimension ref="A1:Z1000"/>
  <sheetViews>
    <sheetView workbookViewId="0">
      <selection activeCell="E18" sqref="E18"/>
    </sheetView>
  </sheetViews>
  <sheetFormatPr defaultColWidth="14.44140625" defaultRowHeight="15" customHeight="1"/>
  <cols>
    <col min="1" max="1" width="32" customWidth="1"/>
    <col min="2" max="6" width="15.109375" bestFit="1" customWidth="1"/>
    <col min="7" max="7" width="16.109375" bestFit="1" customWidth="1"/>
    <col min="8" max="26" width="9" customWidth="1"/>
  </cols>
  <sheetData>
    <row r="1" spans="1:26" ht="14.25" customHeight="1">
      <c r="A1" s="93" t="s">
        <v>205</v>
      </c>
      <c r="E1" s="268"/>
      <c r="F1" s="94">
        <f>InfoInicial!E1</f>
        <v>10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6.5" customHeight="1">
      <c r="A2" s="154" t="s">
        <v>821</v>
      </c>
      <c r="B2" s="155"/>
      <c r="C2" s="155"/>
      <c r="D2" s="155"/>
      <c r="E2" s="155"/>
      <c r="F2" s="155"/>
      <c r="G2" s="15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3.5" customHeight="1">
      <c r="A3" s="274" t="s">
        <v>455</v>
      </c>
      <c r="B3" s="102" t="s">
        <v>69</v>
      </c>
      <c r="C3" s="102" t="s">
        <v>551</v>
      </c>
      <c r="D3" s="102" t="s">
        <v>552</v>
      </c>
      <c r="E3" s="102" t="s">
        <v>553</v>
      </c>
      <c r="F3" s="326" t="s">
        <v>554</v>
      </c>
      <c r="G3" s="104" t="s">
        <v>429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4.25" customHeight="1">
      <c r="A4" s="97" t="s">
        <v>822</v>
      </c>
      <c r="B4" s="284">
        <f>'E-Costos'!B87</f>
        <v>16956000</v>
      </c>
      <c r="C4" s="284">
        <f>'E-Costos'!C87</f>
        <v>21195000</v>
      </c>
      <c r="D4" s="284">
        <f>'E-Costos'!D87</f>
        <v>21195000</v>
      </c>
      <c r="E4" s="284">
        <f>'E-Costos'!E87</f>
        <v>21195000</v>
      </c>
      <c r="F4" s="284">
        <f>'E-Costos'!F87</f>
        <v>21195000</v>
      </c>
      <c r="G4" s="340">
        <f>SUM(B4:F4)</f>
        <v>101736000</v>
      </c>
      <c r="H4" s="516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4.25" customHeight="1">
      <c r="A5" s="97" t="s">
        <v>823</v>
      </c>
      <c r="B5" s="284">
        <f>'E-Costos'!B106</f>
        <v>6219924.4370728089</v>
      </c>
      <c r="C5" s="284">
        <f>'E-Costos'!C106</f>
        <v>6993040.2086653272</v>
      </c>
      <c r="D5" s="284">
        <f>'E-Costos'!D106</f>
        <v>6994976.4265471566</v>
      </c>
      <c r="E5" s="284">
        <f>'E-Costos'!E106</f>
        <v>6994976.4265471566</v>
      </c>
      <c r="F5" s="284">
        <f>'E-Costos'!F106</f>
        <v>6994976.4265471566</v>
      </c>
      <c r="G5" s="340">
        <f>SUM(B4:F4)</f>
        <v>101736000</v>
      </c>
      <c r="H5" s="516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4.25" customHeight="1">
      <c r="A6" s="97" t="s">
        <v>824</v>
      </c>
      <c r="B6" s="284">
        <f t="shared" ref="B6:F6" si="0">B4-B5</f>
        <v>10736075.56292719</v>
      </c>
      <c r="C6" s="284">
        <f t="shared" si="0"/>
        <v>14201959.791334674</v>
      </c>
      <c r="D6" s="284">
        <f t="shared" si="0"/>
        <v>14200023.573452843</v>
      </c>
      <c r="E6" s="284">
        <f t="shared" si="0"/>
        <v>14200023.573452843</v>
      </c>
      <c r="F6" s="284">
        <f t="shared" si="0"/>
        <v>14200023.573452843</v>
      </c>
      <c r="G6" s="340">
        <f>SUM(B6:F6)</f>
        <v>67538106.074620396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4.25" customHeight="1">
      <c r="A7" s="97" t="s">
        <v>661</v>
      </c>
      <c r="B7" s="284"/>
      <c r="C7" s="284"/>
      <c r="D7" s="284"/>
      <c r="E7" s="284"/>
      <c r="F7" s="345"/>
      <c r="G7" s="340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4.25" customHeight="1">
      <c r="A8" s="97" t="s">
        <v>825</v>
      </c>
      <c r="B8" s="284">
        <f>'E-Costos'!B108</f>
        <v>2562080.6994305989</v>
      </c>
      <c r="C8" s="284">
        <f>'E-Costos'!C108</f>
        <v>2807726.8654027316</v>
      </c>
      <c r="D8" s="284">
        <f>'E-Costos'!D108</f>
        <v>2807726.8654027316</v>
      </c>
      <c r="E8" s="284">
        <f>'E-Costos'!E108</f>
        <v>2807726.8654027316</v>
      </c>
      <c r="F8" s="284">
        <f>'E-Costos'!F108</f>
        <v>2807726.8654027316</v>
      </c>
      <c r="G8" s="340">
        <f t="shared" ref="G8:G13" si="1">SUM(B8:F8)</f>
        <v>13792988.161041526</v>
      </c>
      <c r="H8" s="516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4.25" customHeight="1">
      <c r="A9" s="97" t="s">
        <v>826</v>
      </c>
      <c r="B9" s="284">
        <f>'E-Costos'!B109</f>
        <v>2349306.8424685909</v>
      </c>
      <c r="C9" s="284">
        <f>'E-Costos'!C109</f>
        <v>2745522.1375904591</v>
      </c>
      <c r="D9" s="284">
        <f>'E-Costos'!D109</f>
        <v>2745522.1375904591</v>
      </c>
      <c r="E9" s="284">
        <f>'E-Costos'!E109</f>
        <v>2745522.1375904591</v>
      </c>
      <c r="F9" s="284">
        <f>'E-Costos'!F109</f>
        <v>2745522.1375904591</v>
      </c>
      <c r="G9" s="340">
        <f t="shared" si="1"/>
        <v>13331395.392830426</v>
      </c>
      <c r="H9" s="516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4.25" customHeight="1">
      <c r="A10" s="97" t="s">
        <v>827</v>
      </c>
      <c r="B10" s="377">
        <f>'F-Cred'!E24+'F-Cred'!G24</f>
        <v>6997690.4859405644</v>
      </c>
      <c r="C10" s="377">
        <f>'F-Cred'!E26+'F-Cred'!G26</f>
        <v>6340362.7723552519</v>
      </c>
      <c r="D10" s="377">
        <f>'F-Cred'!E28+'F-Cred'!G28</f>
        <v>5600053.0219552517</v>
      </c>
      <c r="E10" s="377">
        <f>'F-Cred'!D30+'F-Cred'!F30</f>
        <v>7030089.8260126337</v>
      </c>
      <c r="F10" s="517">
        <f>'F-Cred'!E32+'F-Cred'!F32</f>
        <v>6375279.0690350085</v>
      </c>
      <c r="G10" s="518">
        <f t="shared" si="1"/>
        <v>32343475.175298709</v>
      </c>
      <c r="H10" s="519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4.25" customHeight="1">
      <c r="A11" s="134" t="s">
        <v>828</v>
      </c>
      <c r="B11" s="284">
        <f t="shared" ref="B11:F11" si="2">B6-B8-B9-B10</f>
        <v>-1173002.4649125636</v>
      </c>
      <c r="C11" s="284">
        <f t="shared" si="2"/>
        <v>2308348.0159862312</v>
      </c>
      <c r="D11" s="284">
        <f t="shared" si="2"/>
        <v>3046721.548504401</v>
      </c>
      <c r="E11" s="284">
        <f t="shared" si="2"/>
        <v>1616684.744447019</v>
      </c>
      <c r="F11" s="284">
        <f t="shared" si="2"/>
        <v>2271495.5014246441</v>
      </c>
      <c r="G11" s="340">
        <f t="shared" si="1"/>
        <v>8070247.3454497317</v>
      </c>
      <c r="H11" s="516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4.25" customHeight="1">
      <c r="A12" s="97" t="s">
        <v>829</v>
      </c>
      <c r="B12" s="291">
        <f>'E-Costos'!B116</f>
        <v>465975.04168224009</v>
      </c>
      <c r="C12" s="291">
        <f>'E-Costos'!C116</f>
        <v>691896.86306731869</v>
      </c>
      <c r="D12" s="291">
        <f>'E-Costos'!D116</f>
        <v>691741.96563677222</v>
      </c>
      <c r="E12" s="291">
        <f>'E-Costos'!E116</f>
        <v>691741.96563677222</v>
      </c>
      <c r="F12" s="291">
        <f>'E-Costos'!F116</f>
        <v>691741.96563677222</v>
      </c>
      <c r="G12" s="340">
        <f t="shared" si="1"/>
        <v>3233097.8016598751</v>
      </c>
      <c r="H12" s="51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4.25" customHeight="1">
      <c r="A13" s="282" t="s">
        <v>830</v>
      </c>
      <c r="B13" s="284">
        <f t="shared" ref="B13:F13" si="3">IF(B11&gt;0,(B11-B12)*0.35,0)</f>
        <v>0</v>
      </c>
      <c r="C13" s="284">
        <f t="shared" si="3"/>
        <v>565757.90352161927</v>
      </c>
      <c r="D13" s="284">
        <f t="shared" si="3"/>
        <v>824242.85400367004</v>
      </c>
      <c r="E13" s="284">
        <f t="shared" si="3"/>
        <v>323729.97258358635</v>
      </c>
      <c r="F13" s="284">
        <f t="shared" si="3"/>
        <v>552913.73752575519</v>
      </c>
      <c r="G13" s="340">
        <f t="shared" si="1"/>
        <v>2266644.4676346309</v>
      </c>
      <c r="H13" s="516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4.25" customHeight="1">
      <c r="A14" s="406" t="s">
        <v>831</v>
      </c>
      <c r="B14" s="491">
        <f t="shared" ref="B14:F14" si="4">B11-B12-B13</f>
        <v>-1638977.5065948036</v>
      </c>
      <c r="C14" s="491">
        <f t="shared" si="4"/>
        <v>1050693.2493972932</v>
      </c>
      <c r="D14" s="491">
        <f t="shared" si="4"/>
        <v>1530736.7288639587</v>
      </c>
      <c r="E14" s="491">
        <f t="shared" si="4"/>
        <v>601212.80622666038</v>
      </c>
      <c r="F14" s="491">
        <f t="shared" si="4"/>
        <v>1026839.7982621168</v>
      </c>
      <c r="G14" s="520">
        <f>SUM(B14:F14)</f>
        <v>2570505.0761552257</v>
      </c>
      <c r="H14" s="516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2.75" customHeigh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2.75" customHeight="1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2.75" customHeight="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2.7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2.75" customHeight="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2.75" customHeight="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2.75" customHeight="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2.75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2.75" customHeight="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2.75" customHeight="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2.75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2.75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2.75" customHeight="1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2.75" customHeight="1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2.75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2.75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2.75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2.75" customHeight="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2.7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2.75" customHeigh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2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2.7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2.7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2.7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2.7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2.7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2.7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2.7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2.7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2.7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2.7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2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FF00"/>
  </sheetPr>
  <dimension ref="A1:Z1000"/>
  <sheetViews>
    <sheetView workbookViewId="0"/>
  </sheetViews>
  <sheetFormatPr defaultColWidth="14.44140625" defaultRowHeight="15" customHeight="1"/>
  <cols>
    <col min="1" max="1" width="42.88671875" customWidth="1"/>
    <col min="2" max="2" width="13.88671875" customWidth="1"/>
    <col min="3" max="7" width="15" customWidth="1"/>
    <col min="8" max="26" width="9" customWidth="1"/>
  </cols>
  <sheetData>
    <row r="1" spans="1:26" ht="14.25" customHeight="1">
      <c r="A1" s="93" t="s">
        <v>205</v>
      </c>
      <c r="E1" s="94">
        <f>InfoInicial!E1</f>
        <v>10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6.5" customHeight="1">
      <c r="A2" s="154" t="s">
        <v>663</v>
      </c>
      <c r="B2" s="155"/>
      <c r="C2" s="155"/>
      <c r="D2" s="155"/>
      <c r="E2" s="155"/>
      <c r="F2" s="155"/>
      <c r="G2" s="15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5.75" customHeight="1">
      <c r="A3" s="521"/>
      <c r="B3" s="429" t="s">
        <v>666</v>
      </c>
      <c r="C3" s="429"/>
      <c r="D3" s="429"/>
      <c r="E3" s="429"/>
      <c r="F3" s="429"/>
      <c r="G3" s="522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3.5" customHeight="1">
      <c r="A4" s="523" t="s">
        <v>455</v>
      </c>
      <c r="B4" s="324" t="s">
        <v>226</v>
      </c>
      <c r="C4" s="102" t="s">
        <v>69</v>
      </c>
      <c r="D4" s="102" t="s">
        <v>551</v>
      </c>
      <c r="E4" s="102" t="s">
        <v>552</v>
      </c>
      <c r="F4" s="102" t="s">
        <v>553</v>
      </c>
      <c r="G4" s="104" t="s">
        <v>554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3.5" customHeight="1">
      <c r="A5" s="524" t="s">
        <v>835</v>
      </c>
      <c r="B5" s="435"/>
      <c r="C5" s="330"/>
      <c r="D5" s="330"/>
      <c r="E5" s="330"/>
      <c r="F5" s="330"/>
      <c r="G5" s="334"/>
      <c r="H5" s="516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2.75" customHeight="1">
      <c r="A6" s="525" t="s">
        <v>837</v>
      </c>
      <c r="B6" s="439">
        <f>'E-IVA '!B17</f>
        <v>0</v>
      </c>
      <c r="C6" s="439">
        <f>'E-IVA '!C17</f>
        <v>516462.51635580102</v>
      </c>
      <c r="D6" s="439">
        <f>'E-IVA '!D17</f>
        <v>645259.21027940023</v>
      </c>
      <c r="E6" s="439">
        <f>'E-IVA '!E17</f>
        <v>659435.13525693922</v>
      </c>
      <c r="F6" s="439">
        <f>'E-IVA '!F17</f>
        <v>659803.96664121246</v>
      </c>
      <c r="G6" s="439">
        <f>'E-IVA '!G17</f>
        <v>659803.96664121246</v>
      </c>
      <c r="H6" s="516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2.75" customHeight="1">
      <c r="A7" s="525" t="s">
        <v>840</v>
      </c>
      <c r="B7" s="284">
        <f>'E-IVA '!B18</f>
        <v>0</v>
      </c>
      <c r="C7" s="284">
        <f>'E-IVA '!C18</f>
        <v>17858.296441383449</v>
      </c>
      <c r="D7" s="284">
        <f>'E-IVA '!D18</f>
        <v>19742.210875424909</v>
      </c>
      <c r="E7" s="284">
        <f>'E-IVA '!E18</f>
        <v>19742.210875424909</v>
      </c>
      <c r="F7" s="284">
        <f>'E-IVA '!F18</f>
        <v>19742.210875424909</v>
      </c>
      <c r="G7" s="284">
        <f>'E-IVA '!G18</f>
        <v>19742.210875424909</v>
      </c>
      <c r="H7" s="516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2.75" customHeight="1">
      <c r="A8" s="526" t="s">
        <v>844</v>
      </c>
      <c r="B8" s="284">
        <f>'E-IVA '!B19</f>
        <v>0</v>
      </c>
      <c r="C8" s="284">
        <f>'E-IVA '!C19</f>
        <v>181744.30314776115</v>
      </c>
      <c r="D8" s="284">
        <f>'E-IVA '!D19</f>
        <v>222312.10980126218</v>
      </c>
      <c r="E8" s="284">
        <f>'E-IVA '!E19</f>
        <v>222312.10980126218</v>
      </c>
      <c r="F8" s="284">
        <f>'E-IVA '!F19</f>
        <v>222312.10980126218</v>
      </c>
      <c r="G8" s="284">
        <f>'E-IVA '!G19</f>
        <v>222312.10980126218</v>
      </c>
      <c r="H8" s="516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2.75" customHeight="1">
      <c r="A9" s="526" t="s">
        <v>848</v>
      </c>
      <c r="B9" s="439"/>
      <c r="C9" s="377">
        <f>'F-CRes'!B10*InfoInicial!$B$3</f>
        <v>1469515.0020475185</v>
      </c>
      <c r="D9" s="377">
        <f>'F-CRes'!C10*InfoInicial!$B$3</f>
        <v>1331476.1821946029</v>
      </c>
      <c r="E9" s="377">
        <f>'F-CRes'!D10*InfoInicial!$B$3</f>
        <v>1176011.1346106029</v>
      </c>
      <c r="F9" s="377">
        <f>'F-CRes'!E10*InfoInicial!$B$3</f>
        <v>1476318.863462653</v>
      </c>
      <c r="G9" s="377">
        <f>'F-CRes'!F10*InfoInicial!$B$3</f>
        <v>1338808.6044973517</v>
      </c>
      <c r="H9" s="519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2.75" customHeight="1">
      <c r="A10" s="528" t="s">
        <v>851</v>
      </c>
      <c r="B10" s="439"/>
      <c r="C10" s="284">
        <f t="shared" ref="C10:G10" si="0">C9+C8+C7+C6</f>
        <v>2185580.117992464</v>
      </c>
      <c r="D10" s="284">
        <f t="shared" si="0"/>
        <v>2218789.7131506903</v>
      </c>
      <c r="E10" s="284">
        <f t="shared" si="0"/>
        <v>2077500.5905442294</v>
      </c>
      <c r="F10" s="284">
        <f t="shared" si="0"/>
        <v>2378177.1507805525</v>
      </c>
      <c r="G10" s="284">
        <f t="shared" si="0"/>
        <v>2240666.8918152512</v>
      </c>
      <c r="H10" s="516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2.75" customHeight="1">
      <c r="A11" s="528"/>
      <c r="B11" s="439"/>
      <c r="C11" s="284"/>
      <c r="D11" s="284"/>
      <c r="E11" s="284"/>
      <c r="F11" s="284"/>
      <c r="G11" s="340"/>
      <c r="H11" s="516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2.75" customHeight="1">
      <c r="A12" s="525" t="s">
        <v>690</v>
      </c>
      <c r="B12" s="531">
        <f t="shared" ref="B12:G12" si="1">B10</f>
        <v>0</v>
      </c>
      <c r="C12" s="531">
        <f t="shared" si="1"/>
        <v>2185580.117992464</v>
      </c>
      <c r="D12" s="531">
        <f t="shared" si="1"/>
        <v>2218789.7131506903</v>
      </c>
      <c r="E12" s="531">
        <f t="shared" si="1"/>
        <v>2077500.5905442294</v>
      </c>
      <c r="F12" s="531">
        <f t="shared" si="1"/>
        <v>2378177.1507805525</v>
      </c>
      <c r="G12" s="531">
        <f t="shared" si="1"/>
        <v>2240666.8918152512</v>
      </c>
      <c r="H12" s="51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2.75" customHeight="1">
      <c r="A13" s="525" t="s">
        <v>693</v>
      </c>
      <c r="B13" s="531"/>
      <c r="C13" s="284">
        <f>'E-IVA '!C22</f>
        <v>3560760</v>
      </c>
      <c r="D13" s="284">
        <f>'E-IVA '!D22</f>
        <v>4450950</v>
      </c>
      <c r="E13" s="284">
        <f>'E-IVA '!E22</f>
        <v>4450950</v>
      </c>
      <c r="F13" s="284">
        <f>'E-IVA '!F22</f>
        <v>4450950</v>
      </c>
      <c r="G13" s="284">
        <f>'E-IVA '!G22</f>
        <v>4450950</v>
      </c>
      <c r="H13" s="516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2.75" customHeight="1">
      <c r="A14" s="528" t="s">
        <v>857</v>
      </c>
      <c r="B14" s="532">
        <v>0</v>
      </c>
      <c r="C14" s="284">
        <f t="shared" ref="C14:G14" si="2">C13-C12</f>
        <v>1375179.882007536</v>
      </c>
      <c r="D14" s="284">
        <f t="shared" si="2"/>
        <v>2232160.2868493097</v>
      </c>
      <c r="E14" s="284">
        <f t="shared" si="2"/>
        <v>2373449.4094557706</v>
      </c>
      <c r="F14" s="284">
        <f t="shared" si="2"/>
        <v>2072772.8492194475</v>
      </c>
      <c r="G14" s="284">
        <f t="shared" si="2"/>
        <v>2210283.1081847488</v>
      </c>
      <c r="H14" s="516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2.75" customHeight="1">
      <c r="A15" s="525"/>
      <c r="B15" s="439"/>
      <c r="C15" s="284"/>
      <c r="D15" s="284"/>
      <c r="E15" s="284"/>
      <c r="F15" s="284"/>
      <c r="G15" s="340"/>
      <c r="H15" s="516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2.75" customHeight="1">
      <c r="A16" s="533" t="s">
        <v>861</v>
      </c>
      <c r="B16" s="534"/>
      <c r="C16" s="284">
        <f>'F-2 Estructura'!B9+'F-2 Estructura'!B21</f>
        <v>6407452.9569357475</v>
      </c>
      <c r="D16" s="284">
        <f t="shared" ref="D16:G16" si="3">IF(C18&lt;0,0,C18)</f>
        <v>5350551.4503177945</v>
      </c>
      <c r="E16" s="284">
        <f t="shared" si="3"/>
        <v>3163326.3183764033</v>
      </c>
      <c r="F16" s="284">
        <f t="shared" si="3"/>
        <v>789972.63902040618</v>
      </c>
      <c r="G16" s="284">
        <f t="shared" si="3"/>
        <v>0</v>
      </c>
      <c r="H16" s="516"/>
      <c r="I16" s="67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2.75" customHeight="1">
      <c r="A17" s="533" t="s">
        <v>867</v>
      </c>
      <c r="B17" s="537"/>
      <c r="C17" s="377">
        <f>'F-2 Estructura'!C9+'F-2 Estructura'!C21</f>
        <v>318278.37538958376</v>
      </c>
      <c r="D17" s="377">
        <f>'E-Cal Inv.'!E23</f>
        <v>44935.154907918957</v>
      </c>
      <c r="E17" s="377">
        <f>'E-Cal Inv.'!F23</f>
        <v>95.730099773415105</v>
      </c>
      <c r="F17" s="377">
        <f>'E-Cal Inv.'!G23</f>
        <v>-2.139728693946381E-2</v>
      </c>
      <c r="G17" s="518">
        <f>'E-Cal Inv.'!H23</f>
        <v>-2.7503119781613348E-11</v>
      </c>
      <c r="H17" s="538"/>
      <c r="I17" s="613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2.75" customHeight="1">
      <c r="A18" s="528" t="s">
        <v>870</v>
      </c>
      <c r="B18" s="537"/>
      <c r="C18" s="284">
        <f t="shared" ref="C18:G18" si="4">C16+C17-C14</f>
        <v>5350551.4503177945</v>
      </c>
      <c r="D18" s="284">
        <f t="shared" si="4"/>
        <v>3163326.3183764033</v>
      </c>
      <c r="E18" s="284">
        <f t="shared" si="4"/>
        <v>789972.63902040618</v>
      </c>
      <c r="F18" s="284">
        <f t="shared" si="4"/>
        <v>-1282800.2315963283</v>
      </c>
      <c r="G18" s="284">
        <f t="shared" si="4"/>
        <v>-2210283.1081847488</v>
      </c>
      <c r="H18" s="516"/>
      <c r="I18" s="613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2.75" customHeight="1">
      <c r="A19" s="528" t="s">
        <v>872</v>
      </c>
      <c r="B19" s="532"/>
      <c r="C19" s="284">
        <f t="shared" ref="C19:G19" si="5">IF(C18&gt;0,C14,C16+C17)</f>
        <v>1375179.882007536</v>
      </c>
      <c r="D19" s="284">
        <f t="shared" si="5"/>
        <v>2232160.2868493097</v>
      </c>
      <c r="E19" s="284">
        <f t="shared" si="5"/>
        <v>2373449.4094557706</v>
      </c>
      <c r="F19" s="284">
        <f t="shared" si="5"/>
        <v>789972.61762311927</v>
      </c>
      <c r="G19" s="284">
        <f t="shared" si="5"/>
        <v>-2.7503119781613348E-11</v>
      </c>
      <c r="H19" s="516"/>
      <c r="I19" s="613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2.75" customHeight="1">
      <c r="A20" s="525"/>
      <c r="B20" s="439"/>
      <c r="C20" s="284"/>
      <c r="E20" s="284"/>
      <c r="F20" s="284"/>
      <c r="G20" s="340"/>
      <c r="H20" s="516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3.5" customHeight="1">
      <c r="A21" s="539" t="s">
        <v>709</v>
      </c>
      <c r="B21" s="540">
        <f>B14-B19</f>
        <v>0</v>
      </c>
      <c r="C21" s="458">
        <f t="shared" ref="C21:G21" si="6">IF(C18&gt;0,0,-C18)</f>
        <v>0</v>
      </c>
      <c r="D21" s="458">
        <f t="shared" si="6"/>
        <v>0</v>
      </c>
      <c r="E21" s="458">
        <f t="shared" si="6"/>
        <v>0</v>
      </c>
      <c r="F21" s="458">
        <f t="shared" si="6"/>
        <v>1282800.2315963283</v>
      </c>
      <c r="G21" s="458">
        <f t="shared" si="6"/>
        <v>2210283.1081847488</v>
      </c>
      <c r="H21" s="516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2.75" customHeight="1">
      <c r="A22" s="97"/>
      <c r="B22" s="97"/>
      <c r="C22" s="97"/>
      <c r="D22" s="97"/>
      <c r="E22" s="97"/>
      <c r="F22" s="97"/>
      <c r="G22" s="97"/>
      <c r="H22" s="516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2.75" customHeight="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2.75" customHeight="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2.75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2.75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2.75" customHeight="1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2.75" customHeight="1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2.75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2.75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2.75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2.75" customHeight="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2.7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2.75" customHeigh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2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2.7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2.7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2.7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2.7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2.7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2.7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2.7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2.7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2.7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2.7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2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I16:I19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FF00"/>
  </sheetPr>
  <dimension ref="A1:Z1000"/>
  <sheetViews>
    <sheetView workbookViewId="0"/>
  </sheetViews>
  <sheetFormatPr defaultColWidth="14.44140625" defaultRowHeight="15" customHeight="1"/>
  <cols>
    <col min="1" max="1" width="54.33203125" customWidth="1"/>
    <col min="2" max="4" width="15.33203125" customWidth="1"/>
    <col min="5" max="5" width="15.88671875" customWidth="1"/>
    <col min="6" max="6" width="15.33203125" customWidth="1"/>
    <col min="7" max="26" width="9" customWidth="1"/>
  </cols>
  <sheetData>
    <row r="1" spans="1:26" ht="14.25" customHeight="1">
      <c r="A1" s="93" t="s">
        <v>205</v>
      </c>
      <c r="D1">
        <f>InfoInicial!E1</f>
        <v>10</v>
      </c>
      <c r="E1" s="94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6.5" customHeight="1">
      <c r="A2" s="154" t="s">
        <v>832</v>
      </c>
      <c r="B2" s="155"/>
      <c r="C2" s="155"/>
      <c r="D2" s="15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4.25" customHeight="1">
      <c r="A3" s="274" t="s">
        <v>455</v>
      </c>
      <c r="B3" s="273" t="s">
        <v>226</v>
      </c>
      <c r="C3" s="273" t="s">
        <v>69</v>
      </c>
      <c r="D3" s="104" t="s">
        <v>429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4.25" customHeight="1">
      <c r="A4" s="134" t="s">
        <v>833</v>
      </c>
      <c r="B4" s="284"/>
      <c r="C4" s="284"/>
      <c r="D4" s="340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4.25" customHeight="1">
      <c r="A5" s="97"/>
      <c r="B5" s="284"/>
      <c r="C5" s="284"/>
      <c r="D5" s="340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4.25" customHeight="1">
      <c r="A6" s="97" t="s">
        <v>834</v>
      </c>
      <c r="B6" s="284">
        <f>+'E-Cal Inv.'!B6+'E-Cal Inv.'!C6</f>
        <v>27762072.462799996</v>
      </c>
      <c r="C6" s="291">
        <f>'E-Cal Inv.'!D6</f>
        <v>0</v>
      </c>
      <c r="D6" s="340">
        <f t="shared" ref="D6:D10" si="0">B6+C6</f>
        <v>27762072.462799996</v>
      </c>
      <c r="E6" s="51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4.25" customHeight="1">
      <c r="A7" s="97" t="s">
        <v>836</v>
      </c>
      <c r="B7" s="377">
        <f>'E-Cal Inv.'!B7+'E-Cal Inv.'!C7+'F-Cred'!G21+'F-Cred'!I21</f>
        <v>2571658.2989844522</v>
      </c>
      <c r="C7" s="284">
        <f>'E-Cal Inv.'!D7</f>
        <v>93480</v>
      </c>
      <c r="D7" s="340">
        <f t="shared" si="0"/>
        <v>2665138.2989844522</v>
      </c>
      <c r="E7" s="516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4.25" customHeight="1">
      <c r="A8" s="134" t="s">
        <v>838</v>
      </c>
      <c r="B8" s="284">
        <f>B6+B7</f>
        <v>30333730.761784449</v>
      </c>
      <c r="C8" s="284">
        <f>C7+C6</f>
        <v>93480</v>
      </c>
      <c r="D8" s="340">
        <f t="shared" si="0"/>
        <v>30427210.761784449</v>
      </c>
      <c r="E8" s="51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4.25" customHeight="1">
      <c r="A9" s="282" t="s">
        <v>839</v>
      </c>
      <c r="B9" s="284">
        <f>'E-Cal Inv.'!B21+'E-Cal Inv.'!C21+('F-Cred'!G21+'F-Cred'!I21)*InfoInicial!B3</f>
        <v>6370083.4599747341</v>
      </c>
      <c r="C9" s="284">
        <f>'E-Cal Inv.'!D21</f>
        <v>19630.8</v>
      </c>
      <c r="D9" s="340">
        <f t="shared" si="0"/>
        <v>6389714.2599747339</v>
      </c>
      <c r="E9" s="516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4.25" customHeight="1">
      <c r="A10" s="134" t="s">
        <v>841</v>
      </c>
      <c r="B10" s="284">
        <f t="shared" ref="B10:C10" si="1">B8+B9</f>
        <v>36703814.221759185</v>
      </c>
      <c r="C10" s="284">
        <f t="shared" si="1"/>
        <v>113110.8</v>
      </c>
      <c r="D10" s="340">
        <f t="shared" si="0"/>
        <v>36816925.021759182</v>
      </c>
      <c r="E10" s="516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4.25" customHeight="1">
      <c r="A11" s="134" t="s">
        <v>842</v>
      </c>
      <c r="B11" s="284"/>
      <c r="C11" s="284"/>
      <c r="D11" s="340"/>
      <c r="E11" s="516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4.25" customHeight="1">
      <c r="A12" s="282" t="s">
        <v>843</v>
      </c>
      <c r="B12" s="284">
        <f>'E-InvAT'!B6</f>
        <v>339120</v>
      </c>
      <c r="C12" s="284">
        <f>'E-InvAT'!C6</f>
        <v>423900</v>
      </c>
      <c r="D12" s="340">
        <f t="shared" ref="D12:D15" si="2">B12+C12</f>
        <v>763020</v>
      </c>
      <c r="E12" s="677" t="s">
        <v>845</v>
      </c>
      <c r="F12" s="613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4.25" customHeight="1">
      <c r="A13" s="97" t="s">
        <v>846</v>
      </c>
      <c r="B13" s="284">
        <f>'E-InvAT'!B7</f>
        <v>0</v>
      </c>
      <c r="C13" s="284">
        <f>'E-InvAT'!C7</f>
        <v>1393643.8356164384</v>
      </c>
      <c r="D13" s="340">
        <f t="shared" si="2"/>
        <v>1393643.8356164384</v>
      </c>
      <c r="E13" s="613"/>
      <c r="F13" s="613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4.25" customHeight="1">
      <c r="A14" s="97" t="s">
        <v>847</v>
      </c>
      <c r="B14" s="284">
        <f>'E-InvAT'!B10+'E-InvAT'!B11</f>
        <v>177949.98552863329</v>
      </c>
      <c r="C14" s="284">
        <f>'E-InvAT'!C10+'E-InvAT'!C11</f>
        <v>1530820.5523275456</v>
      </c>
      <c r="D14" s="340">
        <f t="shared" si="2"/>
        <v>1708770.5378561788</v>
      </c>
      <c r="E14" s="613"/>
      <c r="F14" s="613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4.25" customHeight="1">
      <c r="A15" s="134" t="s">
        <v>849</v>
      </c>
      <c r="B15" s="284">
        <f t="shared" ref="B15:C15" si="3">B12+B13+B14</f>
        <v>517069.98552863329</v>
      </c>
      <c r="C15" s="284">
        <f t="shared" si="3"/>
        <v>3348364.387943984</v>
      </c>
      <c r="D15" s="340">
        <f t="shared" si="2"/>
        <v>3865434.3734726175</v>
      </c>
      <c r="E15" s="613"/>
      <c r="F15" s="613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4.25" customHeight="1">
      <c r="A16" s="97" t="s">
        <v>661</v>
      </c>
      <c r="B16" s="284"/>
      <c r="C16" s="284"/>
      <c r="D16" s="340"/>
      <c r="E16" s="51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4.25" customHeight="1">
      <c r="A17" s="97" t="s">
        <v>850</v>
      </c>
      <c r="B17" s="527">
        <v>0</v>
      </c>
      <c r="C17" s="377">
        <f>'E-InvAT'!C17+'E-InvAT'!C18</f>
        <v>20095.872661928683</v>
      </c>
      <c r="D17" s="518">
        <f t="shared" ref="D17:D23" si="4">B17+C17</f>
        <v>20095.872661928683</v>
      </c>
      <c r="E17" s="516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4.25" customHeight="1">
      <c r="A18" s="97" t="s">
        <v>852</v>
      </c>
      <c r="B18" s="529"/>
      <c r="C18" s="529">
        <f>('E-Inv AF y Am'!C57-'E-InvAT'!C18-'E-InvAT'!C17+('F-Cred'!G21+'F-Cred'!I21)/3)/365*30</f>
        <v>67493.030740115457</v>
      </c>
      <c r="D18" s="530">
        <f t="shared" si="4"/>
        <v>67493.030740115457</v>
      </c>
      <c r="E18" s="519" t="s">
        <v>853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4.25" customHeight="1">
      <c r="A19" s="97" t="s">
        <v>854</v>
      </c>
      <c r="B19" s="527">
        <v>0</v>
      </c>
      <c r="C19" s="377">
        <f>('F-CRes'!B14/'F-CRes'!B4)*C13</f>
        <v>-134710.47999409345</v>
      </c>
      <c r="D19" s="518">
        <f t="shared" si="4"/>
        <v>-134710.47999409345</v>
      </c>
      <c r="E19" s="516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4.25" customHeight="1">
      <c r="A20" s="134" t="s">
        <v>855</v>
      </c>
      <c r="B20" s="284">
        <f t="shared" ref="B20:C20" si="5">B15-SUM(B17:B19)</f>
        <v>517069.98552863329</v>
      </c>
      <c r="C20" s="284">
        <f t="shared" si="5"/>
        <v>3395485.9645360331</v>
      </c>
      <c r="D20" s="518">
        <f t="shared" si="4"/>
        <v>3912555.9500646666</v>
      </c>
      <c r="E20" s="51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4.25" customHeight="1">
      <c r="A21" s="97" t="s">
        <v>416</v>
      </c>
      <c r="B21" s="284">
        <f>'E-InvAT'!B34</f>
        <v>37369.496961012992</v>
      </c>
      <c r="C21" s="284">
        <f>'E-InvAT'!C34</f>
        <v>298647.57538958377</v>
      </c>
      <c r="D21" s="518">
        <f t="shared" si="4"/>
        <v>336017.07235059678</v>
      </c>
      <c r="E21" s="516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4.25" customHeight="1">
      <c r="A22" s="134" t="s">
        <v>856</v>
      </c>
      <c r="B22" s="284">
        <f t="shared" ref="B22:C22" si="6">B15+B21</f>
        <v>554439.4824896463</v>
      </c>
      <c r="C22" s="284">
        <f t="shared" si="6"/>
        <v>3647011.9633335676</v>
      </c>
      <c r="D22" s="518">
        <f t="shared" si="4"/>
        <v>4201451.445823214</v>
      </c>
      <c r="E22" s="516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4.25" customHeight="1">
      <c r="A23" s="134" t="s">
        <v>858</v>
      </c>
      <c r="B23" s="284">
        <f t="shared" ref="B23:C23" si="7">B20+B21</f>
        <v>554439.4824896463</v>
      </c>
      <c r="C23" s="284">
        <f t="shared" si="7"/>
        <v>3694133.5399256167</v>
      </c>
      <c r="D23" s="518">
        <f t="shared" si="4"/>
        <v>4248573.0224152626</v>
      </c>
      <c r="E23" s="51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4.25" customHeight="1">
      <c r="A24" s="134" t="s">
        <v>859</v>
      </c>
      <c r="B24" s="284"/>
      <c r="C24" s="284"/>
      <c r="D24" s="340"/>
      <c r="E24" s="516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4.25" customHeight="1">
      <c r="A25" s="97" t="s">
        <v>860</v>
      </c>
      <c r="B25" s="284">
        <f t="shared" ref="B25:C25" si="8">B10</f>
        <v>36703814.221759185</v>
      </c>
      <c r="C25" s="284">
        <f t="shared" si="8"/>
        <v>113110.8</v>
      </c>
      <c r="D25" s="518">
        <f>B25+C25</f>
        <v>36816925.021759182</v>
      </c>
      <c r="E25" s="516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4.25" customHeight="1">
      <c r="A26" s="97" t="s">
        <v>862</v>
      </c>
      <c r="B26" s="284">
        <f t="shared" ref="B26:D26" si="9">B23</f>
        <v>554439.4824896463</v>
      </c>
      <c r="C26" s="284">
        <f t="shared" si="9"/>
        <v>3694133.5399256167</v>
      </c>
      <c r="D26" s="284">
        <f t="shared" si="9"/>
        <v>4248573.0224152626</v>
      </c>
      <c r="E26" s="516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4.25" customHeight="1">
      <c r="A27" s="134" t="s">
        <v>863</v>
      </c>
      <c r="B27" s="284">
        <f t="shared" ref="B27:D27" si="10">B25+B26</f>
        <v>37258253.704248831</v>
      </c>
      <c r="C27" s="284">
        <f t="shared" si="10"/>
        <v>3807244.3399256165</v>
      </c>
      <c r="D27" s="284">
        <f t="shared" si="10"/>
        <v>41065498.044174448</v>
      </c>
      <c r="E27" s="535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4.25" customHeight="1">
      <c r="A28" s="134" t="s">
        <v>864</v>
      </c>
      <c r="B28" s="377"/>
      <c r="C28" s="377"/>
      <c r="D28" s="517"/>
      <c r="E28" s="536" t="s">
        <v>865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4.25" customHeight="1">
      <c r="A29" s="134" t="s">
        <v>866</v>
      </c>
      <c r="B29" s="527">
        <v>0</v>
      </c>
      <c r="C29" s="377">
        <f>'F-Cred'!D6</f>
        <v>1327712.5890350069</v>
      </c>
      <c r="D29" s="517">
        <f t="shared" ref="D29:D32" si="11">B29+C29</f>
        <v>1327712.5890350069</v>
      </c>
      <c r="E29" s="287">
        <f t="shared" ref="E29:E32" si="12">D29/$D$32</f>
        <v>3.1318991159280593E-2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4.25" customHeight="1">
      <c r="A30" s="134" t="s">
        <v>868</v>
      </c>
      <c r="B30" s="377">
        <f>'F-Cred'!D5</f>
        <v>16825221.600000001</v>
      </c>
      <c r="C30" s="527">
        <v>0</v>
      </c>
      <c r="D30" s="517">
        <f t="shared" si="11"/>
        <v>16825221.600000001</v>
      </c>
      <c r="E30" s="287">
        <f t="shared" si="12"/>
        <v>0.39688481595729092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4.25" customHeight="1">
      <c r="A31" s="134" t="s">
        <v>869</v>
      </c>
      <c r="B31" s="377">
        <f t="shared" ref="B31:C31" si="13">B27-B30</f>
        <v>20433032.104248829</v>
      </c>
      <c r="C31" s="377">
        <f t="shared" si="13"/>
        <v>3807244.3399256165</v>
      </c>
      <c r="D31" s="517">
        <f t="shared" si="11"/>
        <v>24240276.444174446</v>
      </c>
      <c r="E31" s="287">
        <f t="shared" si="12"/>
        <v>0.57179619288342853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4.25" customHeight="1">
      <c r="A32" s="406" t="s">
        <v>429</v>
      </c>
      <c r="B32" s="491">
        <f t="shared" ref="B32:C32" si="14">B29+B30+B31</f>
        <v>37258253.704248831</v>
      </c>
      <c r="C32" s="491">
        <f t="shared" si="14"/>
        <v>5134956.9289606232</v>
      </c>
      <c r="D32" s="491">
        <f t="shared" si="11"/>
        <v>42393210.633209452</v>
      </c>
      <c r="E32" s="287">
        <f t="shared" si="12"/>
        <v>1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4.2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6.5" customHeight="1">
      <c r="A34" s="154" t="s">
        <v>871</v>
      </c>
      <c r="B34" s="155"/>
      <c r="C34" s="155"/>
      <c r="D34" s="155"/>
      <c r="E34" s="155"/>
      <c r="F34" s="155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4.25" customHeight="1">
      <c r="A35" s="274" t="s">
        <v>455</v>
      </c>
      <c r="B35" s="102" t="s">
        <v>69</v>
      </c>
      <c r="C35" s="102" t="s">
        <v>551</v>
      </c>
      <c r="D35" s="102" t="s">
        <v>552</v>
      </c>
      <c r="E35" s="102" t="s">
        <v>553</v>
      </c>
      <c r="F35" s="102" t="s">
        <v>554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4.25" customHeight="1">
      <c r="A36" s="110" t="s">
        <v>778</v>
      </c>
      <c r="B36" s="118">
        <f>'E-Costos'!B128</f>
        <v>4590872.8025832539</v>
      </c>
      <c r="C36" s="118">
        <f>'E-Costos'!C128</f>
        <v>5405469.77329644</v>
      </c>
      <c r="D36" s="118">
        <f>'E-Costos'!D128</f>
        <v>5405469.77329644</v>
      </c>
      <c r="E36" s="118">
        <f>'E-Costos'!E128</f>
        <v>5405469.77329644</v>
      </c>
      <c r="F36" s="118">
        <f>'E-Costos'!F128</f>
        <v>5405469.77329644</v>
      </c>
      <c r="G36" s="516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4.25" customHeight="1">
      <c r="A37" s="208" t="s">
        <v>777</v>
      </c>
      <c r="B37" s="118">
        <f>'E-Costos'!B127</f>
        <v>2057983.7402060064</v>
      </c>
      <c r="C37" s="118">
        <f>'E-Costos'!C127</f>
        <v>1657280.5196986503</v>
      </c>
      <c r="D37" s="118">
        <f>'E-Costos'!D127</f>
        <v>1657280.5196986503</v>
      </c>
      <c r="E37" s="118">
        <f>'E-Costos'!E127</f>
        <v>1657280.5196986503</v>
      </c>
      <c r="F37" s="118">
        <f>'E-Costos'!F127</f>
        <v>1657280.5196986503</v>
      </c>
      <c r="G37" s="516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4.25" customHeight="1">
      <c r="A38" s="110" t="s">
        <v>780</v>
      </c>
      <c r="B38" s="118">
        <f>'E-Costos'!B130</f>
        <v>52707.478442849999</v>
      </c>
      <c r="C38" s="118">
        <f>'E-Costos'!C130</f>
        <v>57654.101615838197</v>
      </c>
      <c r="D38" s="118">
        <f>'E-Costos'!D130</f>
        <v>57654.101615838197</v>
      </c>
      <c r="E38" s="118">
        <f>'E-Costos'!E130</f>
        <v>57654.101615838197</v>
      </c>
      <c r="F38" s="118">
        <f>'E-Costos'!F130</f>
        <v>57654.101615838197</v>
      </c>
      <c r="G38" s="516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4.25" customHeight="1">
      <c r="A39" s="208" t="s">
        <v>779</v>
      </c>
      <c r="B39" s="118">
        <f>'E-Costos'!B129</f>
        <v>2509373.2209877488</v>
      </c>
      <c r="C39" s="118">
        <f>'E-Costos'!C129</f>
        <v>2750072.7637868933</v>
      </c>
      <c r="D39" s="118">
        <f>'E-Costos'!D129</f>
        <v>2750072.7637868933</v>
      </c>
      <c r="E39" s="118">
        <f>'E-Costos'!E129</f>
        <v>2750072.7637868933</v>
      </c>
      <c r="F39" s="118">
        <f>'E-Costos'!F129</f>
        <v>2750072.7637868933</v>
      </c>
      <c r="G39" s="516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4.25" customHeight="1">
      <c r="A40" s="110" t="s">
        <v>783</v>
      </c>
      <c r="B40" s="118">
        <f>'E-Costos'!B132</f>
        <v>692535.4420318309</v>
      </c>
      <c r="C40" s="118">
        <f>'E-Costos'!C132</f>
        <v>848934.40107049909</v>
      </c>
      <c r="D40" s="118">
        <f>'E-Costos'!D132</f>
        <v>848934.40107049909</v>
      </c>
      <c r="E40" s="118">
        <f>'E-Costos'!E132</f>
        <v>848934.40107049909</v>
      </c>
      <c r="F40" s="118">
        <f>'E-Costos'!F132</f>
        <v>848934.40107049909</v>
      </c>
      <c r="G40" s="516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4.25" customHeight="1">
      <c r="A41" s="208" t="s">
        <v>781</v>
      </c>
      <c r="B41" s="118">
        <f>'E-Costos'!B131</f>
        <v>1656771.4004367599</v>
      </c>
      <c r="C41" s="118">
        <f>'E-Costos'!C131</f>
        <v>1896587.73651996</v>
      </c>
      <c r="D41" s="118">
        <f>'E-Costos'!D131</f>
        <v>1896587.73651996</v>
      </c>
      <c r="E41" s="118">
        <f>'E-Costos'!E131</f>
        <v>1896587.73651996</v>
      </c>
      <c r="F41" s="118">
        <f>'E-Costos'!F131</f>
        <v>1896587.73651996</v>
      </c>
      <c r="G41" s="516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4.25" customHeight="1">
      <c r="A42" s="208" t="s">
        <v>874</v>
      </c>
      <c r="B42" s="118">
        <f>'F-CRes'!B10</f>
        <v>6997690.4859405644</v>
      </c>
      <c r="C42" s="118">
        <f>'F-CRes'!C10</f>
        <v>6340362.7723552519</v>
      </c>
      <c r="D42" s="118">
        <f>'F-CRes'!D10</f>
        <v>5600053.0219552517</v>
      </c>
      <c r="E42" s="118">
        <f>'F-CRes'!E10</f>
        <v>7030089.8260126337</v>
      </c>
      <c r="F42" s="118">
        <f>'F-CRes'!F10</f>
        <v>6375279.0690350085</v>
      </c>
      <c r="G42" s="516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4.25" customHeight="1">
      <c r="A43" s="110" t="s">
        <v>784</v>
      </c>
      <c r="B43" s="118">
        <f>'E-Costos'!B133</f>
        <v>11619884.276942065</v>
      </c>
      <c r="C43" s="118">
        <f>'E-Costos'!C133</f>
        <v>14882941.724017221</v>
      </c>
      <c r="D43" s="118">
        <f>'E-Costos'!D133</f>
        <v>14882941.724017221</v>
      </c>
      <c r="E43" s="118">
        <f>'E-Costos'!E133</f>
        <v>14882941.724017221</v>
      </c>
      <c r="F43" s="118">
        <f>'E-Costos'!F133</f>
        <v>14882941.724017221</v>
      </c>
      <c r="G43" s="516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4.25" customHeight="1">
      <c r="A44" s="160" t="s">
        <v>786</v>
      </c>
      <c r="B44" s="545">
        <f t="shared" ref="B44:F44" si="15">(B37+B39+B41+B42)/B43</f>
        <v>1.1378614909106983</v>
      </c>
      <c r="C44" s="545">
        <f t="shared" si="15"/>
        <v>0.84958363923149127</v>
      </c>
      <c r="D44" s="545">
        <f t="shared" si="15"/>
        <v>0.79984147372899983</v>
      </c>
      <c r="E44" s="545">
        <f t="shared" si="15"/>
        <v>0.8959271018645768</v>
      </c>
      <c r="F44" s="545">
        <f t="shared" si="15"/>
        <v>0.85192970073782714</v>
      </c>
      <c r="G44" s="516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6.5" customHeight="1">
      <c r="A45" s="546" t="s">
        <v>879</v>
      </c>
      <c r="B45" s="547"/>
      <c r="C45" s="547"/>
      <c r="D45" s="54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4.2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4.2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4.2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4.2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4.2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4.2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4.2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4.2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4.2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4.2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4.2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4.2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4.2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4.2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4.2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4.2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4.2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4.2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4.2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4.2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4.2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4.2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4.2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4.2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4.2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4.2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4.2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4.2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4.2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4.2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4.2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4.2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4.2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4.2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4.2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4.2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4.2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4.2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4.2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4.2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4.2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4.2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4.2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4.2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4.2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4.2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4.2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4.2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4.2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4.2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4.2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4.2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4.2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4.2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4.2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4.2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4.2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4.2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4.2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4.2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4.2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4.2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4.2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4.2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4.2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4.2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4.2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4.2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4.2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4.2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4.2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4.2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4.2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4.2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4.2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4.2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4.2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4.2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4.2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4.2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4.2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4.2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4.2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4.2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4.2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4.2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4.2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4.2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4.2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4.2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4.2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4.2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4.2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4.2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4.2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4.2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4.2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4.2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4.2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4.2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4.2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4.2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4.2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4.2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4.2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4.2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4.2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4.2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4.2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4.2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4.2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4.2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4.2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4.2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4.2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4.2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4.2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4.2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4.2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4.2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4.2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4.2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4.2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4.2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4.2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4.2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4.2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4.2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4.2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4.2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4.2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4.2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4.2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4.2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4.2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4.2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4.2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4.2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4.2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4.2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4.2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4.2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4.2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4.2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4.2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4.2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4.2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4.2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4.2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4.2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4.2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4.2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4.2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4.2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4.2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4.2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4.2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4.2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4.2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4.2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4.2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4.2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4.2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4.2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4.2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4.2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4.2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4.2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4.2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4.2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4.2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4.2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4.2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4.2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4.2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4.2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4.2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4.2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4.2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4.2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4.2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14.2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14.2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14.2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 ht="14.2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 ht="14.25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spans="1:26" ht="14.25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spans="1:26" ht="14.25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spans="1:26" ht="14.25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spans="1:26" ht="14.25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spans="1:26" ht="14.25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spans="1:26" ht="14.25" customHeight="1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</row>
    <row r="238" spans="1:26" ht="14.25" customHeight="1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</row>
    <row r="239" spans="1:26" ht="14.25" customHeight="1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</row>
    <row r="240" spans="1:26" ht="14.25" customHeight="1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</row>
    <row r="241" spans="1:26" ht="14.25" customHeight="1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</row>
    <row r="242" spans="1:26" ht="14.25" customHeight="1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</row>
    <row r="243" spans="1:26" ht="14.25" customHeight="1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</row>
    <row r="244" spans="1:26" ht="14.25" customHeight="1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</row>
    <row r="245" spans="1:26" ht="14.25" customHeight="1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</row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E12:F15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FF00"/>
  </sheetPr>
  <dimension ref="A1:Z1000"/>
  <sheetViews>
    <sheetView workbookViewId="0"/>
  </sheetViews>
  <sheetFormatPr defaultColWidth="14.44140625" defaultRowHeight="15" customHeight="1"/>
  <cols>
    <col min="1" max="1" width="37.5546875" customWidth="1"/>
    <col min="2" max="6" width="15.33203125" customWidth="1"/>
    <col min="7" max="7" width="15.44140625" customWidth="1"/>
    <col min="8" max="26" width="9" customWidth="1"/>
  </cols>
  <sheetData>
    <row r="1" spans="1:26" ht="14.25" customHeight="1">
      <c r="A1" s="93" t="s">
        <v>205</v>
      </c>
      <c r="E1" s="94">
        <f>InfoInicial!E1</f>
        <v>10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3.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6.5" customHeight="1">
      <c r="A3" s="270" t="s">
        <v>873</v>
      </c>
      <c r="B3" s="271"/>
      <c r="C3" s="271"/>
      <c r="D3" s="271"/>
      <c r="E3" s="271"/>
      <c r="F3" s="271"/>
      <c r="G3" s="272"/>
      <c r="H3" s="516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3.5" customHeight="1">
      <c r="A4" s="380"/>
      <c r="B4" s="541" t="s">
        <v>226</v>
      </c>
      <c r="C4" s="541" t="s">
        <v>69</v>
      </c>
      <c r="D4" s="541" t="s">
        <v>551</v>
      </c>
      <c r="E4" s="541" t="s">
        <v>552</v>
      </c>
      <c r="F4" s="541" t="s">
        <v>553</v>
      </c>
      <c r="G4" s="542" t="s">
        <v>554</v>
      </c>
      <c r="H4" s="516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4.25" customHeight="1">
      <c r="A5" s="164" t="s">
        <v>875</v>
      </c>
      <c r="B5" s="543">
        <f t="shared" ref="B5:G5" si="0">SUM(B6:B11)</f>
        <v>517069.98552863329</v>
      </c>
      <c r="C5" s="543">
        <f t="shared" si="0"/>
        <v>4473641.1757420078</v>
      </c>
      <c r="D5" s="543">
        <f t="shared" si="0"/>
        <v>5069831.2471957393</v>
      </c>
      <c r="E5" s="543">
        <f t="shared" si="0"/>
        <v>6936431.3573861439</v>
      </c>
      <c r="F5" s="543">
        <f t="shared" si="0"/>
        <v>8301682.9492284385</v>
      </c>
      <c r="G5" s="543">
        <f t="shared" si="0"/>
        <v>7106729.9733931189</v>
      </c>
      <c r="H5" s="516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4.25" customHeight="1">
      <c r="A6" s="110" t="s">
        <v>876</v>
      </c>
      <c r="B6" s="284"/>
      <c r="C6" s="284"/>
      <c r="D6" s="284"/>
      <c r="E6" s="284"/>
      <c r="F6" s="284"/>
      <c r="G6" s="340"/>
      <c r="H6" s="516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4.25" customHeight="1">
      <c r="A7" s="113" t="s">
        <v>877</v>
      </c>
      <c r="B7" s="544">
        <f>'E-InvAT'!B6</f>
        <v>339120</v>
      </c>
      <c r="C7" s="544">
        <f>'E-InvAT'!C6</f>
        <v>423900</v>
      </c>
      <c r="D7" s="544">
        <f>'E-InvAT'!D6</f>
        <v>423900</v>
      </c>
      <c r="E7" s="544">
        <f>'E-InvAT'!E6</f>
        <v>423900</v>
      </c>
      <c r="F7" s="544">
        <f>'E-InvAT'!F6</f>
        <v>423900</v>
      </c>
      <c r="G7" s="544">
        <f>'E-InvAT'!G6</f>
        <v>423900</v>
      </c>
      <c r="H7" s="516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4.25" customHeight="1">
      <c r="A8" s="113" t="s">
        <v>878</v>
      </c>
      <c r="B8" s="284" t="str">
        <f>'F- CFyU'!B6</f>
        <v>-</v>
      </c>
      <c r="C8" s="284">
        <f>'F- CFyU'!C6</f>
        <v>0</v>
      </c>
      <c r="D8" s="284">
        <f>'F- CFyU'!D6</f>
        <v>522924.95592219941</v>
      </c>
      <c r="E8" s="284">
        <f>'F- CFyU'!E6</f>
        <v>2461887.0321195442</v>
      </c>
      <c r="F8" s="284">
        <f>'F- CFyU'!F6</f>
        <v>5411053.8551006969</v>
      </c>
      <c r="G8" s="284">
        <f>'F- CFyU'!G6</f>
        <v>5006073.3949966542</v>
      </c>
      <c r="H8" s="516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4.25" customHeight="1">
      <c r="A9" s="110" t="s">
        <v>880</v>
      </c>
      <c r="B9" s="544">
        <f>'E-Cal Inv.'!C12</f>
        <v>0</v>
      </c>
      <c r="C9" s="544">
        <f>'E-Cal Inv.'!D12</f>
        <v>993463.99611181463</v>
      </c>
      <c r="D9" s="544">
        <f>'E-Cal Inv.'!E12</f>
        <v>214108.18591545289</v>
      </c>
      <c r="E9" s="544">
        <f>'E-Cal Inv.'!F12</f>
        <v>438.33741436433047</v>
      </c>
      <c r="F9" s="544">
        <f>'E-Cal Inv.'!G12</f>
        <v>-0.10189184256887529</v>
      </c>
      <c r="G9" s="544">
        <f>'E-Cal Inv.'!H12</f>
        <v>-1.3096723705530167E-10</v>
      </c>
      <c r="H9" s="516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4.25" customHeight="1">
      <c r="A10" s="110" t="s">
        <v>881</v>
      </c>
      <c r="B10" s="284">
        <f>'E-InvAT'!B10+'E-InvAT'!B11+'E-InvAT'!B12+'E-InvAT'!B13</f>
        <v>177949.98552863329</v>
      </c>
      <c r="C10" s="284">
        <f>'E-InvAT'!C10+'E-InvAT'!C11+'E-InvAT'!C12+'E-InvAT'!C13</f>
        <v>1681097.2976226569</v>
      </c>
      <c r="D10" s="284">
        <f>'E-InvAT'!D10+'E-InvAT'!D11+'E-InvAT'!D12+'E-InvAT'!D13</f>
        <v>1676737.8185087773</v>
      </c>
      <c r="E10" s="284">
        <f>'E-InvAT'!E10+'E-InvAT'!E11+'E-InvAT'!E12+'E-InvAT'!E13</f>
        <v>1676756.5783964647</v>
      </c>
      <c r="F10" s="284">
        <f>'E-InvAT'!F10+'E-InvAT'!F11+'E-InvAT'!F12+'E-InvAT'!F13</f>
        <v>1676756.5783964647</v>
      </c>
      <c r="G10" s="284">
        <f>'E-InvAT'!G10+'E-InvAT'!G11+'E-InvAT'!G12+'E-InvAT'!G13</f>
        <v>1676756.5783964647</v>
      </c>
      <c r="H10" s="516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4.25" customHeight="1">
      <c r="A11" s="110" t="s">
        <v>882</v>
      </c>
      <c r="B11" s="548">
        <f>'F-IVA'!B19</f>
        <v>0</v>
      </c>
      <c r="C11" s="548">
        <f>'F-IVA'!C19</f>
        <v>1375179.882007536</v>
      </c>
      <c r="D11" s="548">
        <f>'F-IVA'!D19</f>
        <v>2232160.2868493097</v>
      </c>
      <c r="E11" s="548">
        <f>'F-IVA'!E19</f>
        <v>2373449.4094557706</v>
      </c>
      <c r="F11" s="548">
        <f>'F-IVA'!F19</f>
        <v>789972.61762311927</v>
      </c>
      <c r="G11" s="548">
        <f>'F-IVA'!G19</f>
        <v>-2.7503119781613348E-11</v>
      </c>
      <c r="H11" s="516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4.25" customHeight="1">
      <c r="A12" s="110" t="s">
        <v>883</v>
      </c>
      <c r="B12" s="462">
        <f t="shared" ref="B12:G12" si="1">B17+B22+B23</f>
        <v>30333730.761784449</v>
      </c>
      <c r="C12" s="462">
        <f t="shared" si="1"/>
        <v>33385848.774063773</v>
      </c>
      <c r="D12" s="462">
        <f t="shared" si="1"/>
        <v>29443266.954863075</v>
      </c>
      <c r="E12" s="462">
        <f t="shared" si="1"/>
        <v>24996182.482758414</v>
      </c>
      <c r="F12" s="462">
        <f t="shared" si="1"/>
        <v>20849870.300989851</v>
      </c>
      <c r="G12" s="462">
        <f t="shared" si="1"/>
        <v>17848752.340355255</v>
      </c>
      <c r="H12" s="51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4.25" customHeight="1">
      <c r="A13" s="110" t="s">
        <v>884</v>
      </c>
      <c r="B13" s="462"/>
      <c r="C13" s="462"/>
      <c r="D13" s="462"/>
      <c r="E13" s="462"/>
      <c r="F13" s="462"/>
      <c r="G13" s="549"/>
      <c r="H13" s="516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4.25" customHeight="1">
      <c r="A14" s="113" t="s">
        <v>885</v>
      </c>
      <c r="B14" s="377">
        <f>'E-Inv AF y Am'!B32-'E-Inv AF y Am'!B27+'F-Cred'!G21+'F-Cred'!I21</f>
        <v>2571658.2989844522</v>
      </c>
      <c r="C14" s="377">
        <f t="shared" ref="C14:G14" si="2">B17</f>
        <v>2571658.2989844522</v>
      </c>
      <c r="D14" s="377">
        <f t="shared" si="2"/>
        <v>2132110.6391875618</v>
      </c>
      <c r="E14" s="377">
        <f t="shared" si="2"/>
        <v>1599082.9793906715</v>
      </c>
      <c r="F14" s="377">
        <f t="shared" si="2"/>
        <v>1066055.3195937811</v>
      </c>
      <c r="G14" s="377">
        <f t="shared" si="2"/>
        <v>533027.65979689069</v>
      </c>
      <c r="H14" s="516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4.25" customHeight="1">
      <c r="A15" s="113" t="s">
        <v>886</v>
      </c>
      <c r="B15" s="550">
        <v>0</v>
      </c>
      <c r="C15" s="551">
        <f>'E-Inv AF y Am'!C27</f>
        <v>93480</v>
      </c>
      <c r="D15" s="550">
        <v>0</v>
      </c>
      <c r="E15" s="550">
        <v>0</v>
      </c>
      <c r="F15" s="550">
        <v>0</v>
      </c>
      <c r="G15" s="550">
        <v>0</v>
      </c>
      <c r="H15" s="516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4.25" customHeight="1">
      <c r="A16" s="113" t="s">
        <v>887</v>
      </c>
      <c r="B16" s="527">
        <v>0</v>
      </c>
      <c r="C16" s="377">
        <f>'E-Inv AF y Am'!D54+('F-Cred'!G21+'F-Cred'!I21)/5</f>
        <v>533027.65979689045</v>
      </c>
      <c r="D16" s="377">
        <f>C16</f>
        <v>533027.65979689045</v>
      </c>
      <c r="E16" s="377">
        <f>C16</f>
        <v>533027.65979689045</v>
      </c>
      <c r="F16" s="377">
        <f>C16</f>
        <v>533027.65979689045</v>
      </c>
      <c r="G16" s="518">
        <f>C16</f>
        <v>533027.65979689045</v>
      </c>
      <c r="H16" s="516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4.25" customHeight="1">
      <c r="A17" s="113" t="s">
        <v>888</v>
      </c>
      <c r="B17" s="377">
        <f>B14</f>
        <v>2571658.2989844522</v>
      </c>
      <c r="C17" s="377">
        <f t="shared" ref="C17:G17" si="3">C14+C15-C16</f>
        <v>2132110.6391875618</v>
      </c>
      <c r="D17" s="377">
        <f t="shared" si="3"/>
        <v>1599082.9793906715</v>
      </c>
      <c r="E17" s="377">
        <f t="shared" si="3"/>
        <v>1066055.3195937811</v>
      </c>
      <c r="F17" s="377">
        <f t="shared" si="3"/>
        <v>533027.65979689069</v>
      </c>
      <c r="G17" s="377">
        <f t="shared" si="3"/>
        <v>0</v>
      </c>
      <c r="H17" s="516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4.25" customHeight="1">
      <c r="A18" s="110" t="s">
        <v>341</v>
      </c>
      <c r="B18" s="544"/>
      <c r="C18" s="544"/>
      <c r="D18" s="544"/>
      <c r="E18" s="544"/>
      <c r="F18" s="544"/>
      <c r="G18" s="552"/>
      <c r="H18" s="516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4.25" customHeight="1">
      <c r="A19" s="113" t="s">
        <v>885</v>
      </c>
      <c r="B19" s="377">
        <f>'E-Inv AF y Am'!B52</f>
        <v>27762072.462799996</v>
      </c>
      <c r="C19" s="377">
        <f t="shared" ref="C19:G19" si="4">B22</f>
        <v>27762072.462799996</v>
      </c>
      <c r="D19" s="377">
        <f t="shared" si="4"/>
        <v>26221465.059947997</v>
      </c>
      <c r="E19" s="377">
        <f t="shared" si="4"/>
        <v>24680857.657095999</v>
      </c>
      <c r="F19" s="377">
        <f t="shared" si="4"/>
        <v>23140250.254244</v>
      </c>
      <c r="G19" s="377">
        <f t="shared" si="4"/>
        <v>21599642.851392001</v>
      </c>
      <c r="H19" s="516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4.25" customHeight="1">
      <c r="A20" s="113" t="s">
        <v>889</v>
      </c>
      <c r="B20" s="527">
        <v>0</v>
      </c>
      <c r="C20" s="527">
        <v>0</v>
      </c>
      <c r="D20" s="527">
        <v>0</v>
      </c>
      <c r="E20" s="527">
        <v>0</v>
      </c>
      <c r="F20" s="527">
        <v>0</v>
      </c>
      <c r="G20" s="527">
        <v>0</v>
      </c>
      <c r="H20" s="516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4.25" customHeight="1">
      <c r="A21" s="113" t="s">
        <v>890</v>
      </c>
      <c r="B21" s="527">
        <v>0</v>
      </c>
      <c r="C21" s="377">
        <f>'E-Inv AF y Am'!D52</f>
        <v>1540607.4028520002</v>
      </c>
      <c r="D21" s="377">
        <f>C21</f>
        <v>1540607.4028520002</v>
      </c>
      <c r="E21" s="377">
        <f>C21</f>
        <v>1540607.4028520002</v>
      </c>
      <c r="F21" s="377">
        <f>C21</f>
        <v>1540607.4028520002</v>
      </c>
      <c r="G21" s="518">
        <f>C21</f>
        <v>1540607.4028520002</v>
      </c>
      <c r="H21" s="516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4.25" customHeight="1">
      <c r="A22" s="113" t="s">
        <v>888</v>
      </c>
      <c r="B22" s="551">
        <f t="shared" ref="B22:G22" si="5">B19+B20-B21</f>
        <v>27762072.462799996</v>
      </c>
      <c r="C22" s="551">
        <f t="shared" si="5"/>
        <v>26221465.059947997</v>
      </c>
      <c r="D22" s="551">
        <f t="shared" si="5"/>
        <v>24680857.657095999</v>
      </c>
      <c r="E22" s="551">
        <f t="shared" si="5"/>
        <v>23140250.254244</v>
      </c>
      <c r="F22" s="551">
        <f t="shared" si="5"/>
        <v>21599642.851392001</v>
      </c>
      <c r="G22" s="553">
        <f t="shared" si="5"/>
        <v>20059035.448540002</v>
      </c>
      <c r="H22" s="516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4.25" customHeight="1">
      <c r="A23" s="110" t="s">
        <v>891</v>
      </c>
      <c r="B23" s="551">
        <f>'F-IVA'!B18-'F-IVA'!B17</f>
        <v>0</v>
      </c>
      <c r="C23" s="551">
        <f>'F-IVA'!C18-'F-IVA'!C17</f>
        <v>5032273.074928211</v>
      </c>
      <c r="D23" s="551">
        <f>'F-IVA'!D18</f>
        <v>3163326.3183764033</v>
      </c>
      <c r="E23" s="551">
        <f>'F-IVA'!E18-'F-IVA'!E17</f>
        <v>789876.90892063279</v>
      </c>
      <c r="F23" s="551">
        <f>'F-IVA'!F18-'F-IVA'!F17</f>
        <v>-1282800.2101990413</v>
      </c>
      <c r="G23" s="551">
        <f>'F-IVA'!G18-'F-IVA'!G17</f>
        <v>-2210283.1081847488</v>
      </c>
      <c r="H23" s="516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4.25" customHeight="1">
      <c r="A24" s="110" t="s">
        <v>892</v>
      </c>
      <c r="B24" s="544">
        <f t="shared" ref="B24:G24" si="6">B12+B5</f>
        <v>30850800.747313082</v>
      </c>
      <c r="C24" s="544">
        <f t="shared" si="6"/>
        <v>37859489.949805781</v>
      </c>
      <c r="D24" s="544">
        <f t="shared" si="6"/>
        <v>34513098.202058814</v>
      </c>
      <c r="E24" s="544">
        <f t="shared" si="6"/>
        <v>31932613.84014456</v>
      </c>
      <c r="F24" s="544">
        <f t="shared" si="6"/>
        <v>29151553.250218291</v>
      </c>
      <c r="G24" s="544">
        <f t="shared" si="6"/>
        <v>24955482.313748375</v>
      </c>
      <c r="H24" s="516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4.25" customHeight="1">
      <c r="A25" s="110" t="s">
        <v>893</v>
      </c>
      <c r="B25" s="544">
        <f t="shared" ref="B25:G25" si="7">B26+B27</f>
        <v>3365044.3200000003</v>
      </c>
      <c r="C25" s="544">
        <f t="shared" si="7"/>
        <v>3365044.3200000003</v>
      </c>
      <c r="D25" s="544">
        <f t="shared" si="7"/>
        <v>3365044.3200000003</v>
      </c>
      <c r="E25" s="544">
        <f t="shared" si="7"/>
        <v>3365044.3200000003</v>
      </c>
      <c r="F25" s="544">
        <f t="shared" si="7"/>
        <v>3365044.3200000003</v>
      </c>
      <c r="G25" s="544">
        <f t="shared" si="7"/>
        <v>0</v>
      </c>
      <c r="H25" s="516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4.25" customHeight="1">
      <c r="A26" s="110" t="s">
        <v>894</v>
      </c>
      <c r="B26" s="550">
        <v>0</v>
      </c>
      <c r="C26" s="550">
        <v>0</v>
      </c>
      <c r="D26" s="550">
        <v>0</v>
      </c>
      <c r="E26" s="550">
        <v>0</v>
      </c>
      <c r="F26" s="550">
        <v>0</v>
      </c>
      <c r="G26" s="550">
        <v>0</v>
      </c>
      <c r="H26" s="516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4.25" customHeight="1">
      <c r="A27" s="110" t="s">
        <v>895</v>
      </c>
      <c r="B27" s="377">
        <f>'F-Cred'!E24</f>
        <v>3365044.3200000003</v>
      </c>
      <c r="C27" s="377">
        <f>'F-Cred'!E24</f>
        <v>3365044.3200000003</v>
      </c>
      <c r="D27" s="527">
        <f>'F-Cred'!E28</f>
        <v>3365044.3200000003</v>
      </c>
      <c r="E27" s="377">
        <f>'F-Cred'!E30</f>
        <v>3365044.3200000003</v>
      </c>
      <c r="F27" s="377">
        <f>'F-Cred'!E32</f>
        <v>3365044.3200000003</v>
      </c>
      <c r="G27" s="518"/>
      <c r="H27" s="516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4.25" customHeight="1">
      <c r="A28" s="110" t="s">
        <v>896</v>
      </c>
      <c r="B28" s="284">
        <f t="shared" ref="B28:G28" si="8">B29</f>
        <v>13460177.280000001</v>
      </c>
      <c r="C28" s="284">
        <f t="shared" si="8"/>
        <v>10095132.960000001</v>
      </c>
      <c r="D28" s="284">
        <f t="shared" si="8"/>
        <v>6730088.6400000006</v>
      </c>
      <c r="E28" s="284">
        <f t="shared" si="8"/>
        <v>3365044.3200000003</v>
      </c>
      <c r="F28" s="284">
        <f t="shared" si="8"/>
        <v>0</v>
      </c>
      <c r="G28" s="284">
        <f t="shared" si="8"/>
        <v>0</v>
      </c>
      <c r="H28" s="516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4.25" customHeight="1">
      <c r="A29" s="110" t="s">
        <v>895</v>
      </c>
      <c r="B29" s="551">
        <f>'F-Cred'!E54-B27</f>
        <v>13460177.280000001</v>
      </c>
      <c r="C29" s="551">
        <f t="shared" ref="C29:G29" si="9">B29-C27</f>
        <v>10095132.960000001</v>
      </c>
      <c r="D29" s="551">
        <f t="shared" si="9"/>
        <v>6730088.6400000006</v>
      </c>
      <c r="E29" s="551">
        <f t="shared" si="9"/>
        <v>3365044.3200000003</v>
      </c>
      <c r="F29" s="551">
        <f t="shared" si="9"/>
        <v>0</v>
      </c>
      <c r="G29" s="551">
        <f t="shared" si="9"/>
        <v>0</v>
      </c>
      <c r="H29" s="516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4.25" customHeight="1">
      <c r="A30" s="110" t="s">
        <v>897</v>
      </c>
      <c r="B30" s="284">
        <f t="shared" ref="B30:G30" si="10">B25+B28</f>
        <v>16825221.600000001</v>
      </c>
      <c r="C30" s="284">
        <f t="shared" si="10"/>
        <v>13460177.280000001</v>
      </c>
      <c r="D30" s="284">
        <f t="shared" si="10"/>
        <v>10095132.960000001</v>
      </c>
      <c r="E30" s="284">
        <f t="shared" si="10"/>
        <v>6730088.6400000006</v>
      </c>
      <c r="F30" s="284">
        <f t="shared" si="10"/>
        <v>3365044.3200000003</v>
      </c>
      <c r="G30" s="284">
        <f t="shared" si="10"/>
        <v>0</v>
      </c>
      <c r="H30" s="516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4.25" customHeight="1">
      <c r="A31" s="110" t="s">
        <v>898</v>
      </c>
      <c r="B31" s="284">
        <f t="shared" ref="B31:G31" si="11">B24-B30</f>
        <v>14025579.147313081</v>
      </c>
      <c r="C31" s="284">
        <f t="shared" si="11"/>
        <v>24399312.66980578</v>
      </c>
      <c r="D31" s="284">
        <f t="shared" si="11"/>
        <v>24417965.242058814</v>
      </c>
      <c r="E31" s="284">
        <f t="shared" si="11"/>
        <v>25202525.200144559</v>
      </c>
      <c r="F31" s="284">
        <f t="shared" si="11"/>
        <v>25786508.930218291</v>
      </c>
      <c r="G31" s="284">
        <f t="shared" si="11"/>
        <v>24955482.313748375</v>
      </c>
      <c r="H31" s="516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4.25" customHeight="1">
      <c r="A32" s="110" t="s">
        <v>899</v>
      </c>
      <c r="B32" s="377">
        <f>'F- CFyU'!B7</f>
        <v>20433032.104248829</v>
      </c>
      <c r="C32" s="377">
        <f>'F-Cred'!F8</f>
        <v>19594498.819291428</v>
      </c>
      <c r="D32" s="377">
        <f t="shared" ref="D32:G32" si="12">C32</f>
        <v>19594498.819291428</v>
      </c>
      <c r="E32" s="377">
        <f t="shared" si="12"/>
        <v>19594498.819291428</v>
      </c>
      <c r="F32" s="377">
        <f t="shared" si="12"/>
        <v>19594498.819291428</v>
      </c>
      <c r="G32" s="377">
        <f t="shared" si="12"/>
        <v>19594498.819291428</v>
      </c>
      <c r="H32" s="516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4.25" customHeight="1">
      <c r="A33" s="110" t="s">
        <v>901</v>
      </c>
      <c r="B33" s="550">
        <v>0</v>
      </c>
      <c r="C33" s="551">
        <f>'F-CRes'!B14</f>
        <v>-1638977.5065948036</v>
      </c>
      <c r="D33" s="551">
        <f>'F-CRes'!C14</f>
        <v>1050693.2493972932</v>
      </c>
      <c r="E33" s="551">
        <f>'F-CRes'!D14</f>
        <v>1530736.7288639587</v>
      </c>
      <c r="F33" s="551">
        <f>'F-CRes'!E14</f>
        <v>601212.80622666038</v>
      </c>
      <c r="G33" s="553">
        <f>'F-CRes'!F14</f>
        <v>1026839.7982621168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4.25" customHeight="1">
      <c r="A34" s="110" t="s">
        <v>903</v>
      </c>
      <c r="B34" s="527">
        <v>0</v>
      </c>
      <c r="C34" s="527">
        <v>0</v>
      </c>
      <c r="D34" s="377">
        <f t="shared" ref="D34:G34" si="13">C33+C34</f>
        <v>-1638977.5065948036</v>
      </c>
      <c r="E34" s="377">
        <f t="shared" si="13"/>
        <v>-588284.25719751045</v>
      </c>
      <c r="F34" s="377">
        <f t="shared" si="13"/>
        <v>942452.47166644828</v>
      </c>
      <c r="G34" s="518">
        <f t="shared" si="13"/>
        <v>1543665.2778931088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4.25" customHeight="1">
      <c r="A35" s="160" t="s">
        <v>904</v>
      </c>
      <c r="B35" s="146">
        <f t="shared" ref="B35:G35" si="14">B31+B30</f>
        <v>30850800.747313082</v>
      </c>
      <c r="C35" s="146">
        <f t="shared" si="14"/>
        <v>37859489.949805781</v>
      </c>
      <c r="D35" s="146">
        <f t="shared" si="14"/>
        <v>34513098.202058814</v>
      </c>
      <c r="E35" s="146">
        <f t="shared" si="14"/>
        <v>31932613.84014456</v>
      </c>
      <c r="F35" s="146">
        <f t="shared" si="14"/>
        <v>29151553.250218291</v>
      </c>
      <c r="G35" s="146">
        <f t="shared" si="14"/>
        <v>24955482.313748375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2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2.7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4.25" customHeight="1">
      <c r="A38" s="555" t="s">
        <v>906</v>
      </c>
      <c r="B38" s="228" t="str">
        <f t="shared" ref="B38:G38" si="15">IF(B24=B35,"OK","MAL")</f>
        <v>OK</v>
      </c>
      <c r="C38" s="228" t="str">
        <f t="shared" si="15"/>
        <v>OK</v>
      </c>
      <c r="D38" s="228" t="str">
        <f t="shared" si="15"/>
        <v>OK</v>
      </c>
      <c r="E38" s="228" t="str">
        <f t="shared" si="15"/>
        <v>OK</v>
      </c>
      <c r="F38" s="228" t="str">
        <f t="shared" si="15"/>
        <v>OK</v>
      </c>
      <c r="G38" s="228" t="str">
        <f t="shared" si="15"/>
        <v>OK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2.7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2.7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2.7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2.7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2.7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2.7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2.7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2.7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2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2.7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2.7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2.7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2.7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2.7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12.7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12.7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12.7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 ht="12.7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 ht="12.75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spans="1:26" ht="12.75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spans="1:26" ht="12.75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spans="1:26" ht="12.75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spans="1:26" ht="12.75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spans="1:26" ht="12.75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spans="1:26" ht="12.75" customHeight="1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</row>
    <row r="238" spans="1:26" ht="12.75" customHeight="1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</row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B38">
    <cfRule type="cellIs" dxfId="31" priority="1" operator="equal">
      <formula>"OK"</formula>
    </cfRule>
  </conditionalFormatting>
  <conditionalFormatting sqref="B38">
    <cfRule type="cellIs" dxfId="30" priority="2" operator="equal">
      <formula>"MAL"</formula>
    </cfRule>
  </conditionalFormatting>
  <conditionalFormatting sqref="C38">
    <cfRule type="cellIs" dxfId="29" priority="3" operator="equal">
      <formula>"OK"</formula>
    </cfRule>
  </conditionalFormatting>
  <conditionalFormatting sqref="C38">
    <cfRule type="cellIs" dxfId="28" priority="4" operator="equal">
      <formula>"MAL"</formula>
    </cfRule>
  </conditionalFormatting>
  <conditionalFormatting sqref="D38">
    <cfRule type="cellIs" dxfId="27" priority="5" operator="equal">
      <formula>"OK"</formula>
    </cfRule>
  </conditionalFormatting>
  <conditionalFormatting sqref="D38">
    <cfRule type="cellIs" dxfId="26" priority="6" operator="equal">
      <formula>"MAL"</formula>
    </cfRule>
  </conditionalFormatting>
  <conditionalFormatting sqref="E38">
    <cfRule type="cellIs" dxfId="25" priority="7" operator="equal">
      <formula>"OK"</formula>
    </cfRule>
  </conditionalFormatting>
  <conditionalFormatting sqref="E38">
    <cfRule type="cellIs" dxfId="24" priority="8" operator="equal">
      <formula>"MAL"</formula>
    </cfRule>
  </conditionalFormatting>
  <conditionalFormatting sqref="F38">
    <cfRule type="cellIs" dxfId="23" priority="9" operator="equal">
      <formula>"OK"</formula>
    </cfRule>
  </conditionalFormatting>
  <conditionalFormatting sqref="F38">
    <cfRule type="cellIs" dxfId="22" priority="10" operator="equal">
      <formula>"MAL"</formula>
    </cfRule>
  </conditionalFormatting>
  <conditionalFormatting sqref="G38">
    <cfRule type="cellIs" dxfId="21" priority="11" operator="equal">
      <formula>"OK"</formula>
    </cfRule>
  </conditionalFormatting>
  <conditionalFormatting sqref="G38">
    <cfRule type="cellIs" dxfId="20" priority="12" operator="equal">
      <formula>"MAL"</formula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B1:P1000"/>
  <sheetViews>
    <sheetView showGridLines="0" workbookViewId="0"/>
  </sheetViews>
  <sheetFormatPr defaultColWidth="14.44140625" defaultRowHeight="15" customHeight="1"/>
  <cols>
    <col min="1" max="1" width="11.44140625" customWidth="1"/>
    <col min="2" max="2" width="11.88671875" customWidth="1"/>
    <col min="3" max="3" width="11.44140625" customWidth="1"/>
    <col min="4" max="4" width="12.5546875" customWidth="1"/>
    <col min="5" max="6" width="11.44140625" customWidth="1"/>
    <col min="7" max="7" width="14.5546875" customWidth="1"/>
    <col min="8" max="8" width="8.5546875" customWidth="1"/>
    <col min="9" max="9" width="11.44140625" customWidth="1"/>
    <col min="10" max="10" width="12" customWidth="1"/>
    <col min="11" max="11" width="18.5546875" customWidth="1"/>
  </cols>
  <sheetData>
    <row r="1" spans="2:16" ht="18">
      <c r="D1" s="1" t="s">
        <v>1</v>
      </c>
    </row>
    <row r="3" spans="2:16" ht="14.4">
      <c r="B3" s="585" t="s">
        <v>5</v>
      </c>
      <c r="C3" s="586"/>
      <c r="D3" s="587"/>
      <c r="E3" s="4" t="s">
        <v>7</v>
      </c>
      <c r="F3" s="4"/>
    </row>
    <row r="5" spans="2:16" ht="14.4">
      <c r="B5" s="591" t="s">
        <v>12</v>
      </c>
      <c r="C5" s="586"/>
      <c r="D5" s="587"/>
      <c r="E5" s="6">
        <v>5</v>
      </c>
      <c r="F5" s="6" t="s">
        <v>16</v>
      </c>
    </row>
    <row r="6" spans="2:16" ht="14.4">
      <c r="B6" s="12"/>
      <c r="C6" s="12"/>
      <c r="D6" s="12"/>
      <c r="E6" s="12"/>
      <c r="F6" s="12"/>
    </row>
    <row r="7" spans="2:16" ht="14.4">
      <c r="B7" s="585" t="s">
        <v>25</v>
      </c>
      <c r="C7" s="586"/>
      <c r="D7" s="587"/>
      <c r="E7" s="14">
        <v>73</v>
      </c>
      <c r="F7" s="6" t="s">
        <v>26</v>
      </c>
    </row>
    <row r="11" spans="2:16" ht="14.4">
      <c r="B11" s="588" t="s">
        <v>27</v>
      </c>
      <c r="C11" s="589"/>
      <c r="D11" s="589"/>
      <c r="E11" s="589"/>
      <c r="F11" s="589"/>
      <c r="G11" s="590"/>
      <c r="H11" s="10">
        <v>101.60523483656486</v>
      </c>
      <c r="I11" s="17" t="s">
        <v>28</v>
      </c>
      <c r="J11" s="18"/>
      <c r="K11" s="17"/>
      <c r="M11" t="s">
        <v>29</v>
      </c>
      <c r="P11" t="e">
        <f>H14*[1]DATOS!Y16</f>
        <v>#REF!</v>
      </c>
    </row>
    <row r="12" spans="2:16" ht="14.4">
      <c r="B12" s="592" t="s">
        <v>30</v>
      </c>
      <c r="C12" s="589"/>
      <c r="D12" s="589"/>
      <c r="E12" s="589"/>
      <c r="F12" s="589"/>
      <c r="G12" s="590"/>
      <c r="H12" s="18">
        <v>1072.791630964394</v>
      </c>
      <c r="I12" s="17" t="s">
        <v>28</v>
      </c>
      <c r="J12" s="18"/>
      <c r="K12" s="17"/>
    </row>
    <row r="13" spans="2:16" ht="14.4">
      <c r="B13" s="588" t="s">
        <v>34</v>
      </c>
      <c r="C13" s="589"/>
      <c r="D13" s="589"/>
      <c r="E13" s="589"/>
      <c r="F13" s="589"/>
      <c r="G13" s="590"/>
      <c r="H13" s="10">
        <v>1174.3968658009589</v>
      </c>
      <c r="I13" s="17" t="s">
        <v>28</v>
      </c>
      <c r="J13" s="18"/>
      <c r="K13" s="17"/>
      <c r="M13" t="s">
        <v>36</v>
      </c>
      <c r="P13">
        <f>'DIM TECNICO - Balance Anual - M'!F33*'DIM TECNICO - Evolución de la P'!H17</f>
        <v>16.377899709949098</v>
      </c>
    </row>
    <row r="14" spans="2:16" ht="14.4">
      <c r="B14" s="588" t="s">
        <v>37</v>
      </c>
      <c r="C14" s="589"/>
      <c r="D14" s="589"/>
      <c r="E14" s="589"/>
      <c r="F14" s="589"/>
      <c r="G14" s="590"/>
      <c r="H14" s="10">
        <v>935.48568541666657</v>
      </c>
      <c r="I14" s="17" t="s">
        <v>28</v>
      </c>
      <c r="J14" s="18"/>
      <c r="K14" s="17"/>
    </row>
    <row r="15" spans="2:16" ht="14.4">
      <c r="B15" s="588" t="s">
        <v>38</v>
      </c>
      <c r="C15" s="589"/>
      <c r="D15" s="589"/>
      <c r="E15" s="589"/>
      <c r="F15" s="589"/>
      <c r="G15" s="590"/>
      <c r="H15" s="10">
        <v>238.91118038429238</v>
      </c>
      <c r="I15" s="17" t="s">
        <v>28</v>
      </c>
      <c r="J15" s="10"/>
      <c r="K15" s="17"/>
      <c r="M15" t="s">
        <v>39</v>
      </c>
      <c r="P15" t="e">
        <f>E29*[1]DATOS!AB14</f>
        <v>#REF!</v>
      </c>
    </row>
    <row r="18" spans="2:11" ht="14.4">
      <c r="B18" s="27" t="s">
        <v>40</v>
      </c>
      <c r="J18" s="30">
        <v>20.769657534246573</v>
      </c>
      <c r="K18" s="12" t="s">
        <v>28</v>
      </c>
    </row>
    <row r="20" spans="2:11" ht="14.4">
      <c r="B20" s="598" t="s">
        <v>46</v>
      </c>
      <c r="C20" s="586"/>
      <c r="D20" s="586"/>
      <c r="E20" s="587"/>
    </row>
    <row r="21" spans="2:11" ht="15.75" customHeight="1">
      <c r="B21" s="594" t="s">
        <v>52</v>
      </c>
      <c r="C21" s="595"/>
      <c r="D21" s="595"/>
      <c r="E21" s="596"/>
      <c r="F21" s="10">
        <v>16.778410270671756</v>
      </c>
      <c r="G21" s="17" t="s">
        <v>28</v>
      </c>
    </row>
    <row r="22" spans="2:11" ht="15.75" customHeight="1">
      <c r="B22" s="593" t="s">
        <v>55</v>
      </c>
      <c r="C22" s="589"/>
      <c r="D22" s="589"/>
      <c r="E22" s="590"/>
      <c r="F22" s="10">
        <v>3.9912472635748166</v>
      </c>
      <c r="G22" s="17" t="s">
        <v>28</v>
      </c>
    </row>
    <row r="23" spans="2:11" ht="15.75" customHeight="1">
      <c r="B23" s="593" t="s">
        <v>63</v>
      </c>
      <c r="C23" s="589"/>
      <c r="D23" s="589"/>
      <c r="E23" s="590"/>
      <c r="F23" s="17">
        <v>0</v>
      </c>
      <c r="G23" s="17" t="s">
        <v>28</v>
      </c>
    </row>
    <row r="24" spans="2:11" ht="15.75" customHeight="1">
      <c r="B24" s="597" t="s">
        <v>64</v>
      </c>
      <c r="C24" s="589"/>
      <c r="D24" s="589"/>
      <c r="E24" s="590"/>
      <c r="F24" s="10">
        <v>20.769657534246573</v>
      </c>
      <c r="G24" s="17" t="s">
        <v>28</v>
      </c>
    </row>
    <row r="25" spans="2:11" ht="15.75" customHeight="1"/>
    <row r="26" spans="2:11" ht="15.75" customHeight="1">
      <c r="B26" s="598" t="s">
        <v>69</v>
      </c>
      <c r="C26" s="586"/>
      <c r="D26" s="586"/>
      <c r="E26" s="587"/>
    </row>
    <row r="27" spans="2:11" ht="15.75" customHeight="1">
      <c r="B27" s="593" t="s">
        <v>70</v>
      </c>
      <c r="C27" s="589"/>
      <c r="D27" s="590"/>
      <c r="E27" s="10">
        <v>1174.3968658009589</v>
      </c>
      <c r="F27" s="17" t="s">
        <v>28</v>
      </c>
      <c r="G27" s="10"/>
      <c r="H27" s="17"/>
    </row>
    <row r="28" spans="2:11" ht="15.75" customHeight="1">
      <c r="B28" s="593" t="s">
        <v>72</v>
      </c>
      <c r="C28" s="589"/>
      <c r="D28" s="590"/>
      <c r="E28" s="10">
        <v>20.769657534246573</v>
      </c>
      <c r="F28" s="17" t="s">
        <v>28</v>
      </c>
      <c r="G28" s="10"/>
      <c r="H28" s="17"/>
    </row>
    <row r="29" spans="2:11" ht="15.75" customHeight="1">
      <c r="B29" s="593" t="s">
        <v>74</v>
      </c>
      <c r="C29" s="589"/>
      <c r="D29" s="590"/>
      <c r="E29" s="10">
        <v>1195.1665233352055</v>
      </c>
      <c r="F29" s="17" t="s">
        <v>28</v>
      </c>
      <c r="G29" s="10"/>
      <c r="H29" s="17"/>
    </row>
    <row r="30" spans="2:11" ht="15.75" customHeight="1"/>
    <row r="31" spans="2:11" ht="15.75" customHeight="1">
      <c r="B31" s="598" t="s">
        <v>75</v>
      </c>
      <c r="C31" s="586"/>
      <c r="D31" s="586"/>
      <c r="E31" s="587"/>
    </row>
    <row r="32" spans="2:11" ht="15.75" customHeight="1">
      <c r="B32" s="593" t="s">
        <v>76</v>
      </c>
      <c r="C32" s="589"/>
      <c r="D32" s="590"/>
      <c r="E32" s="10">
        <v>1430.3888412858589</v>
      </c>
      <c r="F32" s="17" t="s">
        <v>28</v>
      </c>
      <c r="G32" s="10"/>
      <c r="H32" s="17"/>
    </row>
    <row r="33" spans="2:8" ht="15.75" customHeight="1">
      <c r="B33" s="593" t="s">
        <v>78</v>
      </c>
      <c r="C33" s="589"/>
      <c r="D33" s="590"/>
      <c r="E33" s="17">
        <v>1155.5149999999999</v>
      </c>
      <c r="F33" s="17" t="s">
        <v>28</v>
      </c>
      <c r="G33" s="17"/>
      <c r="H33" s="17"/>
    </row>
    <row r="34" spans="2:8" ht="15.75" customHeight="1">
      <c r="B34" s="593" t="s">
        <v>79</v>
      </c>
      <c r="C34" s="589"/>
      <c r="D34" s="590"/>
      <c r="E34" s="17">
        <v>274.87384128585904</v>
      </c>
      <c r="F34" s="17" t="s">
        <v>28</v>
      </c>
      <c r="G34" s="10"/>
      <c r="H34" s="17"/>
    </row>
    <row r="35" spans="2:8" ht="15.75" customHeight="1"/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B32:D32"/>
    <mergeCell ref="B34:D34"/>
    <mergeCell ref="B33:D33"/>
    <mergeCell ref="B31:E31"/>
    <mergeCell ref="B27:D27"/>
    <mergeCell ref="B28:D28"/>
    <mergeCell ref="B29:D29"/>
    <mergeCell ref="B24:E24"/>
    <mergeCell ref="B20:E20"/>
    <mergeCell ref="B7:D7"/>
    <mergeCell ref="B26:E26"/>
    <mergeCell ref="B14:G14"/>
    <mergeCell ref="B15:G15"/>
    <mergeCell ref="B23:E23"/>
    <mergeCell ref="B21:E21"/>
    <mergeCell ref="B22:E22"/>
    <mergeCell ref="B13:G13"/>
    <mergeCell ref="B11:G11"/>
    <mergeCell ref="B3:D3"/>
    <mergeCell ref="B5:D5"/>
    <mergeCell ref="B12:G12"/>
  </mergeCells>
  <pageMargins left="0.7" right="0.7" top="0.75" bottom="0.75" header="0" footer="0"/>
  <pageSetup orientation="landscape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FF00"/>
  </sheetPr>
  <dimension ref="A1:Z1000"/>
  <sheetViews>
    <sheetView workbookViewId="0"/>
  </sheetViews>
  <sheetFormatPr defaultColWidth="14.44140625" defaultRowHeight="15" customHeight="1"/>
  <cols>
    <col min="1" max="1" width="40.88671875" customWidth="1"/>
    <col min="2" max="3" width="15.33203125" customWidth="1"/>
    <col min="4" max="4" width="37.109375" customWidth="1"/>
    <col min="5" max="6" width="15.33203125" customWidth="1"/>
    <col min="7" max="7" width="16.44140625" customWidth="1"/>
    <col min="8" max="8" width="16.5546875" customWidth="1"/>
    <col min="9" max="9" width="17.33203125" customWidth="1"/>
    <col min="10" max="14" width="11.33203125" customWidth="1"/>
    <col min="15" max="26" width="9" customWidth="1"/>
  </cols>
  <sheetData>
    <row r="1" spans="1:26" ht="14.25" customHeight="1">
      <c r="A1" s="93" t="s">
        <v>205</v>
      </c>
      <c r="E1" s="94">
        <f>InfoInicial!E1</f>
        <v>10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3.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6.5" customHeight="1">
      <c r="A3" s="270" t="s">
        <v>900</v>
      </c>
      <c r="B3" s="271"/>
      <c r="C3" s="271"/>
      <c r="D3" s="271"/>
      <c r="E3" s="271"/>
      <c r="F3" s="271"/>
      <c r="G3" s="554"/>
      <c r="H3" s="272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2.75" customHeight="1">
      <c r="A4" s="113"/>
      <c r="B4" s="278" t="s">
        <v>226</v>
      </c>
      <c r="C4" s="278" t="s">
        <v>69</v>
      </c>
      <c r="D4" s="278" t="s">
        <v>551</v>
      </c>
      <c r="E4" s="278" t="s">
        <v>552</v>
      </c>
      <c r="F4" s="278" t="s">
        <v>553</v>
      </c>
      <c r="G4" s="275" t="s">
        <v>554</v>
      </c>
      <c r="H4" s="280" t="s">
        <v>429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4.25" customHeight="1">
      <c r="A5" s="134" t="s">
        <v>902</v>
      </c>
      <c r="B5" s="462">
        <f t="shared" ref="B5:H5" si="0">SUM(B6:B11)</f>
        <v>37258253.704248831</v>
      </c>
      <c r="C5" s="462">
        <f t="shared" si="0"/>
        <v>23466136.810968157</v>
      </c>
      <c r="D5" s="462">
        <f t="shared" si="0"/>
        <v>23950085.24277151</v>
      </c>
      <c r="E5" s="462">
        <f t="shared" si="0"/>
        <v>26030336.441575311</v>
      </c>
      <c r="F5" s="462">
        <f t="shared" si="0"/>
        <v>27396026.472723819</v>
      </c>
      <c r="G5" s="462">
        <f t="shared" si="0"/>
        <v>26201073.394996654</v>
      </c>
      <c r="H5" s="462">
        <f t="shared" si="0"/>
        <v>150899972.82914519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4.25" customHeight="1">
      <c r="A6" s="97" t="s">
        <v>905</v>
      </c>
      <c r="B6" s="291" t="s">
        <v>278</v>
      </c>
      <c r="C6" s="291">
        <v>0</v>
      </c>
      <c r="D6" s="284">
        <f t="shared" ref="D6:G6" si="1">C27</f>
        <v>522924.95592219941</v>
      </c>
      <c r="E6" s="284">
        <f t="shared" si="1"/>
        <v>2461887.0321195442</v>
      </c>
      <c r="F6" s="284">
        <f t="shared" si="1"/>
        <v>5411053.8551006969</v>
      </c>
      <c r="G6" s="284">
        <f t="shared" si="1"/>
        <v>5006073.3949966542</v>
      </c>
      <c r="H6" s="556">
        <v>0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4.25" customHeight="1">
      <c r="A7" s="97" t="s">
        <v>907</v>
      </c>
      <c r="B7" s="544">
        <f>'F-2 Estructura'!B31</f>
        <v>20433032.104248829</v>
      </c>
      <c r="C7" s="544">
        <f>'F-2 Estructura'!C31</f>
        <v>3807244.3399256165</v>
      </c>
      <c r="D7" s="557">
        <v>0</v>
      </c>
      <c r="E7" s="557">
        <v>0</v>
      </c>
      <c r="F7" s="557">
        <v>0</v>
      </c>
      <c r="G7" s="557">
        <v>0</v>
      </c>
      <c r="H7" s="340">
        <f t="shared" ref="H7:H11" si="2">SUM(B7:G7)</f>
        <v>24240276.444174446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4.25" customHeight="1">
      <c r="A8" s="97" t="s">
        <v>909</v>
      </c>
      <c r="B8" s="284">
        <f>'F-2 Estructura'!B29</f>
        <v>0</v>
      </c>
      <c r="C8" s="284">
        <f>'F-2 Estructura'!C29</f>
        <v>1327712.5890350069</v>
      </c>
      <c r="D8" s="291">
        <v>0</v>
      </c>
      <c r="E8" s="291">
        <v>0</v>
      </c>
      <c r="F8" s="291">
        <v>0</v>
      </c>
      <c r="G8" s="291">
        <v>0</v>
      </c>
      <c r="H8" s="340">
        <f t="shared" si="2"/>
        <v>1327712.5890350069</v>
      </c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4.25" customHeight="1">
      <c r="A9" s="97" t="s">
        <v>914</v>
      </c>
      <c r="B9" s="544">
        <f>'F-2 Estructura'!B30</f>
        <v>16825221.600000001</v>
      </c>
      <c r="C9" s="544">
        <f>'F-2 Estructura'!C30</f>
        <v>0</v>
      </c>
      <c r="D9" s="557">
        <v>0</v>
      </c>
      <c r="E9" s="557">
        <v>0</v>
      </c>
      <c r="F9" s="557">
        <v>0</v>
      </c>
      <c r="G9" s="557">
        <v>0</v>
      </c>
      <c r="H9" s="340">
        <f t="shared" si="2"/>
        <v>16825221.600000001</v>
      </c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4.25" customHeight="1">
      <c r="A10" s="97" t="s">
        <v>915</v>
      </c>
      <c r="B10" s="291">
        <v>0</v>
      </c>
      <c r="C10" s="284">
        <f>'F-CRes'!B4</f>
        <v>16956000</v>
      </c>
      <c r="D10" s="284">
        <f>'F-CRes'!C4</f>
        <v>21195000</v>
      </c>
      <c r="E10" s="284">
        <f>'F-CRes'!D4</f>
        <v>21195000</v>
      </c>
      <c r="F10" s="284">
        <f>'F-CRes'!E4</f>
        <v>21195000</v>
      </c>
      <c r="G10" s="284">
        <f>'F-CRes'!F4</f>
        <v>21195000</v>
      </c>
      <c r="H10" s="340">
        <f t="shared" si="2"/>
        <v>101736000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4.25" customHeight="1">
      <c r="A11" s="97" t="s">
        <v>916</v>
      </c>
      <c r="B11" s="462">
        <f>'F-IVA'!B19</f>
        <v>0</v>
      </c>
      <c r="C11" s="462">
        <f>'F-IVA'!C19</f>
        <v>1375179.882007536</v>
      </c>
      <c r="D11" s="462">
        <f>'F-IVA'!D19</f>
        <v>2232160.2868493097</v>
      </c>
      <c r="E11" s="462">
        <f>'F-IVA'!E19</f>
        <v>2373449.4094557706</v>
      </c>
      <c r="F11" s="462">
        <f>'F-IVA'!F19</f>
        <v>789972.61762311927</v>
      </c>
      <c r="G11" s="462">
        <f>'F-IVA'!G19</f>
        <v>-2.7503119781613348E-11</v>
      </c>
      <c r="H11" s="340">
        <f t="shared" si="2"/>
        <v>6770762.1959357364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4.25" customHeight="1">
      <c r="A12" s="97"/>
      <c r="B12" s="284"/>
      <c r="C12" s="284"/>
      <c r="D12" s="284"/>
      <c r="E12" s="284"/>
      <c r="F12" s="284"/>
      <c r="G12" s="345"/>
      <c r="H12" s="340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4.25" customHeight="1">
      <c r="A13" s="134" t="s">
        <v>917</v>
      </c>
      <c r="B13" s="284">
        <f t="shared" ref="B13:H13" si="3">SUM(B14:B22)</f>
        <v>37258253.704248831</v>
      </c>
      <c r="C13" s="284">
        <f t="shared" si="3"/>
        <v>25353351.349694848</v>
      </c>
      <c r="D13" s="284">
        <f t="shared" si="3"/>
        <v>23898337.705300856</v>
      </c>
      <c r="E13" s="284">
        <f t="shared" si="3"/>
        <v>23029422.081123505</v>
      </c>
      <c r="F13" s="284">
        <f t="shared" si="3"/>
        <v>23958831.492376056</v>
      </c>
      <c r="G13" s="284">
        <f t="shared" si="3"/>
        <v>23533204.521737881</v>
      </c>
      <c r="H13" s="284">
        <f t="shared" si="3"/>
        <v>157031400.85448197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4.25" customHeight="1">
      <c r="A14" s="97" t="s">
        <v>910</v>
      </c>
      <c r="B14" s="544">
        <f>'E-Cal Inv.'!B8+'E-Cal Inv.'!C8+'F-Cred'!G21+'F-Cred'!I21</f>
        <v>30333730.761784449</v>
      </c>
      <c r="C14" s="544">
        <f>'E-Cal Inv.'!D8</f>
        <v>93480</v>
      </c>
      <c r="D14" s="557">
        <v>0</v>
      </c>
      <c r="E14" s="557">
        <v>0</v>
      </c>
      <c r="F14" s="557">
        <v>0</v>
      </c>
      <c r="G14" s="557">
        <v>0</v>
      </c>
      <c r="H14" s="552">
        <f t="shared" ref="H14:H22" si="4">SUM(B14:G14)</f>
        <v>30427210.761784449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4.25" customHeight="1">
      <c r="A15" s="97" t="s">
        <v>471</v>
      </c>
      <c r="B15" s="284">
        <f>'E-InvAT'!B24</f>
        <v>517069.98552863329</v>
      </c>
      <c r="C15" s="284">
        <f>'E-InvAT'!C24</f>
        <v>2981571.1477104616</v>
      </c>
      <c r="D15" s="284">
        <f>'E-InvAT'!D24</f>
        <v>344051.47979022982</v>
      </c>
      <c r="E15" s="284">
        <f>'E-InvAT'!E24</f>
        <v>18.759887687396258</v>
      </c>
      <c r="F15" s="284">
        <f>'E-InvAT'!F24</f>
        <v>0</v>
      </c>
      <c r="G15" s="284">
        <f>'E-InvAT'!G24</f>
        <v>0</v>
      </c>
      <c r="H15" s="552">
        <f t="shared" si="4"/>
        <v>3842711.3729170123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4.25" customHeight="1">
      <c r="A16" s="97" t="s">
        <v>918</v>
      </c>
      <c r="B16" s="291">
        <v>0</v>
      </c>
      <c r="C16" s="284">
        <f>'F-CRes'!B5+'F-CRes'!B8+'F-CRes'!B9+'F-CRes'!B10</f>
        <v>18129002.464912564</v>
      </c>
      <c r="D16" s="284">
        <f>'F-CRes'!C5+'F-CRes'!C8+'F-CRes'!C9+'F-CRes'!C10</f>
        <v>18886651.98401377</v>
      </c>
      <c r="E16" s="284">
        <f>'F-CRes'!D5+'F-CRes'!D8+'F-CRes'!D9+'F-CRes'!D10</f>
        <v>18148278.451495599</v>
      </c>
      <c r="F16" s="284">
        <f>'F-CRes'!E5+'F-CRes'!E8+'F-CRes'!E9+'F-CRes'!E10</f>
        <v>19578315.255552981</v>
      </c>
      <c r="G16" s="284">
        <f>'F-CRes'!F5+'F-CRes'!F8+'F-CRes'!F9+'F-CRes'!F10</f>
        <v>18923504.498575356</v>
      </c>
      <c r="H16" s="552">
        <f t="shared" si="4"/>
        <v>93665752.654550269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4.25" customHeight="1">
      <c r="A17" s="97" t="s">
        <v>919</v>
      </c>
      <c r="B17" s="291">
        <v>0</v>
      </c>
      <c r="C17" s="284">
        <f>'F-CRes'!B13</f>
        <v>0</v>
      </c>
      <c r="D17" s="284">
        <f>'F-CRes'!C13</f>
        <v>565757.90352161927</v>
      </c>
      <c r="E17" s="284">
        <f>'F-CRes'!D13</f>
        <v>824242.85400367004</v>
      </c>
      <c r="F17" s="284">
        <f>'F-CRes'!E13</f>
        <v>323729.97258358635</v>
      </c>
      <c r="G17" s="284">
        <f>'F-CRes'!F13</f>
        <v>552913.73752575519</v>
      </c>
      <c r="H17" s="552">
        <f t="shared" si="4"/>
        <v>2266644.4676346309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4.25" customHeight="1">
      <c r="A18" s="97" t="s">
        <v>920</v>
      </c>
      <c r="B18" s="551"/>
      <c r="C18" s="551">
        <f>'F-Cred'!$E24</f>
        <v>3365044.3200000003</v>
      </c>
      <c r="D18" s="551">
        <f>'F-Cred'!$E28</f>
        <v>3365044.3200000003</v>
      </c>
      <c r="E18" s="551">
        <f>'F-Cred'!$E26</f>
        <v>3365044.3200000003</v>
      </c>
      <c r="F18" s="551">
        <f>'F-Cred'!$E30</f>
        <v>3365044.3200000003</v>
      </c>
      <c r="G18" s="551">
        <f>'F-Cred'!$E32</f>
        <v>3365044.3200000003</v>
      </c>
      <c r="H18" s="552">
        <f t="shared" si="4"/>
        <v>16825221.600000001</v>
      </c>
      <c r="I18" s="288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4.25" customHeight="1">
      <c r="A19" s="97" t="s">
        <v>921</v>
      </c>
      <c r="B19" s="291">
        <v>0</v>
      </c>
      <c r="C19" s="284">
        <f>'F-CRes'!B12</f>
        <v>465975.04168224009</v>
      </c>
      <c r="D19" s="284">
        <f>'F-CRes'!C12</f>
        <v>691896.86306731869</v>
      </c>
      <c r="E19" s="284">
        <f>'F-CRes'!D12</f>
        <v>691741.96563677222</v>
      </c>
      <c r="F19" s="284">
        <f>'F-CRes'!E12</f>
        <v>691741.96563677222</v>
      </c>
      <c r="G19" s="284">
        <f>'F-CRes'!F12</f>
        <v>691741.96563677222</v>
      </c>
      <c r="H19" s="552">
        <f t="shared" si="4"/>
        <v>3233097.8016598751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4.25" customHeight="1">
      <c r="A20" s="97" t="s">
        <v>922</v>
      </c>
      <c r="B20" s="557">
        <v>0</v>
      </c>
      <c r="C20" s="557">
        <v>0</v>
      </c>
      <c r="D20" s="557">
        <v>0</v>
      </c>
      <c r="E20" s="557">
        <v>0</v>
      </c>
      <c r="F20" s="557">
        <v>0</v>
      </c>
      <c r="G20" s="557">
        <v>0</v>
      </c>
      <c r="H20" s="552">
        <f t="shared" si="4"/>
        <v>0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4.25" customHeight="1">
      <c r="A21" s="97" t="s">
        <v>923</v>
      </c>
      <c r="B21" s="284">
        <f>'F-2 Estructura'!B9+'F-2 Estructura'!B21</f>
        <v>6407452.9569357475</v>
      </c>
      <c r="C21" s="284">
        <f>'F-2 Estructura'!C9+'F-2 Estructura'!C21</f>
        <v>318278.37538958376</v>
      </c>
      <c r="D21" s="284">
        <f>'F-IVA'!D17</f>
        <v>44935.154907918957</v>
      </c>
      <c r="E21" s="284">
        <f>'F-IVA'!E17</f>
        <v>95.730099773415105</v>
      </c>
      <c r="F21" s="284">
        <f>'F-IVA'!F17</f>
        <v>-2.139728693946381E-2</v>
      </c>
      <c r="G21" s="284">
        <f>'F-IVA'!G17</f>
        <v>-2.7503119781613348E-11</v>
      </c>
      <c r="H21" s="552">
        <f t="shared" si="4"/>
        <v>6770762.1959357355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4.25" customHeight="1">
      <c r="A22" s="97" t="s">
        <v>924</v>
      </c>
      <c r="B22" s="462"/>
      <c r="C22" s="462"/>
      <c r="D22" s="462"/>
      <c r="E22" s="462"/>
      <c r="F22" s="462"/>
      <c r="G22" s="562"/>
      <c r="H22" s="552">
        <f t="shared" si="4"/>
        <v>0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4.25" customHeight="1">
      <c r="A23" s="97"/>
      <c r="B23" s="284"/>
      <c r="C23" s="284"/>
      <c r="D23" s="284"/>
      <c r="E23" s="284"/>
      <c r="F23" s="284"/>
      <c r="G23" s="345"/>
      <c r="H23" s="340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4.25" customHeight="1">
      <c r="A24" s="134" t="s">
        <v>925</v>
      </c>
      <c r="B24" s="284">
        <f t="shared" ref="B24:H24" si="5">B5-B13</f>
        <v>0</v>
      </c>
      <c r="C24" s="284">
        <f t="shared" si="5"/>
        <v>-1887214.5387266912</v>
      </c>
      <c r="D24" s="284">
        <f t="shared" si="5"/>
        <v>51747.537470653653</v>
      </c>
      <c r="E24" s="284">
        <f t="shared" si="5"/>
        <v>3000914.3604518063</v>
      </c>
      <c r="F24" s="284">
        <f t="shared" si="5"/>
        <v>3437194.9803477637</v>
      </c>
      <c r="G24" s="284">
        <f t="shared" si="5"/>
        <v>2667868.8732587732</v>
      </c>
      <c r="H24" s="284">
        <f t="shared" si="5"/>
        <v>-6131428.0253367722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4.25" customHeight="1">
      <c r="A25" s="134" t="s">
        <v>926</v>
      </c>
      <c r="B25" s="527">
        <v>0</v>
      </c>
      <c r="C25" s="377">
        <f>'E-Inv AF y Am'!D57+('F-Cred'!G21+'F-Cred'!I21)/3</f>
        <v>2410139.4946488906</v>
      </c>
      <c r="D25" s="377">
        <f t="shared" ref="D25:E25" si="6">C25</f>
        <v>2410139.4946488906</v>
      </c>
      <c r="E25" s="377">
        <f t="shared" si="6"/>
        <v>2410139.4946488906</v>
      </c>
      <c r="F25" s="377">
        <f>'E-Inv AF y Am'!E57</f>
        <v>1568878.4146488905</v>
      </c>
      <c r="G25" s="517">
        <f>F25</f>
        <v>1568878.4146488905</v>
      </c>
      <c r="H25" s="518">
        <f>SUM(B25:G25)</f>
        <v>10368175.313244453</v>
      </c>
      <c r="I25" s="288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4.25" customHeight="1">
      <c r="A26" s="134"/>
      <c r="B26" s="284"/>
      <c r="C26" s="284"/>
      <c r="D26" s="284"/>
      <c r="E26" s="284"/>
      <c r="F26" s="284"/>
      <c r="G26" s="345"/>
      <c r="H26" s="340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4.25" customHeight="1">
      <c r="A27" s="134" t="s">
        <v>927</v>
      </c>
      <c r="B27" s="564">
        <v>0</v>
      </c>
      <c r="C27" s="350">
        <f t="shared" ref="C27:H27" si="7">C24+C25</f>
        <v>522924.95592219941</v>
      </c>
      <c r="D27" s="350">
        <f t="shared" si="7"/>
        <v>2461887.0321195442</v>
      </c>
      <c r="E27" s="350">
        <f t="shared" si="7"/>
        <v>5411053.8551006969</v>
      </c>
      <c r="F27" s="350">
        <f t="shared" si="7"/>
        <v>5006073.3949966542</v>
      </c>
      <c r="G27" s="350">
        <f t="shared" si="7"/>
        <v>4236747.2879076637</v>
      </c>
      <c r="H27" s="388">
        <f t="shared" si="7"/>
        <v>4236747.2879076805</v>
      </c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4.25" customHeight="1">
      <c r="A28" s="160" t="s">
        <v>928</v>
      </c>
      <c r="B28" s="146">
        <f>B27</f>
        <v>0</v>
      </c>
      <c r="C28" s="146">
        <f t="shared" ref="C28:G28" si="8">C27-C6</f>
        <v>522924.95592219941</v>
      </c>
      <c r="D28" s="146">
        <f t="shared" si="8"/>
        <v>1938962.0761973448</v>
      </c>
      <c r="E28" s="146">
        <f t="shared" si="8"/>
        <v>2949166.8229811527</v>
      </c>
      <c r="F28" s="146">
        <f t="shared" si="8"/>
        <v>-404980.46010404266</v>
      </c>
      <c r="G28" s="146">
        <f t="shared" si="8"/>
        <v>-769326.10708899051</v>
      </c>
      <c r="H28" s="388">
        <f>SUM(B28:G28)</f>
        <v>4236747.2879076637</v>
      </c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2.75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2.75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2.75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2.75" customHeight="1">
      <c r="A32" s="97"/>
      <c r="B32" s="97"/>
      <c r="C32" s="288"/>
      <c r="D32" s="565">
        <f>'F- CFyU'!H28-'F- CFyU'!H7-'F- CFyU'!H8+'F- CFyU'!H14-'F- CFyU'!H25+'F- CFyU'!H15</f>
        <v>2570505.0761552183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2.75" customHeight="1">
      <c r="A33" s="97"/>
      <c r="B33" s="97"/>
      <c r="C33" s="56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2.75" customHeigh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2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2.7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2.7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2.7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2.7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2.7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2.7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2.7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2.7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2.7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2.7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2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2.7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2.7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2.7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2.7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2.7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12.7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12.7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FF00"/>
  </sheetPr>
  <dimension ref="A1:Z1000"/>
  <sheetViews>
    <sheetView tabSelected="1" workbookViewId="0"/>
  </sheetViews>
  <sheetFormatPr defaultColWidth="14.44140625" defaultRowHeight="15" customHeight="1"/>
  <cols>
    <col min="1" max="1" width="7.88671875" customWidth="1"/>
    <col min="2" max="2" width="16" customWidth="1"/>
    <col min="3" max="3" width="17.44140625" customWidth="1"/>
    <col min="4" max="4" width="15.109375" bestFit="1" customWidth="1"/>
    <col min="5" max="6" width="14.6640625" customWidth="1"/>
    <col min="7" max="7" width="38.33203125" customWidth="1"/>
    <col min="8" max="8" width="21.77734375" bestFit="1" customWidth="1"/>
    <col min="9" max="9" width="14.6640625" customWidth="1"/>
    <col min="10" max="10" width="46.88671875" customWidth="1"/>
    <col min="11" max="11" width="14.6640625" customWidth="1"/>
    <col min="12" max="12" width="16.5546875" customWidth="1"/>
    <col min="13" max="13" width="18.44140625" customWidth="1"/>
    <col min="14" max="14" width="17.44140625" customWidth="1"/>
    <col min="15" max="15" width="17.33203125" customWidth="1"/>
    <col min="16" max="26" width="9" customWidth="1"/>
  </cols>
  <sheetData>
    <row r="1" spans="1:26" ht="14.25" customHeight="1">
      <c r="A1" s="93" t="s">
        <v>205</v>
      </c>
      <c r="E1" s="97"/>
      <c r="F1" s="97"/>
      <c r="G1" s="94">
        <f>InfoInicial!E1</f>
        <v>10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3.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6.5" customHeight="1">
      <c r="A3" s="154" t="s">
        <v>908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26.25" customHeight="1">
      <c r="A4" s="523" t="s">
        <v>327</v>
      </c>
      <c r="B4" s="324" t="s">
        <v>910</v>
      </c>
      <c r="C4" s="324" t="s">
        <v>911</v>
      </c>
      <c r="D4" s="324" t="s">
        <v>333</v>
      </c>
      <c r="E4" s="324" t="s">
        <v>218</v>
      </c>
      <c r="F4" s="324" t="s">
        <v>334</v>
      </c>
      <c r="G4" s="324" t="s">
        <v>335</v>
      </c>
      <c r="H4" s="324" t="s">
        <v>912</v>
      </c>
      <c r="I4" s="324" t="s">
        <v>913</v>
      </c>
      <c r="J4" s="324" t="s">
        <v>337</v>
      </c>
      <c r="K4" s="324" t="s">
        <v>338</v>
      </c>
      <c r="L4" s="324" t="s">
        <v>339</v>
      </c>
      <c r="M4" s="558" t="s">
        <v>340</v>
      </c>
      <c r="N4" s="559" t="s">
        <v>342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4.25" customHeight="1">
      <c r="A5" s="560">
        <v>0</v>
      </c>
      <c r="B5" s="435">
        <f>'F- CFyU'!B$14</f>
        <v>30333730.761784449</v>
      </c>
      <c r="C5" s="330">
        <f>'F- CFyU'!B$15</f>
        <v>517069.98552863329</v>
      </c>
      <c r="D5" s="330">
        <f>'F- CFyU'!B$21</f>
        <v>6407452.9569357475</v>
      </c>
      <c r="E5" s="330">
        <f>'F- CFyU'!B$19</f>
        <v>0</v>
      </c>
      <c r="F5" s="90">
        <f>'F- CFyU'!B17</f>
        <v>0</v>
      </c>
      <c r="G5" s="330">
        <f t="shared" ref="G5:G10" si="0">SUM(B5:F5)</f>
        <v>37258253.704248831</v>
      </c>
      <c r="I5" s="330">
        <f>'F-Cred'!G21+'F-Cred'!I21</f>
        <v>2523783.2400000002</v>
      </c>
      <c r="J5" s="330">
        <f>'F- CFyU'!B$25</f>
        <v>0</v>
      </c>
      <c r="K5" s="330">
        <f>'F- CFyU'!B11</f>
        <v>0</v>
      </c>
      <c r="L5" s="330">
        <f t="shared" ref="L5:L10" si="1">SUM(H5:K5)</f>
        <v>2523783.2400000002</v>
      </c>
      <c r="M5" s="332">
        <f t="shared" ref="M5:M10" si="2">L5-G5</f>
        <v>-34734470.464248829</v>
      </c>
      <c r="N5" s="334">
        <f>M5</f>
        <v>-34734470.464248829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4.25" customHeight="1">
      <c r="A6" s="561">
        <v>1</v>
      </c>
      <c r="B6" s="435">
        <f>'F- CFyU'!C$14</f>
        <v>93480</v>
      </c>
      <c r="C6" s="330">
        <f>'F- CFyU'!C$15</f>
        <v>2981571.1477104616</v>
      </c>
      <c r="D6" s="330">
        <f>'F- CFyU'!C21</f>
        <v>318278.37538958376</v>
      </c>
      <c r="E6" s="330">
        <f>'F- CFyU'!C$19</f>
        <v>465975.04168224009</v>
      </c>
      <c r="F6" s="330">
        <f>'F- CFyU'!C17</f>
        <v>0</v>
      </c>
      <c r="G6" s="330">
        <f t="shared" si="0"/>
        <v>3859304.5647822856</v>
      </c>
      <c r="H6" s="330">
        <f>'F-CRes'!B$11</f>
        <v>-1173002.4649125636</v>
      </c>
      <c r="I6" s="284">
        <f>'F-CRes'!B10-('F-Cred'!$G$21+'F-Cred'!$I$21)/3</f>
        <v>6156429.4059405643</v>
      </c>
      <c r="J6" s="330">
        <f>'F- CFyU'!C$25</f>
        <v>2410139.4946488906</v>
      </c>
      <c r="K6" s="330">
        <f>'F- CFyU'!C11</f>
        <v>1375179.882007536</v>
      </c>
      <c r="L6" s="330">
        <f t="shared" si="1"/>
        <v>8768746.3176844269</v>
      </c>
      <c r="M6" s="332">
        <f t="shared" si="2"/>
        <v>4909441.7529021408</v>
      </c>
      <c r="N6" s="340">
        <f t="shared" ref="N6:N10" si="3">N5+M6</f>
        <v>-29825028.711346686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4.25" customHeight="1">
      <c r="A7" s="561">
        <v>2</v>
      </c>
      <c r="B7" s="435">
        <f>'F- CFyU'!D$14</f>
        <v>0</v>
      </c>
      <c r="C7" s="330">
        <f>'F- CFyU'!D$15</f>
        <v>344051.47979022982</v>
      </c>
      <c r="D7" s="330">
        <f>'F- CFyU'!D21</f>
        <v>44935.154907918957</v>
      </c>
      <c r="E7" s="330">
        <f>'F- CFyU'!D$19</f>
        <v>691896.86306731869</v>
      </c>
      <c r="F7" s="330">
        <f>'F- CFyU'!D17</f>
        <v>565757.90352161927</v>
      </c>
      <c r="G7" s="330">
        <f t="shared" si="0"/>
        <v>1646641.4012870868</v>
      </c>
      <c r="H7" s="330">
        <f>'F-CRes'!C$11</f>
        <v>2308348.0159862312</v>
      </c>
      <c r="I7" s="284">
        <f>'F-CRes'!C10-('F-Cred'!$G$21+'F-Cred'!$I$21)/3</f>
        <v>5499101.6923552519</v>
      </c>
      <c r="J7" s="330">
        <f>'F- CFyU'!D$25</f>
        <v>2410139.4946488906</v>
      </c>
      <c r="K7" s="330">
        <f>'F- CFyU'!D11</f>
        <v>2232160.2868493097</v>
      </c>
      <c r="L7" s="330">
        <f t="shared" si="1"/>
        <v>12449749.489839684</v>
      </c>
      <c r="M7" s="332">
        <f t="shared" si="2"/>
        <v>10803108.088552598</v>
      </c>
      <c r="N7" s="340">
        <f t="shared" si="3"/>
        <v>-19021920.622794088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4.25" customHeight="1">
      <c r="A8" s="561">
        <v>3</v>
      </c>
      <c r="B8" s="435">
        <f>'F- CFyU'!E$14</f>
        <v>0</v>
      </c>
      <c r="C8" s="330">
        <f>'F- CFyU'!E$15</f>
        <v>18.759887687396258</v>
      </c>
      <c r="D8" s="330">
        <f>'F- CFyU'!E21</f>
        <v>95.730099773415105</v>
      </c>
      <c r="E8" s="330">
        <f>'F- CFyU'!E$19</f>
        <v>691741.96563677222</v>
      </c>
      <c r="F8" s="330">
        <f>'F- CFyU'!E17</f>
        <v>824242.85400367004</v>
      </c>
      <c r="G8" s="330">
        <f t="shared" si="0"/>
        <v>1516099.3096279032</v>
      </c>
      <c r="H8" s="330">
        <f>'F-CRes'!D$11</f>
        <v>3046721.548504401</v>
      </c>
      <c r="I8" s="284">
        <f>'F-CRes'!D10-('F-Cred'!$G$21+'F-Cred'!$I$21)/3</f>
        <v>4758791.9419552516</v>
      </c>
      <c r="J8" s="330">
        <f>'F- CFyU'!E$25</f>
        <v>2410139.4946488906</v>
      </c>
      <c r="K8" s="330">
        <f>'F- CFyU'!E11</f>
        <v>2373449.4094557706</v>
      </c>
      <c r="L8" s="330">
        <f t="shared" si="1"/>
        <v>12589102.394564314</v>
      </c>
      <c r="M8" s="332">
        <f t="shared" si="2"/>
        <v>11073003.08493641</v>
      </c>
      <c r="N8" s="340">
        <f t="shared" si="3"/>
        <v>-7948917.5378576778</v>
      </c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4.25" customHeight="1">
      <c r="A9" s="561">
        <v>4</v>
      </c>
      <c r="B9" s="435">
        <f>'F- CFyU'!F$14</f>
        <v>0</v>
      </c>
      <c r="C9" s="330">
        <f>'F- CFyU'!F$15</f>
        <v>0</v>
      </c>
      <c r="D9" s="330">
        <f>'F- CFyU'!F21</f>
        <v>-2.139728693946381E-2</v>
      </c>
      <c r="E9" s="330">
        <f>'F- CFyU'!F$19</f>
        <v>691741.96563677222</v>
      </c>
      <c r="F9" s="330">
        <f>'F- CFyU'!F17</f>
        <v>323729.97258358635</v>
      </c>
      <c r="G9" s="330">
        <f t="shared" si="0"/>
        <v>1015471.9168230717</v>
      </c>
      <c r="H9" s="330">
        <f>'F-CRes'!E$11</f>
        <v>1616684.744447019</v>
      </c>
      <c r="I9" s="284"/>
      <c r="J9" s="330">
        <f>'F- CFyU'!F$25</f>
        <v>1568878.4146488905</v>
      </c>
      <c r="K9" s="330">
        <f>'F- CFyU'!F11</f>
        <v>789972.61762311927</v>
      </c>
      <c r="L9" s="330">
        <f t="shared" si="1"/>
        <v>3975535.7767190286</v>
      </c>
      <c r="M9" s="332">
        <f t="shared" si="2"/>
        <v>2960063.8598959567</v>
      </c>
      <c r="N9" s="340">
        <f t="shared" si="3"/>
        <v>-4988853.6779617211</v>
      </c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4.25" customHeight="1">
      <c r="A10" s="561">
        <v>5</v>
      </c>
      <c r="B10" s="563">
        <f>-'E-Inv AF y Am'!G57</f>
        <v>-20059035.448540002</v>
      </c>
      <c r="C10" s="330">
        <f>-'F- CFyU'!H$15</f>
        <v>-3842711.3729170123</v>
      </c>
      <c r="D10" s="330">
        <f>'F- CFyU'!G21</f>
        <v>-2.7503119781613348E-11</v>
      </c>
      <c r="E10" s="330">
        <f>'F- CFyU'!G$19</f>
        <v>691741.96563677222</v>
      </c>
      <c r="F10" s="330">
        <f>'F- CFyU'!G17</f>
        <v>552913.73752575519</v>
      </c>
      <c r="G10" s="330">
        <f t="shared" si="0"/>
        <v>-22657091.118294489</v>
      </c>
      <c r="H10" s="330">
        <f>'F-CRes'!F$11</f>
        <v>2271495.5014246441</v>
      </c>
      <c r="I10" s="284"/>
      <c r="J10" s="330">
        <f>'F- CFyU'!G$25</f>
        <v>1568878.4146488905</v>
      </c>
      <c r="K10" s="330">
        <f>'F- CFyU'!G11</f>
        <v>-2.7503119781613348E-11</v>
      </c>
      <c r="L10" s="330">
        <f t="shared" si="1"/>
        <v>3840373.9160735346</v>
      </c>
      <c r="M10" s="332">
        <f t="shared" si="2"/>
        <v>26497465.034368023</v>
      </c>
      <c r="N10" s="340">
        <f t="shared" si="3"/>
        <v>21508611.356406301</v>
      </c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4.25" customHeight="1">
      <c r="A11" s="561"/>
      <c r="B11" s="439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345"/>
      <c r="N11" s="340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4.25" customHeight="1">
      <c r="A12" s="566" t="s">
        <v>380</v>
      </c>
      <c r="B12" s="540">
        <f>ROUND(SUM(B5:B10),1)</f>
        <v>10368175.300000001</v>
      </c>
      <c r="C12" s="540">
        <f t="shared" ref="C12:E12" si="4">SUM(C5:C10)</f>
        <v>0</v>
      </c>
      <c r="D12" s="540">
        <f t="shared" si="4"/>
        <v>6770762.1959357355</v>
      </c>
      <c r="E12" s="540">
        <f t="shared" si="4"/>
        <v>3233097.8016598751</v>
      </c>
      <c r="F12" s="540">
        <f>SUM(F6:F10)</f>
        <v>2266644.4676346309</v>
      </c>
      <c r="G12" s="540">
        <f>SUM(G5:G10)</f>
        <v>22638679.778474692</v>
      </c>
      <c r="H12" s="540">
        <f>SUM(H6:H10)</f>
        <v>8070247.3454497317</v>
      </c>
      <c r="I12" s="540">
        <f>SUM(I5:I10)</f>
        <v>18938106.280251071</v>
      </c>
      <c r="J12" s="540">
        <f>ROUND(SUM(J5:J10),1)</f>
        <v>10368175.300000001</v>
      </c>
      <c r="K12" s="540">
        <f t="shared" ref="K12:M12" si="5">SUM(K5:K10)</f>
        <v>6770762.1959357364</v>
      </c>
      <c r="L12" s="540">
        <f t="shared" si="5"/>
        <v>44147291.13488099</v>
      </c>
      <c r="M12" s="540">
        <f t="shared" si="5"/>
        <v>21508611.356406301</v>
      </c>
      <c r="N12" s="540">
        <f>N10</f>
        <v>21508611.356406301</v>
      </c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3.5" customHeight="1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2.75" customHeight="1">
      <c r="A14" s="97"/>
      <c r="B14" s="97"/>
      <c r="C14" s="100" t="s">
        <v>390</v>
      </c>
      <c r="D14" s="221">
        <f>N12</f>
        <v>21508611.356406301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4.25" customHeight="1">
      <c r="A15" s="134"/>
      <c r="B15" s="97"/>
      <c r="C15" s="100" t="s">
        <v>393</v>
      </c>
      <c r="D15" s="568">
        <f>4+(-N9/M10)</f>
        <v>4.188276639727273</v>
      </c>
      <c r="E15" s="97" t="s">
        <v>396</v>
      </c>
      <c r="F15" s="97"/>
      <c r="G15" s="97"/>
      <c r="H15" s="97"/>
      <c r="I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4.25" customHeight="1">
      <c r="A16" s="97"/>
      <c r="B16" s="97"/>
      <c r="C16" s="100" t="s">
        <v>929</v>
      </c>
      <c r="D16" s="569">
        <f>IRR(M5:M10)</f>
        <v>0.14850937003666775</v>
      </c>
      <c r="E16" s="97"/>
      <c r="F16" s="97"/>
      <c r="G16" s="97"/>
      <c r="H16" s="97"/>
      <c r="I16" s="97"/>
      <c r="J16" s="570"/>
      <c r="K16" s="570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4.25" customHeight="1">
      <c r="A17" s="97"/>
      <c r="B17" s="97"/>
      <c r="C17" s="100"/>
      <c r="D17" s="569"/>
      <c r="E17" s="97"/>
      <c r="F17" s="97"/>
      <c r="G17" s="97"/>
      <c r="H17" s="97"/>
      <c r="I17" s="97"/>
      <c r="J17" s="571"/>
      <c r="K17" s="223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4.25" customHeight="1">
      <c r="A18" s="226"/>
      <c r="B18" s="413"/>
      <c r="C18" s="413"/>
      <c r="D18" s="413"/>
      <c r="E18" s="413"/>
      <c r="F18" s="572"/>
      <c r="G18" s="572"/>
      <c r="H18" s="572"/>
      <c r="I18" s="572"/>
      <c r="J18" s="571"/>
      <c r="K18" s="223"/>
      <c r="L18" s="572"/>
      <c r="M18" s="572"/>
      <c r="N18" s="572"/>
      <c r="O18" s="413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6.5" customHeight="1">
      <c r="A19" s="573"/>
      <c r="B19" s="572"/>
      <c r="C19" s="574"/>
      <c r="D19" s="572"/>
      <c r="E19" s="572"/>
      <c r="F19" s="572"/>
      <c r="G19" s="572"/>
      <c r="H19" s="572"/>
      <c r="I19" s="572"/>
      <c r="J19" s="571"/>
      <c r="K19" s="223"/>
      <c r="L19" s="572"/>
      <c r="M19" s="572"/>
      <c r="N19" s="572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4.25" customHeight="1">
      <c r="A20" s="97"/>
      <c r="B20" s="97"/>
      <c r="C20" s="97"/>
      <c r="D20" s="97"/>
      <c r="E20" s="97"/>
      <c r="F20" s="97"/>
      <c r="G20" s="97"/>
      <c r="H20" s="97"/>
      <c r="I20" s="97"/>
      <c r="J20" s="571"/>
      <c r="K20" s="223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4.25" customHeight="1">
      <c r="A21" s="575"/>
      <c r="B21" s="97"/>
      <c r="C21" s="97"/>
      <c r="D21" s="97"/>
      <c r="E21" s="97"/>
      <c r="F21" s="97"/>
      <c r="G21" s="97"/>
      <c r="H21" s="97"/>
      <c r="I21" s="97"/>
      <c r="J21" s="97"/>
      <c r="K21" s="223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6.5" customHeight="1">
      <c r="A22" s="154" t="s">
        <v>930</v>
      </c>
      <c r="B22" s="155"/>
      <c r="C22" s="155"/>
      <c r="D22" s="155"/>
      <c r="E22" s="155"/>
      <c r="F22" s="155"/>
      <c r="G22" s="155"/>
      <c r="H22" s="157"/>
      <c r="I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30" customHeight="1">
      <c r="A23" s="523" t="s">
        <v>327</v>
      </c>
      <c r="B23" s="324" t="s">
        <v>931</v>
      </c>
      <c r="C23" s="324" t="s">
        <v>335</v>
      </c>
      <c r="D23" s="324" t="s">
        <v>922</v>
      </c>
      <c r="E23" s="324" t="s">
        <v>932</v>
      </c>
      <c r="F23" s="324" t="s">
        <v>339</v>
      </c>
      <c r="G23" s="558" t="s">
        <v>340</v>
      </c>
      <c r="H23" s="559" t="s">
        <v>342</v>
      </c>
      <c r="I23" s="97"/>
      <c r="J23" s="97"/>
      <c r="K23" s="672" t="s">
        <v>404</v>
      </c>
      <c r="L23" s="655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4.25" customHeight="1">
      <c r="A24" s="560">
        <v>0</v>
      </c>
      <c r="B24" s="435">
        <f>'F- CFyU'!B7</f>
        <v>20433032.104248829</v>
      </c>
      <c r="C24" s="330">
        <f t="shared" ref="C24:C29" si="6">B24</f>
        <v>20433032.104248829</v>
      </c>
      <c r="D24" s="576">
        <v>0</v>
      </c>
      <c r="E24" s="576">
        <f>'F- CFyU'!B28</f>
        <v>0</v>
      </c>
      <c r="F24" s="576">
        <f t="shared" ref="F24:F29" si="7">D24+E24</f>
        <v>0</v>
      </c>
      <c r="G24" s="332">
        <f t="shared" ref="G24:G29" si="8">F24-C24</f>
        <v>-20433032.104248829</v>
      </c>
      <c r="H24" s="334">
        <f>G24</f>
        <v>-20433032.104248829</v>
      </c>
      <c r="I24" s="97"/>
      <c r="J24" s="97"/>
      <c r="K24" s="678" t="s">
        <v>409</v>
      </c>
      <c r="L24" s="655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4.25" customHeight="1">
      <c r="A25" s="561">
        <v>1</v>
      </c>
      <c r="B25" s="439">
        <f>'F- CFyU'!C7</f>
        <v>3807244.3399256165</v>
      </c>
      <c r="C25" s="284">
        <f t="shared" si="6"/>
        <v>3807244.3399256165</v>
      </c>
      <c r="D25" s="291">
        <v>0</v>
      </c>
      <c r="E25" s="284">
        <f>'F- CFyU'!C28</f>
        <v>522924.95592219941</v>
      </c>
      <c r="F25" s="284">
        <f t="shared" si="7"/>
        <v>522924.95592219941</v>
      </c>
      <c r="G25" s="345">
        <f t="shared" si="8"/>
        <v>-3284319.3840034171</v>
      </c>
      <c r="H25" s="340">
        <f t="shared" ref="H25:H29" si="9">H24+G25</f>
        <v>-23717351.488252245</v>
      </c>
      <c r="I25" s="97"/>
      <c r="J25" s="97"/>
      <c r="K25" s="227" t="s">
        <v>337</v>
      </c>
      <c r="L25" s="228" t="str">
        <f>IF(B12=J12,"OK","MAL")</f>
        <v>OK</v>
      </c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4.25" customHeight="1">
      <c r="A26" s="561">
        <v>2</v>
      </c>
      <c r="B26" s="439">
        <f>'F- CFyU'!D7</f>
        <v>0</v>
      </c>
      <c r="C26" s="284">
        <f t="shared" si="6"/>
        <v>0</v>
      </c>
      <c r="D26" s="291">
        <v>0</v>
      </c>
      <c r="E26" s="284">
        <f>'F- CFyU'!D28</f>
        <v>1938962.0761973448</v>
      </c>
      <c r="F26" s="284">
        <f t="shared" si="7"/>
        <v>1938962.0761973448</v>
      </c>
      <c r="G26" s="345">
        <f t="shared" si="8"/>
        <v>1938962.0761973448</v>
      </c>
      <c r="H26" s="340">
        <f t="shared" si="9"/>
        <v>-21778389.4120549</v>
      </c>
      <c r="I26" s="97"/>
      <c r="K26" s="227" t="s">
        <v>416</v>
      </c>
      <c r="L26" s="228" t="str">
        <f>IF(D12=K12,"OK","MAL")</f>
        <v>OK</v>
      </c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4.25" customHeight="1">
      <c r="A27" s="561">
        <v>3</v>
      </c>
      <c r="B27" s="439">
        <f>'F- CFyU'!E7</f>
        <v>0</v>
      </c>
      <c r="C27" s="284">
        <f t="shared" si="6"/>
        <v>0</v>
      </c>
      <c r="D27" s="291">
        <v>0</v>
      </c>
      <c r="E27" s="284">
        <f>'F- CFyU'!E28</f>
        <v>2949166.8229811527</v>
      </c>
      <c r="F27" s="284">
        <f t="shared" si="7"/>
        <v>2949166.8229811527</v>
      </c>
      <c r="G27" s="345">
        <f t="shared" si="8"/>
        <v>2949166.8229811527</v>
      </c>
      <c r="H27" s="340">
        <f t="shared" si="9"/>
        <v>-18829222.589073747</v>
      </c>
      <c r="I27" s="97"/>
      <c r="K27" s="227" t="s">
        <v>417</v>
      </c>
      <c r="L27" s="228" t="str">
        <f>IF(C12=0,"OK","MAL")</f>
        <v>OK</v>
      </c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4.25" customHeight="1">
      <c r="A28" s="561">
        <v>4</v>
      </c>
      <c r="B28" s="439">
        <f>'F- CFyU'!F7</f>
        <v>0</v>
      </c>
      <c r="C28" s="284">
        <f t="shared" si="6"/>
        <v>0</v>
      </c>
      <c r="D28" s="291">
        <v>0</v>
      </c>
      <c r="E28" s="284">
        <f>'F- CFyU'!F28</f>
        <v>-404980.46010404266</v>
      </c>
      <c r="F28" s="284">
        <f t="shared" si="7"/>
        <v>-404980.46010404266</v>
      </c>
      <c r="G28" s="345">
        <f t="shared" si="8"/>
        <v>-404980.46010404266</v>
      </c>
      <c r="H28" s="340">
        <f t="shared" si="9"/>
        <v>-19234203.049177788</v>
      </c>
      <c r="I28" s="97"/>
      <c r="K28" s="227" t="s">
        <v>419</v>
      </c>
      <c r="L28" s="228" t="str">
        <f>IF((H12-F12-E12+I12)=M12,IF(M12=N10,"OK","MAL"),"MAL")</f>
        <v>OK</v>
      </c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4.25" customHeight="1">
      <c r="A29" s="561">
        <v>5</v>
      </c>
      <c r="B29" s="439">
        <f>-'E-Inv AF y Am'!G57-'F- CFyU'!H15+'F-Cred'!D6</f>
        <v>-22574034.232422005</v>
      </c>
      <c r="C29" s="284">
        <f t="shared" si="6"/>
        <v>-22574034.232422005</v>
      </c>
      <c r="D29" s="291">
        <v>0</v>
      </c>
      <c r="E29" s="284">
        <f>'F- CFyU'!G28</f>
        <v>-769326.10708899051</v>
      </c>
      <c r="F29" s="284">
        <f t="shared" si="7"/>
        <v>-769326.10708899051</v>
      </c>
      <c r="G29" s="345">
        <f t="shared" si="8"/>
        <v>21804708.125333015</v>
      </c>
      <c r="H29" s="340">
        <f t="shared" si="9"/>
        <v>2570505.0761552267</v>
      </c>
      <c r="I29" s="97"/>
      <c r="J29" s="577" t="s">
        <v>933</v>
      </c>
      <c r="K29" s="678" t="s">
        <v>934</v>
      </c>
      <c r="L29" s="655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4.25" customHeight="1">
      <c r="A30" s="561"/>
      <c r="B30" s="439"/>
      <c r="C30" s="284"/>
      <c r="D30" s="284"/>
      <c r="E30" s="284"/>
      <c r="F30" s="284"/>
      <c r="G30" s="345"/>
      <c r="H30" s="340"/>
      <c r="I30" s="97"/>
      <c r="J30" s="578" t="s">
        <v>935</v>
      </c>
      <c r="K30" s="227" t="s">
        <v>936</v>
      </c>
      <c r="L30" s="228" t="str">
        <f>IF((H12-E12-F12)=G31,"OK","MAL")</f>
        <v>OK</v>
      </c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4.25" customHeight="1">
      <c r="A31" s="566" t="s">
        <v>380</v>
      </c>
      <c r="B31" s="579">
        <f t="shared" ref="B31:F31" si="10">SUM(B24:B29)</f>
        <v>1666242.2117524408</v>
      </c>
      <c r="C31" s="491">
        <f t="shared" si="10"/>
        <v>1666242.2117524408</v>
      </c>
      <c r="D31" s="491">
        <f t="shared" si="10"/>
        <v>0</v>
      </c>
      <c r="E31" s="491">
        <f t="shared" si="10"/>
        <v>4236747.2879076637</v>
      </c>
      <c r="F31" s="491">
        <f t="shared" si="10"/>
        <v>4236747.2879076637</v>
      </c>
      <c r="G31" s="580">
        <f>(SUM(G24:G29))</f>
        <v>2570505.0761552267</v>
      </c>
      <c r="H31" s="581">
        <v>0</v>
      </c>
      <c r="I31" s="97"/>
      <c r="J31" s="582">
        <f>'F- CFyU'!H28-'F- CFyU'!H7-'F- CFyU'!H8+'F- CFyU'!H14-'F- CFyU'!H25+'F- CFyU'!H15</f>
        <v>2570505.0761552183</v>
      </c>
      <c r="K31" s="227" t="s">
        <v>937</v>
      </c>
      <c r="L31" s="228" t="str">
        <f>IF(('F- CFyU'!H28-'F- CFyU'!H7-'F- CFyU'!H8+'F- CFyU'!H14-'F- CFyU'!H25+'F- CFyU'!H15)='F- Form'!G31,"OK","MAL")</f>
        <v>MAL</v>
      </c>
      <c r="M31" s="288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4.25" customHeight="1">
      <c r="A32" s="97"/>
      <c r="B32" s="97"/>
      <c r="C32" s="97"/>
      <c r="D32" s="97"/>
      <c r="E32" s="97"/>
      <c r="F32" s="97"/>
      <c r="G32" s="97"/>
      <c r="H32" s="97"/>
      <c r="I32" s="97"/>
      <c r="J32" s="583">
        <f>J31-G31</f>
        <v>-8.3819031715393066E-9</v>
      </c>
      <c r="K32" s="227" t="s">
        <v>938</v>
      </c>
      <c r="L32" s="228" t="str">
        <f>IF('F-CRes'!G14=G31,"OK","MAL")</f>
        <v>OK</v>
      </c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4.25" customHeight="1">
      <c r="A33" s="97"/>
      <c r="B33" s="97"/>
      <c r="C33" s="97"/>
      <c r="D33" s="97"/>
      <c r="E33" s="97"/>
      <c r="F33" s="97"/>
      <c r="G33" s="584"/>
      <c r="H33" s="97"/>
      <c r="I33" s="97"/>
      <c r="J33" s="97"/>
      <c r="K33" s="227" t="s">
        <v>939</v>
      </c>
      <c r="L33" s="228" t="str">
        <f>IF(('F-Balance'!G33+'F-Balance'!G34)='F- Form'!G31,"OK","MAL")</f>
        <v>OK</v>
      </c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4.25" customHeight="1">
      <c r="A34" s="97"/>
      <c r="B34" s="97"/>
      <c r="C34" s="100" t="s">
        <v>390</v>
      </c>
      <c r="D34" s="221">
        <f>G31</f>
        <v>2570505.0761552267</v>
      </c>
      <c r="E34" s="97" t="s">
        <v>940</v>
      </c>
      <c r="F34" s="97"/>
      <c r="G34" s="97"/>
      <c r="H34" s="97"/>
      <c r="I34" s="97"/>
      <c r="J34" s="97"/>
      <c r="K34" s="227" t="s">
        <v>941</v>
      </c>
      <c r="L34" s="228" t="str">
        <f>IF(('F- CFyU'!H10-'F- CFyU'!H16-'F- CFyU'!H19-'F- CFyU'!H17)=G31,"OK","MAL")</f>
        <v>OK</v>
      </c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4.25" customHeight="1">
      <c r="A35" s="97"/>
      <c r="B35" s="97"/>
      <c r="C35" s="100" t="s">
        <v>393</v>
      </c>
      <c r="D35" s="268">
        <f>4+(-H28)/G29</f>
        <v>4.8821123831889874</v>
      </c>
      <c r="E35" s="97" t="s">
        <v>942</v>
      </c>
      <c r="F35" s="97"/>
      <c r="G35" s="97"/>
      <c r="H35" s="97"/>
      <c r="I35" s="97"/>
      <c r="J35" s="97"/>
      <c r="K35" s="678" t="s">
        <v>943</v>
      </c>
      <c r="L35" s="655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4.25" customHeight="1">
      <c r="A36" s="97"/>
      <c r="B36" s="97"/>
      <c r="C36" s="100" t="s">
        <v>944</v>
      </c>
      <c r="D36" s="569">
        <f>IRR(G24:G29)</f>
        <v>2.3543465491138615E-2</v>
      </c>
      <c r="E36" s="97"/>
      <c r="F36" s="97"/>
      <c r="G36" s="97"/>
      <c r="H36" s="97"/>
      <c r="I36" s="97"/>
      <c r="J36" s="97"/>
      <c r="K36" s="227" t="s">
        <v>945</v>
      </c>
      <c r="L36" s="228" t="str">
        <f>IF(SUM('F-Balance'!B35:G35)=SUM('F-Balance'!B24:G24),"OK","MAL")</f>
        <v>OK</v>
      </c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3.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3.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3.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3.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3.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3.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3.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3.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3.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3.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3.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3.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3.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3.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3.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3.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3.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3.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3.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3.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3.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3.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3.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3.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3.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3.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3.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3.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3.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3.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3.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3.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3.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3.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3.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3.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3.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3.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3.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3.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3.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3.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3.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3.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3.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3.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3.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3.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3.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3.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3.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3.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3.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3.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3.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3.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3.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3.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3.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3.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3.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3.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3.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3.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3.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3.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3.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3.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3.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3.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3.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3.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3.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3.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3.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3.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3.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3.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3.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3.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3.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3.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3.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3.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3.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3.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3.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3.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3.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3.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3.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3.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3.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3.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3.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3.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3.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3.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3.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3.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3.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3.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3.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3.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3.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3.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3.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3.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3.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3.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3.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3.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3.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3.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3.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3.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3.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3.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3.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3.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3.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3.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3.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3.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3.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3.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3.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3.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3.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3.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3.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3.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3.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3.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3.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3.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3.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3.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3.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3.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3.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3.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3.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3.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3.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3.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3.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3.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3.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3.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3.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3.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3.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3.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3.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3.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3.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3.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3.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3.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3.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3.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3.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3.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3.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3.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3.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3.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3.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3.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3.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3.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3.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3.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3.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3.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3.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3.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3.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3.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3.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3.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3.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3.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3.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3.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3.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3.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3.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3.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13.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13.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13.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 ht="13.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 ht="13.5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spans="1:26" ht="13.5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spans="1:26" ht="13.5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spans="1:26" ht="13.5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spans="1:26" ht="13.5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spans="1:26" ht="13.5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K23:L23"/>
    <mergeCell ref="K24:L24"/>
    <mergeCell ref="K29:L29"/>
    <mergeCell ref="K35:L35"/>
  </mergeCells>
  <conditionalFormatting sqref="L25">
    <cfRule type="cellIs" dxfId="19" priority="1" operator="equal">
      <formula>"OK"</formula>
    </cfRule>
  </conditionalFormatting>
  <conditionalFormatting sqref="L25">
    <cfRule type="cellIs" dxfId="18" priority="2" operator="equal">
      <formula>"MAL"</formula>
    </cfRule>
  </conditionalFormatting>
  <conditionalFormatting sqref="L26">
    <cfRule type="cellIs" dxfId="17" priority="3" operator="equal">
      <formula>"OK"</formula>
    </cfRule>
  </conditionalFormatting>
  <conditionalFormatting sqref="L26">
    <cfRule type="cellIs" dxfId="16" priority="4" operator="equal">
      <formula>"MAL"</formula>
    </cfRule>
  </conditionalFormatting>
  <conditionalFormatting sqref="L27">
    <cfRule type="cellIs" dxfId="15" priority="5" operator="equal">
      <formula>"OK"</formula>
    </cfRule>
  </conditionalFormatting>
  <conditionalFormatting sqref="L27">
    <cfRule type="cellIs" dxfId="14" priority="6" operator="equal">
      <formula>"MAL"</formula>
    </cfRule>
  </conditionalFormatting>
  <conditionalFormatting sqref="L28">
    <cfRule type="cellIs" dxfId="13" priority="7" operator="equal">
      <formula>"OK"</formula>
    </cfRule>
  </conditionalFormatting>
  <conditionalFormatting sqref="L28">
    <cfRule type="cellIs" dxfId="12" priority="8" operator="equal">
      <formula>"MAL"</formula>
    </cfRule>
  </conditionalFormatting>
  <conditionalFormatting sqref="L30">
    <cfRule type="cellIs" dxfId="11" priority="9" operator="equal">
      <formula>"OK"</formula>
    </cfRule>
  </conditionalFormatting>
  <conditionalFormatting sqref="L30">
    <cfRule type="cellIs" dxfId="10" priority="10" operator="equal">
      <formula>"MAL"</formula>
    </cfRule>
  </conditionalFormatting>
  <conditionalFormatting sqref="L31">
    <cfRule type="cellIs" dxfId="9" priority="11" operator="equal">
      <formula>"OK"</formula>
    </cfRule>
  </conditionalFormatting>
  <conditionalFormatting sqref="L31">
    <cfRule type="cellIs" dxfId="8" priority="12" operator="equal">
      <formula>"MAL"</formula>
    </cfRule>
  </conditionalFormatting>
  <conditionalFormatting sqref="L32">
    <cfRule type="cellIs" dxfId="7" priority="13" operator="equal">
      <formula>"OK"</formula>
    </cfRule>
  </conditionalFormatting>
  <conditionalFormatting sqref="L32">
    <cfRule type="cellIs" dxfId="6" priority="14" operator="equal">
      <formula>"MAL"</formula>
    </cfRule>
  </conditionalFormatting>
  <conditionalFormatting sqref="L33">
    <cfRule type="cellIs" dxfId="5" priority="15" operator="equal">
      <formula>"OK"</formula>
    </cfRule>
  </conditionalFormatting>
  <conditionalFormatting sqref="L33">
    <cfRule type="cellIs" dxfId="4" priority="16" operator="equal">
      <formula>"MAL"</formula>
    </cfRule>
  </conditionalFormatting>
  <conditionalFormatting sqref="L34">
    <cfRule type="cellIs" dxfId="3" priority="17" operator="equal">
      <formula>"OK"</formula>
    </cfRule>
  </conditionalFormatting>
  <conditionalFormatting sqref="L34">
    <cfRule type="cellIs" dxfId="2" priority="18" operator="equal">
      <formula>"MAL"</formula>
    </cfRule>
  </conditionalFormatting>
  <conditionalFormatting sqref="L36">
    <cfRule type="cellIs" dxfId="1" priority="19" operator="equal">
      <formula>"OK"</formula>
    </cfRule>
  </conditionalFormatting>
  <conditionalFormatting sqref="L36">
    <cfRule type="cellIs" dxfId="0" priority="20" operator="equal">
      <formula>"MAL"</formula>
    </cfRule>
  </conditionalFormatting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V1000"/>
  <sheetViews>
    <sheetView showGridLines="0" workbookViewId="0"/>
  </sheetViews>
  <sheetFormatPr defaultColWidth="14.44140625" defaultRowHeight="15" customHeight="1"/>
  <cols>
    <col min="1" max="1" width="33.5546875" customWidth="1"/>
    <col min="2" max="2" width="14" customWidth="1"/>
    <col min="3" max="3" width="43.44140625" customWidth="1"/>
    <col min="4" max="5" width="19" customWidth="1"/>
    <col min="6" max="7" width="17.5546875" customWidth="1"/>
    <col min="8" max="9" width="21" customWidth="1"/>
    <col min="10" max="10" width="24.33203125" customWidth="1"/>
    <col min="11" max="11" width="26.44140625" customWidth="1"/>
    <col min="12" max="12" width="11.44140625" customWidth="1"/>
    <col min="13" max="13" width="40.5546875" customWidth="1"/>
    <col min="14" max="14" width="16.109375" customWidth="1"/>
    <col min="15" max="15" width="9.33203125" customWidth="1"/>
    <col min="16" max="16" width="12" customWidth="1"/>
    <col min="17" max="22" width="11.44140625" customWidth="1"/>
  </cols>
  <sheetData>
    <row r="1" spans="1:19" ht="21">
      <c r="B1" s="620" t="s">
        <v>0</v>
      </c>
      <c r="C1" s="613"/>
      <c r="D1" s="613"/>
      <c r="E1" s="613"/>
      <c r="F1" s="613"/>
    </row>
    <row r="3" spans="1:19" ht="13.2">
      <c r="R3">
        <v>101.16500000000005</v>
      </c>
    </row>
    <row r="4" spans="1:19" ht="14.4">
      <c r="M4" s="619" t="s">
        <v>3</v>
      </c>
      <c r="N4" s="589"/>
      <c r="O4" s="590"/>
    </row>
    <row r="5" spans="1:19" ht="14.4">
      <c r="A5" s="2"/>
      <c r="B5" s="3"/>
      <c r="C5" s="3"/>
      <c r="D5" s="3"/>
      <c r="E5" s="3"/>
      <c r="F5" s="3"/>
      <c r="G5" s="3"/>
      <c r="H5" s="3"/>
      <c r="I5" s="3"/>
      <c r="M5" s="7" t="s">
        <v>11</v>
      </c>
      <c r="N5" s="10">
        <v>11</v>
      </c>
      <c r="O5" s="17" t="s">
        <v>24</v>
      </c>
      <c r="P5" s="20">
        <v>0.14142453072769348</v>
      </c>
    </row>
    <row r="6" spans="1:19" ht="14.4">
      <c r="A6" s="2"/>
      <c r="B6" s="3"/>
      <c r="C6" s="3"/>
      <c r="D6" s="3"/>
      <c r="E6" s="3"/>
      <c r="F6" s="3"/>
      <c r="G6" s="3"/>
      <c r="H6" s="3"/>
      <c r="I6" s="3"/>
      <c r="M6" s="7" t="s">
        <v>31</v>
      </c>
      <c r="N6" s="10">
        <v>1.5</v>
      </c>
      <c r="O6" s="17" t="s">
        <v>24</v>
      </c>
      <c r="P6" s="20">
        <v>1.9285163281049112E-2</v>
      </c>
    </row>
    <row r="7" spans="1:19" ht="14.4">
      <c r="A7" s="2"/>
      <c r="B7" s="3"/>
      <c r="C7" s="3"/>
      <c r="D7" s="3"/>
      <c r="E7" s="3"/>
      <c r="F7" s="3"/>
      <c r="G7" s="3"/>
      <c r="H7" s="3"/>
      <c r="I7" s="3"/>
      <c r="M7" s="7" t="s">
        <v>32</v>
      </c>
      <c r="N7" s="10">
        <v>60</v>
      </c>
      <c r="O7" s="17" t="s">
        <v>24</v>
      </c>
      <c r="P7" s="20">
        <v>0.77140653124196445</v>
      </c>
    </row>
    <row r="8" spans="1:19" ht="14.4">
      <c r="A8" s="2"/>
      <c r="B8" s="3"/>
      <c r="C8" s="3"/>
      <c r="D8" s="3"/>
      <c r="E8" s="3"/>
      <c r="F8" s="3"/>
      <c r="G8" s="3"/>
      <c r="H8" s="3"/>
      <c r="I8" s="3"/>
      <c r="M8" s="7" t="s">
        <v>33</v>
      </c>
      <c r="N8" s="10">
        <v>5.28</v>
      </c>
      <c r="O8" s="17" t="s">
        <v>24</v>
      </c>
      <c r="P8" s="20">
        <v>6.7883774749292886E-2</v>
      </c>
    </row>
    <row r="9" spans="1:19" ht="14.4">
      <c r="A9" s="614"/>
      <c r="B9" s="610" t="s">
        <v>35</v>
      </c>
      <c r="C9" s="611"/>
      <c r="D9" s="611"/>
      <c r="E9" s="611"/>
      <c r="F9" s="611"/>
      <c r="G9" s="611"/>
      <c r="H9" s="611"/>
      <c r="I9" s="611"/>
      <c r="K9">
        <v>1155.0329999999999</v>
      </c>
      <c r="M9" s="25" t="s">
        <v>41</v>
      </c>
      <c r="N9" s="26">
        <v>77.78</v>
      </c>
      <c r="O9" s="28" t="s">
        <v>24</v>
      </c>
    </row>
    <row r="10" spans="1:19" ht="14.4">
      <c r="A10" s="615"/>
      <c r="B10" s="612"/>
      <c r="C10" s="613"/>
      <c r="D10" s="613"/>
      <c r="E10" s="613"/>
      <c r="F10" s="613"/>
      <c r="G10" s="613"/>
      <c r="H10" s="613"/>
      <c r="I10" s="613"/>
      <c r="M10" s="7" t="s">
        <v>42</v>
      </c>
      <c r="N10" s="10">
        <v>4.4400000000000004</v>
      </c>
      <c r="O10" s="17" t="s">
        <v>28</v>
      </c>
    </row>
    <row r="11" spans="1:19" ht="14.4">
      <c r="A11" s="615"/>
      <c r="B11" s="612"/>
      <c r="C11" s="613"/>
      <c r="D11" s="613"/>
      <c r="E11" s="613"/>
      <c r="F11" s="613"/>
      <c r="G11" s="613"/>
      <c r="H11" s="613"/>
      <c r="I11" s="613"/>
      <c r="M11" s="7" t="s">
        <v>43</v>
      </c>
      <c r="N11" s="17">
        <v>4</v>
      </c>
      <c r="O11" s="17" t="s">
        <v>44</v>
      </c>
      <c r="P11" s="12">
        <v>0.4</v>
      </c>
      <c r="Q11" s="12" t="s">
        <v>45</v>
      </c>
    </row>
    <row r="12" spans="1:19" ht="14.4">
      <c r="A12" s="31"/>
      <c r="B12" s="612"/>
      <c r="C12" s="613"/>
      <c r="D12" s="613"/>
      <c r="E12" s="613"/>
      <c r="F12" s="613"/>
      <c r="G12" s="613"/>
      <c r="H12" s="613"/>
      <c r="I12" s="613"/>
      <c r="M12" s="7" t="s">
        <v>47</v>
      </c>
      <c r="N12" s="17">
        <v>1.32</v>
      </c>
      <c r="O12" s="17" t="s">
        <v>48</v>
      </c>
      <c r="P12" s="12"/>
      <c r="Q12" s="12"/>
      <c r="R12" s="616" t="s">
        <v>49</v>
      </c>
      <c r="S12" s="617"/>
    </row>
    <row r="13" spans="1:19" ht="14.4">
      <c r="A13" s="31"/>
      <c r="B13" s="612"/>
      <c r="C13" s="613"/>
      <c r="D13" s="613"/>
      <c r="E13" s="613"/>
      <c r="F13" s="613"/>
      <c r="G13" s="613"/>
      <c r="H13" s="613"/>
      <c r="I13" s="613"/>
      <c r="M13" s="7" t="s">
        <v>50</v>
      </c>
      <c r="N13" s="17">
        <v>4</v>
      </c>
      <c r="O13" s="17" t="s">
        <v>51</v>
      </c>
      <c r="P13" s="12"/>
      <c r="Q13" s="12"/>
      <c r="R13" s="33">
        <v>154.94999999999999</v>
      </c>
      <c r="S13" s="33"/>
    </row>
    <row r="14" spans="1:19" ht="14.4">
      <c r="A14" s="35"/>
      <c r="B14" s="612"/>
      <c r="C14" s="613"/>
      <c r="D14" s="613"/>
      <c r="E14" s="613"/>
      <c r="F14" s="613"/>
      <c r="G14" s="613"/>
      <c r="H14" s="613"/>
      <c r="I14" s="613"/>
      <c r="M14" s="7" t="s">
        <v>53</v>
      </c>
      <c r="N14" s="17">
        <v>10</v>
      </c>
      <c r="O14" s="17" t="s">
        <v>54</v>
      </c>
      <c r="P14" s="12"/>
      <c r="Q14" s="12"/>
      <c r="R14" s="33"/>
      <c r="S14" s="33"/>
    </row>
    <row r="15" spans="1:19" ht="14.4">
      <c r="C15" s="12">
        <v>29700</v>
      </c>
      <c r="D15" s="12"/>
      <c r="E15" s="12"/>
      <c r="H15" s="36"/>
      <c r="M15" s="7" t="s">
        <v>56</v>
      </c>
      <c r="N15" s="17">
        <v>5.28</v>
      </c>
      <c r="O15" s="17" t="s">
        <v>24</v>
      </c>
      <c r="P15" s="12"/>
      <c r="Q15" s="12"/>
      <c r="R15" s="33"/>
      <c r="S15" s="33"/>
    </row>
    <row r="16" spans="1:19" ht="14.4">
      <c r="M16" s="7" t="s">
        <v>57</v>
      </c>
      <c r="N16" s="17">
        <v>14850</v>
      </c>
      <c r="O16" s="17" t="s">
        <v>58</v>
      </c>
      <c r="P16" s="12"/>
      <c r="Q16" s="12"/>
      <c r="R16" s="33">
        <v>80487000</v>
      </c>
      <c r="S16" s="33" t="s">
        <v>59</v>
      </c>
    </row>
    <row r="17" spans="1:22" ht="14.4">
      <c r="M17" s="618" t="s">
        <v>60</v>
      </c>
      <c r="N17" s="17">
        <v>78408</v>
      </c>
      <c r="O17" s="17" t="s">
        <v>24</v>
      </c>
      <c r="P17" s="12"/>
      <c r="Q17" s="12"/>
      <c r="R17" s="33">
        <v>804870</v>
      </c>
      <c r="S17" s="33" t="s">
        <v>54</v>
      </c>
    </row>
    <row r="18" spans="1:22" ht="14.4">
      <c r="B18" s="602" t="s">
        <v>62</v>
      </c>
      <c r="C18" s="599" t="s">
        <v>65</v>
      </c>
      <c r="D18" s="599" t="s">
        <v>66</v>
      </c>
      <c r="E18" s="599" t="s">
        <v>67</v>
      </c>
      <c r="F18" s="601" t="s">
        <v>68</v>
      </c>
      <c r="G18" s="589"/>
      <c r="H18" s="590"/>
      <c r="I18" s="599" t="s">
        <v>71</v>
      </c>
      <c r="J18" s="599" t="s">
        <v>73</v>
      </c>
      <c r="K18" s="599"/>
      <c r="M18" s="600"/>
      <c r="N18" s="43">
        <v>78.408000000000001</v>
      </c>
      <c r="O18" s="43" t="s">
        <v>28</v>
      </c>
      <c r="P18" s="12"/>
      <c r="Q18" s="12"/>
      <c r="R18" s="45">
        <v>424971.3600000001</v>
      </c>
      <c r="S18" s="33" t="s">
        <v>24</v>
      </c>
    </row>
    <row r="19" spans="1:22" ht="22.5" customHeight="1">
      <c r="B19" s="600"/>
      <c r="C19" s="600"/>
      <c r="D19" s="600"/>
      <c r="E19" s="600"/>
      <c r="F19" s="47" t="s">
        <v>83</v>
      </c>
      <c r="G19" s="47" t="s">
        <v>85</v>
      </c>
      <c r="H19" s="47" t="s">
        <v>86</v>
      </c>
      <c r="I19" s="600"/>
      <c r="J19" s="600"/>
      <c r="K19" s="600"/>
      <c r="N19" s="12"/>
      <c r="O19" s="12"/>
      <c r="P19" s="12"/>
      <c r="Q19" s="12"/>
      <c r="R19" s="45">
        <v>424.97136000000012</v>
      </c>
      <c r="S19" s="33" t="s">
        <v>28</v>
      </c>
    </row>
    <row r="20" spans="1:22" ht="14.4">
      <c r="A20" s="48" t="s">
        <v>87</v>
      </c>
      <c r="B20" s="17">
        <v>1</v>
      </c>
      <c r="C20" s="10" t="s">
        <v>88</v>
      </c>
      <c r="D20" s="18">
        <v>5648.9669108579301</v>
      </c>
      <c r="E20" s="10">
        <v>439.56000000000006</v>
      </c>
      <c r="F20" s="17">
        <v>0</v>
      </c>
      <c r="G20" s="17">
        <v>14.11</v>
      </c>
      <c r="H20" s="18">
        <v>181.33343141369824</v>
      </c>
      <c r="I20" s="10">
        <v>425.45000000000005</v>
      </c>
      <c r="J20" s="49">
        <v>5467.6334794442319</v>
      </c>
      <c r="L20" s="603" t="s">
        <v>89</v>
      </c>
      <c r="M20" s="7" t="s">
        <v>90</v>
      </c>
      <c r="N20" s="17">
        <v>3360000</v>
      </c>
      <c r="O20" s="17" t="s">
        <v>91</v>
      </c>
      <c r="P20" s="17">
        <v>3360</v>
      </c>
      <c r="Q20" s="17" t="s">
        <v>51</v>
      </c>
      <c r="R20" s="45">
        <v>7700.22</v>
      </c>
      <c r="S20" s="33" t="s">
        <v>28</v>
      </c>
    </row>
    <row r="21" spans="1:22" ht="15.75" customHeight="1">
      <c r="A21" s="43" t="s">
        <v>92</v>
      </c>
      <c r="B21" s="17">
        <v>2</v>
      </c>
      <c r="C21" s="10" t="s">
        <v>93</v>
      </c>
      <c r="D21" s="18">
        <v>5467.6334794442319</v>
      </c>
      <c r="E21" s="10">
        <v>425.45000000000005</v>
      </c>
      <c r="F21" s="17">
        <v>0</v>
      </c>
      <c r="G21" s="10">
        <v>346.56</v>
      </c>
      <c r="H21" s="18">
        <v>4453.7855415117938</v>
      </c>
      <c r="I21" s="10">
        <v>78.890000000000043</v>
      </c>
      <c r="J21" s="49">
        <v>1013.8479379324381</v>
      </c>
      <c r="L21" s="604"/>
      <c r="M21" s="7" t="s">
        <v>94</v>
      </c>
      <c r="N21" s="17">
        <v>21680</v>
      </c>
      <c r="O21" s="17" t="s">
        <v>91</v>
      </c>
      <c r="P21" s="17">
        <v>21.68</v>
      </c>
      <c r="Q21" s="17" t="s">
        <v>51</v>
      </c>
      <c r="R21" s="33"/>
      <c r="S21" s="33"/>
    </row>
    <row r="22" spans="1:22" ht="15.75" customHeight="1">
      <c r="A22" s="43" t="s">
        <v>95</v>
      </c>
      <c r="B22" s="17">
        <v>3</v>
      </c>
      <c r="C22" s="18" t="s">
        <v>96</v>
      </c>
      <c r="D22" s="18">
        <v>1013.8479379324377</v>
      </c>
      <c r="E22" s="10">
        <v>78.890000000000043</v>
      </c>
      <c r="F22" s="17">
        <v>0</v>
      </c>
      <c r="G22" s="50">
        <v>0</v>
      </c>
      <c r="H22" s="18">
        <v>0</v>
      </c>
      <c r="I22" s="10">
        <v>78.890000000000043</v>
      </c>
      <c r="J22" s="49">
        <v>1013.8479379324377</v>
      </c>
      <c r="L22" s="600"/>
      <c r="M22" s="7" t="s">
        <v>97</v>
      </c>
      <c r="N22" s="17">
        <v>3338320</v>
      </c>
      <c r="O22" s="17" t="s">
        <v>91</v>
      </c>
      <c r="P22" s="17">
        <v>3338.32</v>
      </c>
      <c r="Q22" s="17" t="s">
        <v>51</v>
      </c>
      <c r="R22" s="33"/>
      <c r="S22" s="33"/>
    </row>
    <row r="23" spans="1:22" ht="15.75" customHeight="1">
      <c r="A23" s="43" t="s">
        <v>98</v>
      </c>
      <c r="B23" s="17">
        <v>4</v>
      </c>
      <c r="C23" s="18" t="s">
        <v>96</v>
      </c>
      <c r="D23" s="18">
        <v>1013.8479379324377</v>
      </c>
      <c r="E23" s="10">
        <v>78.890000000000043</v>
      </c>
      <c r="F23" s="17">
        <v>0</v>
      </c>
      <c r="G23" s="50">
        <v>0</v>
      </c>
      <c r="H23" s="18">
        <v>0</v>
      </c>
      <c r="I23" s="10">
        <v>78.890000000000043</v>
      </c>
      <c r="J23" s="49">
        <v>1013.8479379324377</v>
      </c>
      <c r="L23" s="51"/>
      <c r="M23" s="52"/>
      <c r="N23" s="12"/>
      <c r="O23" s="12"/>
      <c r="P23" s="12"/>
      <c r="Q23" s="12"/>
      <c r="R23" s="33"/>
      <c r="S23" s="33"/>
    </row>
    <row r="24" spans="1:22" ht="15.75" customHeight="1">
      <c r="A24" s="43" t="s">
        <v>99</v>
      </c>
      <c r="B24" s="17">
        <v>5</v>
      </c>
      <c r="C24" s="18" t="s">
        <v>96</v>
      </c>
      <c r="D24" s="18">
        <v>1013.8479379324377</v>
      </c>
      <c r="E24" s="10">
        <v>78.890000000000043</v>
      </c>
      <c r="F24" s="17">
        <v>0</v>
      </c>
      <c r="G24" s="50">
        <v>0</v>
      </c>
      <c r="H24" s="18">
        <v>0</v>
      </c>
      <c r="I24" s="10">
        <v>78.890000000000043</v>
      </c>
      <c r="J24" s="49">
        <v>1013.8479379324377</v>
      </c>
      <c r="L24" s="51"/>
      <c r="M24" s="52"/>
      <c r="N24" s="12"/>
      <c r="O24" s="12"/>
      <c r="P24" s="12"/>
      <c r="Q24" s="12"/>
      <c r="R24" s="33"/>
      <c r="S24" s="33"/>
    </row>
    <row r="25" spans="1:22" ht="15.75" customHeight="1">
      <c r="A25" s="43" t="s">
        <v>100</v>
      </c>
      <c r="B25" s="17">
        <v>6</v>
      </c>
      <c r="C25" s="10" t="s">
        <v>101</v>
      </c>
      <c r="D25" s="18">
        <v>1300.1131530096977</v>
      </c>
      <c r="E25" s="10">
        <v>101.16500000000005</v>
      </c>
      <c r="F25" s="17">
        <v>0</v>
      </c>
      <c r="G25" s="50">
        <v>0</v>
      </c>
      <c r="H25" s="18">
        <v>0</v>
      </c>
      <c r="I25" s="10">
        <v>101.16500000000005</v>
      </c>
      <c r="J25" s="49">
        <v>1300.1131530096977</v>
      </c>
      <c r="L25" s="51"/>
      <c r="M25" s="52"/>
      <c r="N25" s="12"/>
      <c r="O25" s="12"/>
      <c r="P25" s="12"/>
      <c r="Q25" s="12"/>
      <c r="R25" s="33"/>
      <c r="S25" s="33"/>
    </row>
    <row r="26" spans="1:22" ht="15.75" customHeight="1">
      <c r="A26" s="43" t="s">
        <v>102</v>
      </c>
      <c r="B26" s="17">
        <v>7</v>
      </c>
      <c r="C26" s="10" t="s">
        <v>101</v>
      </c>
      <c r="D26" s="18">
        <v>1300.1131530096977</v>
      </c>
      <c r="E26" s="10">
        <v>101.16500000000005</v>
      </c>
      <c r="F26" s="17">
        <v>0</v>
      </c>
      <c r="G26" s="50">
        <v>0</v>
      </c>
      <c r="H26" s="18">
        <v>0</v>
      </c>
      <c r="I26" s="10">
        <v>101.16500000000005</v>
      </c>
      <c r="J26" s="49">
        <v>1300.1131530096977</v>
      </c>
      <c r="L26" s="51"/>
      <c r="M26" s="52"/>
      <c r="N26" s="12"/>
      <c r="O26" s="12"/>
      <c r="P26" s="12"/>
      <c r="Q26" s="12"/>
      <c r="R26" s="33"/>
      <c r="S26" s="33"/>
    </row>
    <row r="27" spans="1:22" ht="15.75" customHeight="1">
      <c r="A27" s="43" t="s">
        <v>103</v>
      </c>
      <c r="B27" s="17">
        <v>8</v>
      </c>
      <c r="C27" s="10" t="s">
        <v>101</v>
      </c>
      <c r="D27" s="18">
        <v>1300.1131530096977</v>
      </c>
      <c r="E27" s="10">
        <v>101.16500000000005</v>
      </c>
      <c r="F27" s="17">
        <v>0</v>
      </c>
      <c r="G27" s="50">
        <v>0</v>
      </c>
      <c r="H27" s="18">
        <v>0</v>
      </c>
      <c r="I27" s="10">
        <v>101.16500000000005</v>
      </c>
      <c r="J27" s="49">
        <v>1300.1131530096977</v>
      </c>
      <c r="R27" s="45"/>
      <c r="S27" s="33">
        <v>28.617599999999999</v>
      </c>
    </row>
    <row r="28" spans="1:22" ht="15.75" customHeight="1">
      <c r="A28" s="43" t="s">
        <v>104</v>
      </c>
      <c r="B28" s="17">
        <v>9</v>
      </c>
      <c r="C28" s="10" t="s">
        <v>105</v>
      </c>
      <c r="D28" s="18">
        <v>3399.3913969096034</v>
      </c>
      <c r="E28" s="10">
        <v>264.51499999999999</v>
      </c>
      <c r="F28" s="17">
        <v>0</v>
      </c>
      <c r="G28" s="50">
        <v>0</v>
      </c>
      <c r="H28" s="18">
        <v>0</v>
      </c>
      <c r="I28" s="10">
        <v>264.51499999999999</v>
      </c>
      <c r="J28" s="49">
        <v>3399.3913969096034</v>
      </c>
      <c r="M28" s="53" t="s">
        <v>106</v>
      </c>
      <c r="N28" s="17">
        <v>4406.5824000000002</v>
      </c>
      <c r="O28" s="54" t="s">
        <v>24</v>
      </c>
      <c r="P28" s="54">
        <v>4.4065824000000005</v>
      </c>
      <c r="Q28" s="54" t="s">
        <v>28</v>
      </c>
      <c r="R28" s="55"/>
      <c r="S28" s="55"/>
      <c r="T28" s="55"/>
      <c r="U28" s="55"/>
      <c r="V28" s="55"/>
    </row>
    <row r="29" spans="1:22" ht="15.75" customHeight="1">
      <c r="A29" s="43" t="s">
        <v>107</v>
      </c>
      <c r="B29" s="17">
        <v>10</v>
      </c>
      <c r="C29" s="10" t="s">
        <v>108</v>
      </c>
      <c r="D29" s="18">
        <v>14850</v>
      </c>
      <c r="E29" s="10">
        <v>1155.5149999999999</v>
      </c>
      <c r="F29" s="17">
        <v>0</v>
      </c>
      <c r="G29" s="50">
        <v>0</v>
      </c>
      <c r="H29" s="18">
        <v>0</v>
      </c>
      <c r="I29" s="10">
        <v>1155.5149999999999</v>
      </c>
      <c r="J29" s="49">
        <v>14850</v>
      </c>
      <c r="K29" s="56">
        <v>1155.0329999999999</v>
      </c>
      <c r="M29" s="53" t="s">
        <v>110</v>
      </c>
      <c r="N29" s="17">
        <v>14850</v>
      </c>
      <c r="O29" s="58"/>
      <c r="P29" s="58"/>
      <c r="Q29" s="58"/>
    </row>
    <row r="30" spans="1:22" ht="15.75" customHeight="1">
      <c r="A30" s="43"/>
      <c r="B30" s="17"/>
      <c r="C30" s="10"/>
      <c r="D30" s="18"/>
      <c r="E30" s="10"/>
      <c r="F30" s="17">
        <v>0</v>
      </c>
      <c r="G30" s="50">
        <v>0</v>
      </c>
      <c r="H30" s="10"/>
      <c r="I30" s="18"/>
      <c r="J30" s="49"/>
      <c r="M30" s="53"/>
      <c r="N30" s="17"/>
      <c r="O30" s="58"/>
      <c r="P30" s="58"/>
      <c r="Q30" s="58"/>
    </row>
    <row r="31" spans="1:22" ht="15.75" customHeight="1">
      <c r="A31" s="609" t="s">
        <v>119</v>
      </c>
      <c r="B31" s="589"/>
      <c r="C31" s="589"/>
      <c r="D31" s="589"/>
      <c r="E31" s="590"/>
      <c r="F31" s="10">
        <v>439.56000000000006</v>
      </c>
      <c r="M31" s="53" t="s">
        <v>60</v>
      </c>
      <c r="N31" s="17">
        <v>65437748.640000001</v>
      </c>
      <c r="O31" s="17" t="s">
        <v>24</v>
      </c>
      <c r="P31" s="43">
        <v>65437.748639999998</v>
      </c>
      <c r="Q31" s="43" t="s">
        <v>28</v>
      </c>
    </row>
    <row r="32" spans="1:22" ht="15.75" customHeight="1">
      <c r="A32" s="601" t="s">
        <v>120</v>
      </c>
      <c r="B32" s="589"/>
      <c r="C32" s="589"/>
      <c r="D32" s="589"/>
      <c r="E32" s="590"/>
      <c r="F32" s="10">
        <v>439.56000000000006</v>
      </c>
    </row>
    <row r="33" spans="1:17" ht="35.25" customHeight="1">
      <c r="A33" s="608" t="s">
        <v>122</v>
      </c>
      <c r="B33" s="589"/>
      <c r="C33" s="589"/>
      <c r="D33" s="589"/>
      <c r="E33" s="590"/>
      <c r="F33" s="66">
        <v>0.23787994209149943</v>
      </c>
      <c r="H33" s="62">
        <v>1516.1849999999997</v>
      </c>
      <c r="I33">
        <v>1516.1849999999999</v>
      </c>
      <c r="L33" s="605" t="s">
        <v>144</v>
      </c>
      <c r="M33" s="69" t="s">
        <v>149</v>
      </c>
      <c r="N33" s="71">
        <v>17.68</v>
      </c>
      <c r="O33" s="71" t="s">
        <v>51</v>
      </c>
      <c r="P33" s="72"/>
      <c r="Q33" s="72"/>
    </row>
    <row r="34" spans="1:17" ht="31.5" customHeight="1">
      <c r="A34" s="608" t="s">
        <v>155</v>
      </c>
      <c r="B34" s="589"/>
      <c r="C34" s="589"/>
      <c r="D34" s="589"/>
      <c r="E34" s="590"/>
      <c r="F34" s="66">
        <v>0.23787994209149943</v>
      </c>
      <c r="L34" s="606"/>
      <c r="M34" s="69" t="s">
        <v>158</v>
      </c>
      <c r="N34" s="71">
        <v>23.337600000000002</v>
      </c>
      <c r="O34" s="71" t="s">
        <v>24</v>
      </c>
      <c r="P34" s="72">
        <v>2.3337600000000003E-2</v>
      </c>
      <c r="Q34" s="72" t="s">
        <v>28</v>
      </c>
    </row>
    <row r="35" spans="1:17" ht="15.75" customHeight="1">
      <c r="L35" s="607"/>
      <c r="M35" s="69" t="s">
        <v>164</v>
      </c>
      <c r="N35" s="71">
        <v>346563.36000000004</v>
      </c>
      <c r="O35" s="71" t="s">
        <v>24</v>
      </c>
      <c r="P35" s="71">
        <v>346.56336000000005</v>
      </c>
      <c r="Q35" s="71" t="s">
        <v>28</v>
      </c>
    </row>
    <row r="36" spans="1:17" ht="15.75" customHeight="1"/>
    <row r="37" spans="1:17" ht="15.75" customHeight="1">
      <c r="F37">
        <v>1430.3888412858589</v>
      </c>
    </row>
    <row r="38" spans="1:17" ht="15.75" customHeight="1"/>
    <row r="39" spans="1:17" ht="15.75" customHeight="1">
      <c r="K39" t="s">
        <v>165</v>
      </c>
      <c r="L39" s="56">
        <v>5.28</v>
      </c>
      <c r="M39" s="56" t="s">
        <v>24</v>
      </c>
      <c r="N39">
        <v>6.7883774749292886E-2</v>
      </c>
    </row>
    <row r="40" spans="1:17" ht="34.5" customHeight="1">
      <c r="K40" s="56" t="s">
        <v>166</v>
      </c>
      <c r="L40" s="56">
        <v>11</v>
      </c>
      <c r="M40" s="56" t="s">
        <v>24</v>
      </c>
      <c r="N40">
        <v>0.14142453072769348</v>
      </c>
    </row>
    <row r="41" spans="1:17" ht="15.75" customHeight="1">
      <c r="G41" s="27"/>
      <c r="K41" t="s">
        <v>167</v>
      </c>
      <c r="L41" s="56">
        <v>60</v>
      </c>
      <c r="M41" s="56" t="s">
        <v>24</v>
      </c>
      <c r="N41">
        <v>0.77140653124196445</v>
      </c>
    </row>
    <row r="42" spans="1:17" ht="15.75" customHeight="1">
      <c r="K42" t="s">
        <v>168</v>
      </c>
      <c r="L42" s="56">
        <v>1.5</v>
      </c>
      <c r="M42" s="56" t="s">
        <v>24</v>
      </c>
      <c r="N42">
        <v>1.9285163281049112E-2</v>
      </c>
    </row>
    <row r="43" spans="1:17" ht="15.75" customHeight="1">
      <c r="G43" s="27" t="s">
        <v>169</v>
      </c>
      <c r="L43" s="56"/>
      <c r="M43" s="56" t="s">
        <v>24</v>
      </c>
      <c r="N43">
        <v>0</v>
      </c>
    </row>
    <row r="44" spans="1:17" ht="15.75" customHeight="1">
      <c r="L44" s="56">
        <v>77.78</v>
      </c>
    </row>
    <row r="45" spans="1:17" ht="15.75" customHeight="1">
      <c r="G45" s="27" t="s">
        <v>170</v>
      </c>
    </row>
    <row r="46" spans="1:17" ht="15.75" customHeight="1">
      <c r="G46" s="27" t="s">
        <v>171</v>
      </c>
    </row>
    <row r="47" spans="1:17" ht="15.75" customHeight="1"/>
    <row r="48" spans="1:17" ht="15.75" customHeight="1">
      <c r="G48" s="27" t="s">
        <v>172</v>
      </c>
    </row>
    <row r="49" spans="7:17" ht="15.75" customHeight="1"/>
    <row r="50" spans="7:17" ht="15.75" customHeight="1">
      <c r="G50" s="27" t="s">
        <v>173</v>
      </c>
    </row>
    <row r="51" spans="7:17" ht="15.75" customHeight="1"/>
    <row r="52" spans="7:17" ht="15.75" customHeight="1">
      <c r="G52" s="27" t="s">
        <v>174</v>
      </c>
    </row>
    <row r="53" spans="7:17" ht="15.75" customHeight="1"/>
    <row r="54" spans="7:17" ht="15.75" customHeight="1"/>
    <row r="55" spans="7:17" ht="15.75" customHeight="1"/>
    <row r="56" spans="7:17" ht="15.75" customHeight="1">
      <c r="G56" s="77"/>
      <c r="N56">
        <v>16.251839999999998</v>
      </c>
      <c r="P56" s="79">
        <v>78</v>
      </c>
      <c r="Q56" s="79">
        <v>14850</v>
      </c>
    </row>
    <row r="57" spans="7:17" ht="15.75" customHeight="1">
      <c r="P57" s="44">
        <v>16.251839999999998</v>
      </c>
      <c r="Q57" s="44">
        <v>3094.1003076923071</v>
      </c>
    </row>
    <row r="58" spans="7:17" ht="15.75" customHeight="1">
      <c r="G58" s="77"/>
    </row>
    <row r="59" spans="7:17" ht="15.75" customHeight="1">
      <c r="J59" s="44"/>
      <c r="K59" s="44"/>
      <c r="L59" s="44"/>
    </row>
    <row r="60" spans="7:17" ht="15.75" customHeight="1"/>
    <row r="61" spans="7:17" ht="15.75" customHeight="1"/>
    <row r="62" spans="7:17" ht="15.75" customHeight="1"/>
    <row r="63" spans="7:17" ht="15.75" customHeight="1"/>
    <row r="64" spans="7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B1:F1"/>
    <mergeCell ref="B9:I14"/>
    <mergeCell ref="A9:A11"/>
    <mergeCell ref="R12:S12"/>
    <mergeCell ref="M17:M18"/>
    <mergeCell ref="M4:O4"/>
    <mergeCell ref="L33:L35"/>
    <mergeCell ref="I18:I19"/>
    <mergeCell ref="A32:E32"/>
    <mergeCell ref="A33:E33"/>
    <mergeCell ref="A34:E34"/>
    <mergeCell ref="A31:E31"/>
    <mergeCell ref="J18:J19"/>
    <mergeCell ref="C18:C19"/>
    <mergeCell ref="K18:K19"/>
    <mergeCell ref="E18:E19"/>
    <mergeCell ref="D18:D19"/>
    <mergeCell ref="F18:H18"/>
    <mergeCell ref="B18:B19"/>
    <mergeCell ref="L20:L22"/>
  </mergeCells>
  <conditionalFormatting sqref="G22:G30">
    <cfRule type="notContainsBlanks" dxfId="42" priority="1">
      <formula>LEN(TRIM(G22))&gt;0</formula>
    </cfRule>
  </conditionalFormatting>
  <pageMargins left="0.7" right="0.7" top="0.75" bottom="0.75" header="0" footer="0"/>
  <pageSetup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outlinePr summaryBelow="0" summaryRight="0"/>
  </sheetPr>
  <dimension ref="A1:M1000"/>
  <sheetViews>
    <sheetView showGridLines="0" workbookViewId="0"/>
  </sheetViews>
  <sheetFormatPr defaultColWidth="14.44140625" defaultRowHeight="15" customHeight="1"/>
  <cols>
    <col min="1" max="1" width="23" customWidth="1"/>
    <col min="2" max="2" width="14.44140625" customWidth="1"/>
    <col min="3" max="6" width="19.5546875" customWidth="1"/>
    <col min="7" max="7" width="19.6640625" customWidth="1"/>
    <col min="10" max="10" width="27.6640625" customWidth="1"/>
  </cols>
  <sheetData>
    <row r="1" spans="1:7" ht="13.2">
      <c r="A1" s="637" t="s">
        <v>111</v>
      </c>
      <c r="B1" s="613"/>
    </row>
    <row r="3" spans="1:7" ht="15.6">
      <c r="B3" s="61"/>
      <c r="C3" s="63" t="s">
        <v>123</v>
      </c>
      <c r="D3" s="65" t="s">
        <v>130</v>
      </c>
      <c r="E3" s="65" t="s">
        <v>136</v>
      </c>
      <c r="F3" s="65" t="s">
        <v>137</v>
      </c>
      <c r="G3" s="67" t="s">
        <v>138</v>
      </c>
    </row>
    <row r="4" spans="1:7" ht="13.2">
      <c r="B4" s="641" t="s">
        <v>147</v>
      </c>
      <c r="C4" s="650">
        <f>11880</f>
        <v>11880</v>
      </c>
      <c r="D4" s="649">
        <v>14850</v>
      </c>
      <c r="E4" s="649">
        <v>14850</v>
      </c>
      <c r="F4" s="649">
        <v>14850</v>
      </c>
      <c r="G4" s="649">
        <v>14850</v>
      </c>
    </row>
    <row r="5" spans="1:7" ht="13.2">
      <c r="B5" s="642"/>
      <c r="C5" s="596"/>
      <c r="D5" s="600"/>
      <c r="E5" s="600"/>
      <c r="F5" s="600"/>
      <c r="G5" s="600"/>
    </row>
    <row r="6" spans="1:7" ht="15.6">
      <c r="B6" s="74" t="s">
        <v>160</v>
      </c>
      <c r="C6" s="76">
        <f t="shared" ref="C6:G6" si="0">SUM(C4:C5)</f>
        <v>11880</v>
      </c>
      <c r="D6" s="80">
        <f t="shared" si="0"/>
        <v>14850</v>
      </c>
      <c r="E6" s="82">
        <f t="shared" si="0"/>
        <v>14850</v>
      </c>
      <c r="F6" s="82">
        <f t="shared" si="0"/>
        <v>14850</v>
      </c>
      <c r="G6" s="84">
        <f t="shared" si="0"/>
        <v>14850</v>
      </c>
    </row>
    <row r="7" spans="1:7" ht="13.2">
      <c r="B7" s="56"/>
      <c r="C7" s="56"/>
      <c r="D7" s="56"/>
      <c r="E7" s="56"/>
      <c r="F7" s="56"/>
      <c r="G7" s="56"/>
    </row>
    <row r="8" spans="1:7" ht="13.2">
      <c r="B8" s="56"/>
      <c r="C8" s="56"/>
      <c r="D8" s="56"/>
      <c r="E8" s="56"/>
      <c r="F8" s="56"/>
      <c r="G8" s="56"/>
    </row>
    <row r="9" spans="1:7" ht="15.6">
      <c r="B9" s="61" t="s">
        <v>187</v>
      </c>
      <c r="C9" s="63" t="s">
        <v>188</v>
      </c>
      <c r="D9" s="65" t="s">
        <v>189</v>
      </c>
      <c r="E9" s="65" t="s">
        <v>190</v>
      </c>
      <c r="F9" s="65" t="s">
        <v>191</v>
      </c>
      <c r="G9" s="67" t="s">
        <v>192</v>
      </c>
    </row>
    <row r="10" spans="1:7" ht="13.2">
      <c r="B10" s="641" t="str">
        <f>B4</f>
        <v>WallWood + Arcu</v>
      </c>
      <c r="C10" s="648">
        <v>1427.2727272727273</v>
      </c>
      <c r="D10" s="648">
        <v>1427.2727272727273</v>
      </c>
      <c r="E10" s="648">
        <v>1427.2727272727273</v>
      </c>
      <c r="F10" s="648">
        <v>1427.2727272727273</v>
      </c>
      <c r="G10" s="648">
        <v>1427.2727272727273</v>
      </c>
    </row>
    <row r="11" spans="1:7" ht="13.2">
      <c r="B11" s="642"/>
      <c r="C11" s="596"/>
      <c r="D11" s="596"/>
      <c r="E11" s="596"/>
      <c r="F11" s="596"/>
      <c r="G11" s="596"/>
    </row>
    <row r="12" spans="1:7" ht="15.6">
      <c r="B12" s="74" t="s">
        <v>204</v>
      </c>
      <c r="C12" s="91">
        <f t="shared" ref="C12:G12" si="1">AVERAGE(C10:C11)</f>
        <v>1427.2727272727273</v>
      </c>
      <c r="D12" s="92">
        <f t="shared" si="1"/>
        <v>1427.2727272727273</v>
      </c>
      <c r="E12" s="92">
        <f t="shared" si="1"/>
        <v>1427.2727272727273</v>
      </c>
      <c r="F12" s="92">
        <f t="shared" si="1"/>
        <v>1427.2727272727273</v>
      </c>
      <c r="G12" s="92">
        <f t="shared" si="1"/>
        <v>1427.2727272727273</v>
      </c>
    </row>
    <row r="13" spans="1:7" ht="15.6">
      <c r="B13" s="74"/>
      <c r="C13" s="76"/>
      <c r="D13" s="80"/>
      <c r="E13" s="80"/>
      <c r="F13" s="80"/>
      <c r="G13" s="95"/>
    </row>
    <row r="14" spans="1:7" ht="15.6">
      <c r="B14" s="61" t="s">
        <v>207</v>
      </c>
      <c r="C14" s="63" t="s">
        <v>208</v>
      </c>
      <c r="D14" s="65" t="s">
        <v>209</v>
      </c>
      <c r="E14" s="65" t="s">
        <v>210</v>
      </c>
      <c r="F14" s="65" t="s">
        <v>211</v>
      </c>
      <c r="G14" s="67" t="s">
        <v>212</v>
      </c>
    </row>
    <row r="15" spans="1:7" ht="13.2">
      <c r="B15" s="641" t="str">
        <f>B10</f>
        <v>WallWood + Arcu</v>
      </c>
      <c r="C15" s="648">
        <f t="shared" ref="C15:G15" si="2">C6*C12</f>
        <v>16956000</v>
      </c>
      <c r="D15" s="648">
        <f t="shared" si="2"/>
        <v>21195000</v>
      </c>
      <c r="E15" s="648">
        <f t="shared" si="2"/>
        <v>21195000</v>
      </c>
      <c r="F15" s="648">
        <f t="shared" si="2"/>
        <v>21195000</v>
      </c>
      <c r="G15" s="648">
        <f t="shared" si="2"/>
        <v>21195000</v>
      </c>
    </row>
    <row r="16" spans="1:7" ht="13.2">
      <c r="B16" s="642"/>
      <c r="C16" s="596"/>
      <c r="D16" s="596"/>
      <c r="E16" s="596"/>
      <c r="F16" s="596"/>
      <c r="G16" s="596"/>
    </row>
    <row r="17" spans="1:12" ht="15.6">
      <c r="B17" s="74" t="s">
        <v>160</v>
      </c>
      <c r="C17" s="103">
        <f t="shared" ref="C17:G17" si="3">C16+C15</f>
        <v>16956000</v>
      </c>
      <c r="D17" s="105">
        <f t="shared" si="3"/>
        <v>21195000</v>
      </c>
      <c r="E17" s="105">
        <f t="shared" si="3"/>
        <v>21195000</v>
      </c>
      <c r="F17" s="105">
        <f t="shared" si="3"/>
        <v>21195000</v>
      </c>
      <c r="G17" s="107">
        <f t="shared" si="3"/>
        <v>21195000</v>
      </c>
    </row>
    <row r="20" spans="1:12" ht="13.2">
      <c r="A20" s="637" t="s">
        <v>238</v>
      </c>
      <c r="B20" s="613"/>
    </row>
    <row r="21" spans="1:12" ht="15.75" customHeight="1"/>
    <row r="22" spans="1:12" ht="15.75" customHeight="1"/>
    <row r="23" spans="1:12" ht="15.75" customHeight="1">
      <c r="B23" s="112" t="s">
        <v>239</v>
      </c>
      <c r="C23" s="114" t="s">
        <v>244</v>
      </c>
      <c r="D23" s="114" t="s">
        <v>245</v>
      </c>
      <c r="E23" s="114" t="s">
        <v>246</v>
      </c>
      <c r="F23" s="119" t="s">
        <v>247</v>
      </c>
      <c r="G23" s="121"/>
      <c r="H23" s="112" t="s">
        <v>252</v>
      </c>
      <c r="I23" s="114" t="s">
        <v>245</v>
      </c>
      <c r="J23" s="114" t="s">
        <v>110</v>
      </c>
      <c r="K23" s="114" t="s">
        <v>253</v>
      </c>
      <c r="L23" s="119" t="s">
        <v>247</v>
      </c>
    </row>
    <row r="24" spans="1:12" ht="15.75" customHeight="1">
      <c r="B24" s="123" t="s">
        <v>121</v>
      </c>
      <c r="C24" s="125">
        <v>1</v>
      </c>
      <c r="D24" s="127">
        <v>100000</v>
      </c>
      <c r="E24" s="127">
        <f>D24*C24</f>
        <v>100000</v>
      </c>
      <c r="F24" s="130" t="str">
        <f>HYPERLINK("https://articulo.mercadolibre.com.ar/MLA-613997929-escuadradora-maquinas-de-carpinteria-escuadradora-benelli-_JM#reco_item_pos=4&amp;reco_backend=machinalis-v2p&amp;reco_backend_type=low_level&amp;reco_client=vip-v2p&amp;reco_id=4f119194-fdb3-461a-9768-6c0211aad3a9","Sierra Circular")</f>
        <v>Sierra Circular</v>
      </c>
      <c r="G24" s="131"/>
      <c r="H24" s="133" t="s">
        <v>267</v>
      </c>
      <c r="I24" s="127">
        <v>1000</v>
      </c>
      <c r="J24" s="127">
        <v>2</v>
      </c>
      <c r="K24" s="127">
        <f t="shared" ref="K24:K31" si="4">J24*I24</f>
        <v>2000</v>
      </c>
      <c r="L24" s="130" t="str">
        <f>HYPERLINK("https://articulo.mercadolibre.com.ar/MLA-746665813-disco-de-sierra-circular-bosch-7-14pulg-184mm-24d-p-madera-_JM","Discos")</f>
        <v>Discos</v>
      </c>
    </row>
    <row r="25" spans="1:12" ht="15.75" customHeight="1">
      <c r="B25" s="136" t="s">
        <v>284</v>
      </c>
      <c r="C25" s="137">
        <v>1</v>
      </c>
      <c r="D25" s="138">
        <v>800</v>
      </c>
      <c r="E25" s="138">
        <f>800*40</f>
        <v>32000</v>
      </c>
      <c r="F25" s="140" t="str">
        <f>HYPERLINK("https://articulo.mercadolibre.com.ar/MLA-684461085-router-cnc-somos-fabricantes-area-600-x-600-_JM","Centro de Mecanizado")</f>
        <v>Centro de Mecanizado</v>
      </c>
      <c r="G25" s="131"/>
      <c r="H25" s="141" t="s">
        <v>289</v>
      </c>
      <c r="I25" s="138">
        <v>600</v>
      </c>
      <c r="J25" s="138">
        <v>10</v>
      </c>
      <c r="K25" s="138">
        <f t="shared" si="4"/>
        <v>6000</v>
      </c>
      <c r="L25" s="140" t="str">
        <f>HYPERLINK("https://articulo.mercadolibre.com.ar/MLA-671207232-fresa-router-cnc-para-plastico-un-filo-6mm-metal-duro-_JM","Fresas")</f>
        <v>Fresas</v>
      </c>
    </row>
    <row r="26" spans="1:12" ht="15.75" customHeight="1">
      <c r="B26" s="136" t="s">
        <v>126</v>
      </c>
      <c r="C26" s="137">
        <v>1</v>
      </c>
      <c r="D26" s="138">
        <v>5000</v>
      </c>
      <c r="E26" s="138">
        <f t="shared" ref="E26:E33" si="5">D26*C26</f>
        <v>5000</v>
      </c>
      <c r="F26" s="140" t="str">
        <f>HYPERLINK("https://articulo.mercadolibre.com.ar/MLA-677700765-torno-de-mano-dremel-4000-26-accesorios-_JM","Destalonadora")</f>
        <v>Destalonadora</v>
      </c>
      <c r="G26" s="131"/>
      <c r="H26" s="141" t="s">
        <v>297</v>
      </c>
      <c r="I26" s="138">
        <v>1000</v>
      </c>
      <c r="J26" s="138">
        <v>10</v>
      </c>
      <c r="K26" s="138">
        <f t="shared" si="4"/>
        <v>10000</v>
      </c>
      <c r="L26" s="143"/>
    </row>
    <row r="27" spans="1:12" ht="15.75" customHeight="1">
      <c r="B27" s="136" t="s">
        <v>301</v>
      </c>
      <c r="C27" s="137">
        <v>3</v>
      </c>
      <c r="D27" s="138">
        <v>100000</v>
      </c>
      <c r="E27" s="138">
        <f t="shared" si="5"/>
        <v>300000</v>
      </c>
      <c r="F27" s="140" t="str">
        <f>HYPERLINK("https://articulo.mercadolibre.com.ar/MLA-743686647-tambor-rotativo-para-galvanoplastia-_JM","Tambores de Pulido")</f>
        <v>Tambores de Pulido</v>
      </c>
      <c r="G27" s="131"/>
      <c r="H27" s="141" t="s">
        <v>304</v>
      </c>
      <c r="I27" s="138">
        <v>8000</v>
      </c>
      <c r="J27" s="138">
        <v>3</v>
      </c>
      <c r="K27" s="138">
        <f t="shared" si="4"/>
        <v>24000</v>
      </c>
      <c r="L27" s="140" t="str">
        <f>HYPERLINK("https://articulo.mercadolibre.com.ar/MLA-688052422-alnic-motor-2-hp-reforzado-continuo-sobadora-sierra-circular-_JM","Motor de repuesto")</f>
        <v>Motor de repuesto</v>
      </c>
    </row>
    <row r="28" spans="1:12" ht="15.75" customHeight="1">
      <c r="B28" s="136" t="s">
        <v>306</v>
      </c>
      <c r="C28" s="137">
        <v>1</v>
      </c>
      <c r="D28" s="138">
        <v>20000</v>
      </c>
      <c r="E28" s="138">
        <f t="shared" si="5"/>
        <v>20000</v>
      </c>
      <c r="F28" s="140" t="str">
        <f>HYPERLINK("https://articulo.mercadolibre.com.ar/MLA-621567037-lavadora-ultrasonido-profesional-6-litros-almmar-ultrasonido-_JM","Limpiadoras de Ultrasonido")</f>
        <v>Limpiadoras de Ultrasonido</v>
      </c>
      <c r="G28" s="131"/>
      <c r="H28" s="141" t="s">
        <v>309</v>
      </c>
      <c r="I28" s="138">
        <v>5000</v>
      </c>
      <c r="J28" s="138">
        <v>2</v>
      </c>
      <c r="K28" s="138">
        <f t="shared" si="4"/>
        <v>10000</v>
      </c>
      <c r="L28" s="143"/>
    </row>
    <row r="29" spans="1:12" ht="15.75" customHeight="1">
      <c r="B29" s="136" t="s">
        <v>129</v>
      </c>
      <c r="C29" s="137">
        <v>1</v>
      </c>
      <c r="D29" s="138">
        <v>9000</v>
      </c>
      <c r="E29" s="138">
        <f t="shared" si="5"/>
        <v>9000</v>
      </c>
      <c r="F29" s="140" t="str">
        <f>HYPERLINK("https://articulo.mercadolibre.com.ar/MLA-709779931-5-velocidad-variable-doble-accion-pulidora-pulidora-orbital-_JM","Pulidora")</f>
        <v>Pulidora</v>
      </c>
      <c r="G29" s="131"/>
      <c r="H29" s="141" t="s">
        <v>310</v>
      </c>
      <c r="I29" s="138">
        <v>100000</v>
      </c>
      <c r="J29" s="138">
        <v>1</v>
      </c>
      <c r="K29" s="138">
        <f t="shared" si="4"/>
        <v>100000</v>
      </c>
      <c r="L29" s="143"/>
    </row>
    <row r="30" spans="1:12" ht="15.75" customHeight="1">
      <c r="B30" s="136" t="s">
        <v>118</v>
      </c>
      <c r="C30" s="137">
        <v>1</v>
      </c>
      <c r="D30" s="138">
        <v>20000</v>
      </c>
      <c r="E30" s="138">
        <f t="shared" si="5"/>
        <v>20000</v>
      </c>
      <c r="F30" s="143" t="s">
        <v>312</v>
      </c>
      <c r="G30" s="131"/>
      <c r="H30" s="141" t="s">
        <v>129</v>
      </c>
      <c r="I30" s="138">
        <v>9000</v>
      </c>
      <c r="J30" s="138">
        <v>1</v>
      </c>
      <c r="K30" s="138">
        <f t="shared" si="4"/>
        <v>9000</v>
      </c>
      <c r="L30" s="143"/>
    </row>
    <row r="31" spans="1:12" ht="15.75" customHeight="1">
      <c r="B31" s="136" t="s">
        <v>314</v>
      </c>
      <c r="C31" s="137">
        <v>1</v>
      </c>
      <c r="D31" s="138">
        <v>50000</v>
      </c>
      <c r="E31" s="138">
        <f t="shared" si="5"/>
        <v>50000</v>
      </c>
      <c r="F31" s="143" t="s">
        <v>312</v>
      </c>
      <c r="G31" s="131"/>
      <c r="H31" s="141" t="s">
        <v>315</v>
      </c>
      <c r="I31" s="138">
        <v>1500</v>
      </c>
      <c r="J31" s="138">
        <v>1</v>
      </c>
      <c r="K31" s="138">
        <f t="shared" si="4"/>
        <v>1500</v>
      </c>
      <c r="L31" s="143"/>
    </row>
    <row r="32" spans="1:12" ht="15.75" customHeight="1">
      <c r="B32" s="136" t="s">
        <v>316</v>
      </c>
      <c r="C32" s="137">
        <v>1</v>
      </c>
      <c r="D32" s="138">
        <v>5000</v>
      </c>
      <c r="E32" s="138">
        <f t="shared" si="5"/>
        <v>5000</v>
      </c>
      <c r="F32" s="140" t="str">
        <f>HYPERLINK("https://www.ferrimaq.com.ar/minitornos_qO30747673XoOmaxPriceXtOcXvOgalleryxSM","Biseladora de lentes")</f>
        <v>Biseladora de lentes</v>
      </c>
      <c r="G32" s="131"/>
      <c r="H32" s="141"/>
      <c r="I32" s="138"/>
      <c r="J32" s="138"/>
      <c r="K32" s="138"/>
      <c r="L32" s="143"/>
    </row>
    <row r="33" spans="2:12" ht="15.75" customHeight="1">
      <c r="B33" s="145" t="s">
        <v>318</v>
      </c>
      <c r="C33" s="147">
        <v>1</v>
      </c>
      <c r="D33" s="148">
        <v>45000</v>
      </c>
      <c r="E33" s="148">
        <f t="shared" si="5"/>
        <v>45000</v>
      </c>
      <c r="F33" s="150" t="str">
        <f>HYPERLINK("https://articulo.mercadolibre.com.ar/MLA-725649289-electrico-impresora-maquina-de-tampografia-impresion-camiset-_JM","Tampógrafo")</f>
        <v>Tampógrafo</v>
      </c>
      <c r="G33" s="131"/>
      <c r="H33" s="152" t="s">
        <v>322</v>
      </c>
      <c r="I33" s="148">
        <v>30000</v>
      </c>
      <c r="J33" s="148">
        <v>1</v>
      </c>
      <c r="K33" s="148">
        <f>J33*I33</f>
        <v>30000</v>
      </c>
      <c r="L33" s="153"/>
    </row>
    <row r="34" spans="2:12" ht="15.75" customHeight="1">
      <c r="B34" s="156"/>
      <c r="C34" s="167" t="s">
        <v>326</v>
      </c>
      <c r="D34" s="169"/>
      <c r="E34" s="169">
        <f>SUM(E24:E33)-E25</f>
        <v>554000</v>
      </c>
      <c r="F34" s="169"/>
      <c r="G34" s="171"/>
      <c r="H34" s="167" t="s">
        <v>343</v>
      </c>
      <c r="I34" s="169"/>
      <c r="J34" s="169"/>
      <c r="K34" s="169">
        <f>SUM(K24:K32)</f>
        <v>162500</v>
      </c>
      <c r="L34" s="169"/>
    </row>
    <row r="35" spans="2:12" ht="15.75" customHeight="1">
      <c r="B35" s="156"/>
      <c r="C35" s="167" t="s">
        <v>344</v>
      </c>
      <c r="D35" s="169"/>
      <c r="E35" s="169">
        <f>E25</f>
        <v>32000</v>
      </c>
      <c r="F35" s="169"/>
      <c r="G35" s="156"/>
      <c r="H35" s="156"/>
      <c r="I35" s="156"/>
      <c r="J35" s="156"/>
      <c r="K35" s="156"/>
      <c r="L35" s="156"/>
    </row>
    <row r="36" spans="2:12" ht="15.75" customHeight="1"/>
    <row r="37" spans="2:12" ht="15.75" customHeight="1">
      <c r="C37" s="56" t="s">
        <v>345</v>
      </c>
      <c r="D37" t="s">
        <v>346</v>
      </c>
    </row>
    <row r="38" spans="2:12" ht="15.75" customHeight="1">
      <c r="B38" s="174" t="s">
        <v>347</v>
      </c>
      <c r="C38" s="169">
        <v>400000</v>
      </c>
      <c r="D38" s="176">
        <f>(C38*InfoInicial!B32)-E41</f>
        <v>7502726</v>
      </c>
      <c r="E38" s="169"/>
      <c r="F38" s="178" t="str">
        <f>HYPERLINK("https://www.argenprop.com/Propiedades/Detalles/9219883--Galpon-en-Venta-en-Pdo.-de-General-San-Martin","Galpòn + Edificaciòn")</f>
        <v>Galpòn + Edificaciòn</v>
      </c>
    </row>
    <row r="39" spans="2:12" ht="15.75" customHeight="1"/>
    <row r="40" spans="2:12" ht="15.75" customHeight="1">
      <c r="C40" s="56" t="s">
        <v>348</v>
      </c>
      <c r="D40" s="56" t="s">
        <v>349</v>
      </c>
      <c r="E40" s="56" t="s">
        <v>350</v>
      </c>
    </row>
    <row r="41" spans="2:12" ht="15.75" customHeight="1">
      <c r="B41" s="180" t="s">
        <v>351</v>
      </c>
      <c r="C41" s="182" t="str">
        <f>HYPERLINK("http://www.copaipa.org.ar/costos-de-la-construccion/","9885,86")</f>
        <v>9885,86</v>
      </c>
      <c r="D41" s="184">
        <f>InfoInicial!B27</f>
        <v>900</v>
      </c>
      <c r="E41" s="186">
        <f>C41*D41</f>
        <v>8897274</v>
      </c>
    </row>
    <row r="42" spans="2:12" ht="15.75" customHeight="1"/>
    <row r="43" spans="2:12" ht="15.75" customHeight="1">
      <c r="B43" s="188"/>
      <c r="C43" s="189"/>
      <c r="D43" s="189"/>
      <c r="E43" s="189"/>
      <c r="F43" s="189"/>
      <c r="G43" s="191"/>
    </row>
    <row r="44" spans="2:12" ht="15.75" customHeight="1">
      <c r="B44" s="638" t="s">
        <v>352</v>
      </c>
      <c r="C44" s="639"/>
      <c r="D44" s="639"/>
      <c r="E44" s="639"/>
      <c r="F44" s="639"/>
      <c r="G44" s="640"/>
      <c r="H44" s="196"/>
    </row>
    <row r="45" spans="2:12" ht="15.75" customHeight="1">
      <c r="B45" s="197" t="s">
        <v>353</v>
      </c>
      <c r="C45" s="199" t="s">
        <v>354</v>
      </c>
      <c r="D45" s="199" t="s">
        <v>110</v>
      </c>
      <c r="E45" s="199" t="s">
        <v>355</v>
      </c>
      <c r="F45" s="199" t="s">
        <v>356</v>
      </c>
      <c r="G45" s="200" t="s">
        <v>160</v>
      </c>
      <c r="H45" s="196"/>
    </row>
    <row r="46" spans="2:12" ht="15.75" customHeight="1">
      <c r="B46" s="201" t="s">
        <v>357</v>
      </c>
      <c r="C46" s="203" t="s">
        <v>358</v>
      </c>
      <c r="D46" s="203">
        <v>7</v>
      </c>
      <c r="E46" s="203" t="s">
        <v>359</v>
      </c>
      <c r="F46" s="203">
        <v>37065</v>
      </c>
      <c r="G46" s="203">
        <f t="shared" ref="G46:G71" si="6">F46*D46</f>
        <v>259455</v>
      </c>
      <c r="H46" s="196"/>
    </row>
    <row r="47" spans="2:12" ht="15.75" customHeight="1">
      <c r="B47" s="204" t="str">
        <f>HYPERLINK("https://articulo.mercadolibre.com.ar/MLA-608422771-silla-de-pc-oficina-escritorio-ejecutivo-sillon-hasta-150-kg-_JM","Silla de escritorio")</f>
        <v>Silla de escritorio</v>
      </c>
      <c r="C47" s="203" t="s">
        <v>360</v>
      </c>
      <c r="D47" s="203">
        <v>17</v>
      </c>
      <c r="E47" s="203" t="s">
        <v>359</v>
      </c>
      <c r="F47" s="203">
        <v>5960</v>
      </c>
      <c r="G47" s="203">
        <f t="shared" si="6"/>
        <v>101320</v>
      </c>
      <c r="H47" s="206"/>
    </row>
    <row r="48" spans="2:12" ht="15.75" customHeight="1">
      <c r="B48" s="204" t="str">
        <f>HYPERLINK("https://articulo.mercadolibre.com.ar/MLA-641441528-escritorio-melamina-laqueado-dos-cajones-cerradura-160-mts-_JM","Escritorio de oficina")</f>
        <v>Escritorio de oficina</v>
      </c>
      <c r="C48" s="203" t="s">
        <v>363</v>
      </c>
      <c r="D48" s="203">
        <v>7</v>
      </c>
      <c r="E48" s="203" t="s">
        <v>359</v>
      </c>
      <c r="F48" s="203">
        <v>4000</v>
      </c>
      <c r="G48" s="203">
        <f t="shared" si="6"/>
        <v>28000</v>
      </c>
      <c r="H48" s="206"/>
    </row>
    <row r="49" spans="2:8" ht="15.75" customHeight="1">
      <c r="B49" s="204" t="str">
        <f>HYPERLINK("https://articulo.mercadolibre.com.ar/MLA-610983014-lampara-escritorio-con-pinza-e27-para-lampara-bulbo-led-220v-_JM","Lámpara de escritorio")</f>
        <v>Lámpara de escritorio</v>
      </c>
      <c r="C49" s="203" t="s">
        <v>364</v>
      </c>
      <c r="D49" s="203">
        <v>7</v>
      </c>
      <c r="E49" s="203" t="s">
        <v>359</v>
      </c>
      <c r="F49" s="203">
        <v>513.76</v>
      </c>
      <c r="G49" s="203">
        <f t="shared" si="6"/>
        <v>3596.3199999999997</v>
      </c>
      <c r="H49" s="206"/>
    </row>
    <row r="50" spans="2:8" ht="15.75" customHeight="1">
      <c r="B50" s="201" t="s">
        <v>365</v>
      </c>
      <c r="C50" s="203" t="s">
        <v>367</v>
      </c>
      <c r="D50" s="203">
        <v>4</v>
      </c>
      <c r="E50" s="203" t="s">
        <v>359</v>
      </c>
      <c r="F50" s="203">
        <v>5000</v>
      </c>
      <c r="G50" s="203">
        <f t="shared" si="6"/>
        <v>20000</v>
      </c>
      <c r="H50" s="196"/>
    </row>
    <row r="51" spans="2:8" ht="15.75" customHeight="1">
      <c r="B51" s="204" t="str">
        <f>HYPERLINK("https://articulo.mercadolibre.com.ar/MLA-676487424-impresora-laser-brother-dcp-1617nw-_JM","Impresora laser multifunción")</f>
        <v>Impresora laser multifunción</v>
      </c>
      <c r="C51" s="203" t="s">
        <v>369</v>
      </c>
      <c r="D51" s="203">
        <v>4</v>
      </c>
      <c r="E51" s="203" t="s">
        <v>359</v>
      </c>
      <c r="F51" s="203">
        <v>8800</v>
      </c>
      <c r="G51" s="203">
        <f t="shared" si="6"/>
        <v>35200</v>
      </c>
      <c r="H51" s="206"/>
    </row>
    <row r="52" spans="2:8" ht="15.75" customHeight="1">
      <c r="B52" s="204" t="str">
        <f>HYPERLINK("https://articulo.mercadolibre.com.ar/MLA-696022180-epson-proyector-powerlite-x41-xga-3600-lum-wifi-envio-_JM","Proyector con pantalla")</f>
        <v>Proyector con pantalla</v>
      </c>
      <c r="C52" s="203" t="s">
        <v>370</v>
      </c>
      <c r="D52" s="203">
        <v>1</v>
      </c>
      <c r="E52" s="203" t="s">
        <v>371</v>
      </c>
      <c r="F52" s="203">
        <v>39862</v>
      </c>
      <c r="G52" s="203">
        <f t="shared" si="6"/>
        <v>39862</v>
      </c>
      <c r="H52" s="206"/>
    </row>
    <row r="53" spans="2:8" ht="15.75" customHeight="1">
      <c r="B53" s="204" t="str">
        <f>HYPERLINK("https://articulo.mercadolibre.com.ar/MLA-670446498-telefono-inalambrico-panasonic-kx-tg1711agb-dect-_JM","Sistema de teléfonos inalámbricos")</f>
        <v>Sistema de teléfonos inalámbricos</v>
      </c>
      <c r="C53" s="203" t="s">
        <v>372</v>
      </c>
      <c r="D53" s="203">
        <v>7</v>
      </c>
      <c r="E53" s="203" t="s">
        <v>373</v>
      </c>
      <c r="F53" s="203">
        <v>1200</v>
      </c>
      <c r="G53" s="203">
        <f t="shared" si="6"/>
        <v>8400</v>
      </c>
      <c r="H53" s="206"/>
    </row>
    <row r="54" spans="2:8" ht="15.75" customHeight="1">
      <c r="B54" s="204" t="str">
        <f>HYPERLINK("http://www.rodo.com.ar/climatizacion/ventiladores/lumer-ventilador-vt601-pluss-cl-techo-4p-metal-bla.html","Ventilador")</f>
        <v>Ventilador</v>
      </c>
      <c r="C54" s="203" t="s">
        <v>374</v>
      </c>
      <c r="D54" s="203">
        <v>15</v>
      </c>
      <c r="E54" s="203" t="s">
        <v>375</v>
      </c>
      <c r="F54" s="203">
        <v>1819</v>
      </c>
      <c r="G54" s="203">
        <f t="shared" si="6"/>
        <v>27285</v>
      </c>
      <c r="H54" s="206"/>
    </row>
    <row r="55" spans="2:8" ht="15.75" customHeight="1">
      <c r="B55" s="204" t="str">
        <f>HYPERLINK("https://articulo.mercadolibre.com.ar/MLA-635022919-dispenser-agua-fria-y-caliente-para-conexion-a-red-_JM","Dispenser de agua frío-calor eléctrico")</f>
        <v>Dispenser de agua frío-calor eléctrico</v>
      </c>
      <c r="C55" s="203" t="s">
        <v>376</v>
      </c>
      <c r="D55" s="203">
        <v>5</v>
      </c>
      <c r="E55" s="203" t="s">
        <v>377</v>
      </c>
      <c r="F55" s="203">
        <v>8690</v>
      </c>
      <c r="G55" s="203">
        <f t="shared" si="6"/>
        <v>43450</v>
      </c>
      <c r="H55" s="206"/>
    </row>
    <row r="56" spans="2:8" ht="15.75" customHeight="1">
      <c r="B56" s="204" t="str">
        <f>HYPERLINK("https://articulo.mercadolibre.com.ar/MLA-736628114-aire-split-samsung-inverter-frio-calor-4300f-5000w-ar18msf-_JM","Aire acondicionado")</f>
        <v>Aire acondicionado</v>
      </c>
      <c r="C56" s="203" t="s">
        <v>379</v>
      </c>
      <c r="D56" s="203">
        <v>5</v>
      </c>
      <c r="E56" s="203" t="s">
        <v>377</v>
      </c>
      <c r="F56" s="203">
        <v>43730</v>
      </c>
      <c r="G56" s="203">
        <f t="shared" si="6"/>
        <v>218650</v>
      </c>
      <c r="H56" s="206"/>
    </row>
    <row r="57" spans="2:8" ht="15.75" customHeight="1">
      <c r="B57" s="204" t="str">
        <f>HYPERLINK("https://articulo.mercadolibre.com.ar/MLA-723964820-cocina-microonda-20lts-700w-atma-mr-1720n-_JM","Microondas")</f>
        <v>Microondas</v>
      </c>
      <c r="C57" s="203" t="s">
        <v>381</v>
      </c>
      <c r="D57" s="203">
        <v>2</v>
      </c>
      <c r="E57" s="203" t="s">
        <v>382</v>
      </c>
      <c r="F57" s="203">
        <v>3800</v>
      </c>
      <c r="G57" s="203">
        <f t="shared" si="6"/>
        <v>7600</v>
      </c>
      <c r="H57" s="206"/>
    </row>
    <row r="58" spans="2:8" ht="15.75" customHeight="1">
      <c r="B58" s="204" t="str">
        <f>HYPERLINK("https://articulo.mercadolibre.com.ar/MLA-662919480-heladera-ciclica-patrick-hpk135b01-277lt-_JM","Heladera")</f>
        <v>Heladera</v>
      </c>
      <c r="C58" s="203" t="s">
        <v>383</v>
      </c>
      <c r="D58" s="203">
        <v>1</v>
      </c>
      <c r="E58" s="203" t="s">
        <v>382</v>
      </c>
      <c r="F58" s="203">
        <v>14000</v>
      </c>
      <c r="G58" s="203">
        <f t="shared" si="6"/>
        <v>14000</v>
      </c>
      <c r="H58" s="206"/>
    </row>
    <row r="59" spans="2:8" ht="15.75" customHeight="1">
      <c r="B59" s="204" t="str">
        <f>HYPERLINK("https://articulo.mercadolibre.com.ar/MLA-721959620-mesa-comedor-industrial-h-madera-hierro-160x80x5cm-_JM","Mesa para comedor estilo industrial")</f>
        <v>Mesa para comedor estilo industrial</v>
      </c>
      <c r="C59" s="203" t="s">
        <v>384</v>
      </c>
      <c r="D59" s="203">
        <v>4</v>
      </c>
      <c r="E59" s="203" t="s">
        <v>382</v>
      </c>
      <c r="F59" s="203">
        <v>6200</v>
      </c>
      <c r="G59" s="203">
        <f t="shared" si="6"/>
        <v>24800</v>
      </c>
      <c r="H59" s="206"/>
    </row>
    <row r="60" spans="2:8" ht="15.75" customHeight="1">
      <c r="B60" s="204" t="e">
        <f>HYPERLINK("https://articulo.mercadolibre.com.ar/MLA-616083985-sillas-plasticas-apilables-malba-diseno-comedor-cocina-gtia-_JM#reco_item_pos=1&amp;reco_backend=machinalis-seller-items&amp;reco_backend_type=low_level&amp;reco_client=vip-seller_items-above&amp;reco_id=faa63eb2-a8d2-43"&amp;"42-9fd3-a206a74f0558","Sillas para comedor")</f>
        <v>#VALUE!</v>
      </c>
      <c r="C60" s="203" t="s">
        <v>385</v>
      </c>
      <c r="D60" s="203">
        <v>16</v>
      </c>
      <c r="E60" s="203" t="s">
        <v>382</v>
      </c>
      <c r="F60" s="203">
        <v>945</v>
      </c>
      <c r="G60" s="203">
        <f t="shared" si="6"/>
        <v>15120</v>
      </c>
      <c r="H60" s="206"/>
    </row>
    <row r="61" spans="2:8" ht="15.75" customHeight="1">
      <c r="B61" s="204" t="e">
        <f>HYPERLINK("https://articulo.mercadolibre.com.ar/MLA-652746596-mesa-de-reunion-180x090-oficina-tapa-25-mm-color-a-elecci-_JM#reco_item_pos=0&amp;reco_backend=machinalis-seller-items&amp;reco_backend_type=low_level&amp;reco_client=vip-seller_items-above&amp;reco_id=4f10ca4b-27c8-4801"&amp;"-a207-00d812c44482","Mesa de reunión")</f>
        <v>#VALUE!</v>
      </c>
      <c r="C61" s="203" t="s">
        <v>386</v>
      </c>
      <c r="D61" s="203">
        <v>1</v>
      </c>
      <c r="E61" s="203" t="s">
        <v>371</v>
      </c>
      <c r="F61" s="203">
        <v>4000</v>
      </c>
      <c r="G61" s="203">
        <f t="shared" si="6"/>
        <v>4000</v>
      </c>
      <c r="H61" s="206"/>
    </row>
    <row r="62" spans="2:8" ht="15.75" customHeight="1">
      <c r="B62" s="204" t="str">
        <f>HYPERLINK("https://articulo.mercadolibre.com.ar/MLA-721528381-notebook-gamer-dell-156-core-i7-ram-8gb-i7567-i781tgbw-_JM","Notebook")</f>
        <v>Notebook</v>
      </c>
      <c r="C62" s="203" t="s">
        <v>388</v>
      </c>
      <c r="D62" s="203">
        <v>2</v>
      </c>
      <c r="E62" s="203" t="s">
        <v>389</v>
      </c>
      <c r="F62" s="203">
        <v>60289</v>
      </c>
      <c r="G62" s="203">
        <f t="shared" si="6"/>
        <v>120578</v>
      </c>
      <c r="H62" s="206"/>
    </row>
    <row r="63" spans="2:8" ht="15.75" customHeight="1">
      <c r="B63" s="204" t="str">
        <f>HYPERLINK("https://articulo.mercadolibre.com.ar/MLA-696821102-telefono-philips-crd150b77-_JM","Teléfono fijo alámbrico")</f>
        <v>Teléfono fijo alámbrico</v>
      </c>
      <c r="C63" s="203" t="s">
        <v>278</v>
      </c>
      <c r="D63" s="203">
        <v>2</v>
      </c>
      <c r="E63" s="203" t="s">
        <v>391</v>
      </c>
      <c r="F63" s="203">
        <v>849</v>
      </c>
      <c r="G63" s="203">
        <f t="shared" si="6"/>
        <v>1698</v>
      </c>
      <c r="H63" s="206"/>
    </row>
    <row r="64" spans="2:8" ht="15.75" customHeight="1">
      <c r="B64" s="204" t="str">
        <f>HYPERLINK("https://articulo.mercadolibre.com.ar/MLA-664907154-inodoro-largo-deposito-apoyar-tapa-mochila-deca-marajo-envio-_JM","Inodoro con mochila y tapa")</f>
        <v>Inodoro con mochila y tapa</v>
      </c>
      <c r="C64" s="203" t="s">
        <v>278</v>
      </c>
      <c r="D64" s="203">
        <v>4</v>
      </c>
      <c r="E64" s="203" t="s">
        <v>181</v>
      </c>
      <c r="F64" s="203">
        <v>5892</v>
      </c>
      <c r="G64" s="203">
        <f t="shared" si="6"/>
        <v>23568</v>
      </c>
      <c r="H64" s="206"/>
    </row>
    <row r="65" spans="2:8" ht="15.75" customHeight="1">
      <c r="B65" s="204" t="str">
        <f>HYPERLINK("https://articulo.mercadolibre.com.ar/MLA-631099001-lavamanos-bacha-rara-apoyo-con-desague-ciego-raya-deca-l87-_JM","Bacha lavamanos")</f>
        <v>Bacha lavamanos</v>
      </c>
      <c r="C65" s="203" t="s">
        <v>278</v>
      </c>
      <c r="D65" s="203">
        <v>4</v>
      </c>
      <c r="E65" s="203" t="s">
        <v>181</v>
      </c>
      <c r="F65" s="203">
        <v>6218</v>
      </c>
      <c r="G65" s="203">
        <f t="shared" si="6"/>
        <v>24872</v>
      </c>
      <c r="H65" s="206"/>
    </row>
    <row r="66" spans="2:8" ht="15.75" customHeight="1">
      <c r="B66" s="204" t="str">
        <f>HYPERLINK("https://articulo.mercadolibre.com.ar/MLA-742488680-espejo-50-x-60-cm-con-marco-de-madera-listo-para-colgar-_JM","Espejo con marco")</f>
        <v>Espejo con marco</v>
      </c>
      <c r="C66" s="203" t="s">
        <v>278</v>
      </c>
      <c r="D66" s="203">
        <v>4</v>
      </c>
      <c r="E66" s="203" t="s">
        <v>181</v>
      </c>
      <c r="F66" s="203">
        <v>450</v>
      </c>
      <c r="G66" s="203">
        <f t="shared" si="6"/>
        <v>1800</v>
      </c>
      <c r="H66" s="206"/>
    </row>
    <row r="67" spans="2:8" ht="15.75" customHeight="1">
      <c r="B67" s="201" t="s">
        <v>395</v>
      </c>
      <c r="C67" s="203" t="s">
        <v>278</v>
      </c>
      <c r="D67" s="203">
        <v>4</v>
      </c>
      <c r="E67" s="203" t="s">
        <v>181</v>
      </c>
      <c r="F67" s="203"/>
      <c r="G67" s="203">
        <f t="shared" si="6"/>
        <v>0</v>
      </c>
      <c r="H67" s="196"/>
    </row>
    <row r="68" spans="2:8" ht="15.75" customHeight="1">
      <c r="B68" s="204" t="str">
        <f>HYPERLINK("https://articulo.mercadolibre.com.ar/MLA-711384959-luz-de-emergencia-alic-100-leds-_JM","Luz de emergencia")</f>
        <v>Luz de emergencia</v>
      </c>
      <c r="C68" s="203" t="s">
        <v>397</v>
      </c>
      <c r="D68" s="203">
        <v>20</v>
      </c>
      <c r="E68" s="203" t="s">
        <v>398</v>
      </c>
      <c r="F68" s="203">
        <v>1286</v>
      </c>
      <c r="G68" s="203">
        <f t="shared" si="6"/>
        <v>25720</v>
      </c>
      <c r="H68" s="206"/>
    </row>
    <row r="69" spans="2:8" ht="15.75" customHeight="1">
      <c r="B69" s="204" t="str">
        <f>HYPERLINK("https://articulo.mercadolibre.com.ar/MLA-637503000-matafuego-5kg-abc-ctarjeta-baliza-soporte-habilitacion-_JM","Matafuego ABC")</f>
        <v>Matafuego ABC</v>
      </c>
      <c r="C69" s="203" t="s">
        <v>399</v>
      </c>
      <c r="D69" s="203">
        <v>12</v>
      </c>
      <c r="E69" s="203" t="s">
        <v>398</v>
      </c>
      <c r="F69" s="203">
        <v>2200</v>
      </c>
      <c r="G69" s="203">
        <f t="shared" si="6"/>
        <v>26400</v>
      </c>
      <c r="H69" s="206"/>
    </row>
    <row r="70" spans="2:8" ht="15.75" customHeight="1">
      <c r="B70" s="204" t="str">
        <f>HYPERLINK("https://articulo.mercadolibre.com.ar/MLA-615175216-tacho-de-basura-25lts-colombraro-cesto-p-residuos-_JM","Cestos de basura")</f>
        <v>Cestos de basura</v>
      </c>
      <c r="C70" s="203" t="s">
        <v>278</v>
      </c>
      <c r="D70" s="203">
        <v>30</v>
      </c>
      <c r="E70" s="203" t="s">
        <v>398</v>
      </c>
      <c r="F70" s="203">
        <v>395</v>
      </c>
      <c r="G70" s="203">
        <f t="shared" si="6"/>
        <v>11850</v>
      </c>
      <c r="H70" s="206"/>
    </row>
    <row r="71" spans="2:8" ht="15.75" customHeight="1">
      <c r="B71" s="204" t="str">
        <f>HYPERLINK("https://articulo.mercadolibre.com.ar/MLA-745717967-racks-de-hierro-para-deposito-_JM","Estanterías para depósito y almacenes")</f>
        <v>Estanterías para depósito y almacenes</v>
      </c>
      <c r="C71" s="203" t="s">
        <v>278</v>
      </c>
      <c r="D71" s="203">
        <v>5</v>
      </c>
      <c r="E71" s="203" t="s">
        <v>401</v>
      </c>
      <c r="F71" s="203">
        <v>3000</v>
      </c>
      <c r="G71" s="203">
        <f t="shared" si="6"/>
        <v>15000</v>
      </c>
      <c r="H71" s="206"/>
    </row>
    <row r="72" spans="2:8" ht="15.75" customHeight="1">
      <c r="B72" s="201" t="s">
        <v>152</v>
      </c>
      <c r="C72" s="203" t="s">
        <v>278</v>
      </c>
      <c r="D72" s="203">
        <v>2</v>
      </c>
      <c r="E72" s="203" t="s">
        <v>402</v>
      </c>
      <c r="F72" s="203" t="s">
        <v>278</v>
      </c>
      <c r="G72" s="203">
        <v>0</v>
      </c>
      <c r="H72" s="225" t="s">
        <v>403</v>
      </c>
    </row>
    <row r="73" spans="2:8" ht="15.75" customHeight="1">
      <c r="B73" s="201" t="s">
        <v>405</v>
      </c>
      <c r="C73" s="203" t="s">
        <v>406</v>
      </c>
      <c r="D73" s="203">
        <v>1</v>
      </c>
      <c r="E73" s="203" t="s">
        <v>407</v>
      </c>
      <c r="F73" s="203" t="s">
        <v>278</v>
      </c>
      <c r="G73" s="203">
        <v>0</v>
      </c>
      <c r="H73" s="196"/>
    </row>
    <row r="74" spans="2:8" ht="15.75" customHeight="1">
      <c r="B74" s="204" t="str">
        <f>HYPERLINK("https://articulo.mercadolibre.com.ar/MLA-616073189-juego-de-herramientas-con-tablero-profesional-9962340-_JM","Tablero de herramientas")</f>
        <v>Tablero de herramientas</v>
      </c>
      <c r="C74" s="203" t="s">
        <v>408</v>
      </c>
      <c r="D74" s="203">
        <v>1</v>
      </c>
      <c r="E74" s="203" t="s">
        <v>407</v>
      </c>
      <c r="F74" s="203">
        <v>25895</v>
      </c>
      <c r="G74" s="203">
        <f t="shared" ref="G74:G79" si="7">F74*D74</f>
        <v>25895</v>
      </c>
      <c r="H74" s="206"/>
    </row>
    <row r="75" spans="2:8" ht="15.75" customHeight="1">
      <c r="B75" s="204" t="str">
        <f>HYPERLINK("https://articulo.mercadolibre.com.ar/MLA-699940293-uni-t-tester-multimetro-digital-ut61a-detector-voltaje-hfe-_JM","Multímetro digital")</f>
        <v>Multímetro digital</v>
      </c>
      <c r="C75" s="203" t="s">
        <v>410</v>
      </c>
      <c r="D75" s="203">
        <v>1</v>
      </c>
      <c r="E75" s="203" t="s">
        <v>407</v>
      </c>
      <c r="F75" s="203">
        <v>2687</v>
      </c>
      <c r="G75" s="203">
        <f t="shared" si="7"/>
        <v>2687</v>
      </c>
      <c r="H75" s="206"/>
    </row>
    <row r="76" spans="2:8" ht="15.75" customHeight="1">
      <c r="B76" s="204" t="str">
        <f>HYPERLINK("https://articulo.mercadolibre.com.ar/MLA-617020694-soldador-lapiz-100w-goot-japon-electroni-vitraux-punta-plana-_JM","Soldador lápiz")</f>
        <v>Soldador lápiz</v>
      </c>
      <c r="C76" s="203" t="s">
        <v>413</v>
      </c>
      <c r="D76" s="203">
        <v>1</v>
      </c>
      <c r="E76" s="203" t="s">
        <v>407</v>
      </c>
      <c r="F76" s="203">
        <v>1251</v>
      </c>
      <c r="G76" s="203">
        <f t="shared" si="7"/>
        <v>1251</v>
      </c>
      <c r="H76" s="206"/>
    </row>
    <row r="77" spans="2:8" ht="15.75" customHeight="1">
      <c r="B77" s="204" t="str">
        <f>HYPERLINK("https://articulo.mercadolibre.com.ar/MLA-663100142-taladro-percutor-makita-710w-hp1630-_JM","Taladro de mano")</f>
        <v>Taladro de mano</v>
      </c>
      <c r="C77" s="203" t="s">
        <v>414</v>
      </c>
      <c r="D77" s="203">
        <v>1</v>
      </c>
      <c r="E77" s="203" t="s">
        <v>407</v>
      </c>
      <c r="F77" s="203">
        <v>3780</v>
      </c>
      <c r="G77" s="203">
        <f t="shared" si="7"/>
        <v>3780</v>
      </c>
      <c r="H77" s="206"/>
    </row>
    <row r="78" spans="2:8" ht="15.75" customHeight="1">
      <c r="B78" s="229" t="str">
        <f>HYPERLINK("https://articulo.mercadolibre.com.ar/MLA-613496234-amoladora-angular-bosch-gws-7-115-et-velocidad-variable-_JM","Amoladora de mano")</f>
        <v>Amoladora de mano</v>
      </c>
      <c r="C78" s="230" t="s">
        <v>418</v>
      </c>
      <c r="D78" s="230">
        <v>1</v>
      </c>
      <c r="E78" s="230" t="s">
        <v>407</v>
      </c>
      <c r="F78" s="230">
        <v>3900</v>
      </c>
      <c r="G78" s="230">
        <f t="shared" si="7"/>
        <v>3900</v>
      </c>
      <c r="H78" s="206"/>
    </row>
    <row r="79" spans="2:8" ht="15.75" customHeight="1">
      <c r="B79" s="231" t="str">
        <f>HYPERLINK("https://articulo.mercadolibre.com.ar/MLA-617380571-carro-carreta-carrito-carretilla-zorra-reforz-fabrica-_JM","Zorra")</f>
        <v>Zorra</v>
      </c>
      <c r="C79" s="232" t="s">
        <v>420</v>
      </c>
      <c r="D79" s="232">
        <v>3</v>
      </c>
      <c r="E79" s="232" t="s">
        <v>402</v>
      </c>
      <c r="F79" s="232">
        <v>1650</v>
      </c>
      <c r="G79" s="232">
        <f t="shared" si="7"/>
        <v>4950</v>
      </c>
      <c r="H79" s="206"/>
    </row>
    <row r="80" spans="2:8" ht="15.75" customHeight="1">
      <c r="B80" s="196"/>
      <c r="C80" s="196"/>
      <c r="D80" s="196"/>
      <c r="E80" s="196"/>
      <c r="F80" s="196"/>
      <c r="G80" s="196"/>
      <c r="H80" s="196"/>
    </row>
    <row r="81" spans="1:8" ht="15.75" customHeight="1">
      <c r="B81" s="196"/>
      <c r="C81" s="196"/>
      <c r="D81" s="196"/>
      <c r="E81" s="167" t="s">
        <v>160</v>
      </c>
      <c r="F81" s="233"/>
      <c r="G81" s="234">
        <f>SUM(G46:G79)</f>
        <v>1144687.32</v>
      </c>
      <c r="H81" s="196"/>
    </row>
    <row r="82" spans="1:8" ht="15.75" customHeight="1"/>
    <row r="83" spans="1:8" ht="15.75" customHeight="1">
      <c r="A83" s="637" t="s">
        <v>421</v>
      </c>
      <c r="B83" s="613"/>
      <c r="C83" s="613"/>
      <c r="D83" s="613"/>
    </row>
    <row r="84" spans="1:8" ht="15.75" customHeight="1"/>
    <row r="85" spans="1:8" ht="15.75" customHeight="1">
      <c r="B85" s="235" t="str">
        <f>HYPERLINK("http://www.portalsocietario.com.ar/constitucionsrl-ciudad.html","ALTA DE LA SOCIEDAD SRL")</f>
        <v>ALTA DE LA SOCIEDAD SRL</v>
      </c>
      <c r="C85" s="169">
        <v>16160</v>
      </c>
      <c r="D85" s="156"/>
    </row>
    <row r="86" spans="1:8" ht="15.75" customHeight="1"/>
    <row r="87" spans="1:8" ht="15.75" customHeight="1"/>
    <row r="88" spans="1:8" ht="15.75" customHeight="1">
      <c r="B88" s="236"/>
      <c r="C88" s="237" t="s">
        <v>422</v>
      </c>
      <c r="D88" s="236"/>
      <c r="E88" s="236"/>
      <c r="F88" s="236"/>
      <c r="G88" s="236"/>
    </row>
    <row r="89" spans="1:8" ht="15.75" customHeight="1">
      <c r="B89" s="238" t="s">
        <v>423</v>
      </c>
      <c r="C89" s="239" t="s">
        <v>424</v>
      </c>
      <c r="D89" s="240" t="s">
        <v>425</v>
      </c>
      <c r="E89" s="241"/>
      <c r="F89" s="236"/>
      <c r="G89" s="236"/>
    </row>
    <row r="90" spans="1:8" ht="15.75" customHeight="1">
      <c r="B90" s="242"/>
      <c r="C90" s="243">
        <v>3</v>
      </c>
      <c r="D90" s="244">
        <f>C90*150</f>
        <v>450</v>
      </c>
      <c r="E90" s="241"/>
      <c r="F90" s="236"/>
      <c r="G90" s="236"/>
    </row>
    <row r="91" spans="1:8" ht="15.75" customHeight="1">
      <c r="B91" s="245" t="s">
        <v>426</v>
      </c>
      <c r="C91" s="246" t="s">
        <v>427</v>
      </c>
      <c r="D91" s="247" t="s">
        <v>428</v>
      </c>
      <c r="E91" s="248"/>
      <c r="F91" s="236"/>
      <c r="G91" s="236"/>
    </row>
    <row r="92" spans="1:8" ht="15.75" customHeight="1">
      <c r="B92" s="245" t="s">
        <v>429</v>
      </c>
      <c r="C92" s="246">
        <f>30*InfoInicial!$B$32+5*InfoInicial!$B$32*D90</f>
        <v>93480</v>
      </c>
      <c r="D92" s="249"/>
      <c r="E92" s="248"/>
      <c r="F92" s="236"/>
      <c r="G92" s="236"/>
    </row>
    <row r="93" spans="1:8" ht="15.75" customHeight="1"/>
    <row r="94" spans="1:8" ht="15.75" customHeight="1"/>
    <row r="95" spans="1:8" ht="15.75" customHeight="1">
      <c r="A95" s="637" t="s">
        <v>430</v>
      </c>
      <c r="B95" s="613"/>
      <c r="C95" s="613"/>
      <c r="D95" s="613"/>
    </row>
    <row r="96" spans="1:8" ht="15.75" customHeight="1"/>
    <row r="97" spans="1:9" ht="15.75" customHeight="1">
      <c r="A97" s="250" t="s">
        <v>431</v>
      </c>
    </row>
    <row r="98" spans="1:9" ht="15.75" customHeight="1"/>
    <row r="99" spans="1:9" ht="15.75" customHeight="1">
      <c r="C99" s="643" t="s">
        <v>432</v>
      </c>
      <c r="D99" s="644"/>
      <c r="E99" s="644"/>
      <c r="F99" s="644"/>
      <c r="G99" s="644"/>
      <c r="H99" s="644"/>
      <c r="I99" s="645"/>
    </row>
    <row r="100" spans="1:9" ht="15.75" customHeight="1">
      <c r="C100" s="646"/>
      <c r="D100" s="595"/>
      <c r="E100" s="595"/>
      <c r="F100" s="595"/>
      <c r="G100" s="595"/>
      <c r="H100" s="595"/>
      <c r="I100" s="647"/>
    </row>
    <row r="101" spans="1:9" ht="15.75" customHeight="1">
      <c r="C101" s="141"/>
      <c r="D101" s="138" t="s">
        <v>433</v>
      </c>
      <c r="E101" s="138" t="s">
        <v>434</v>
      </c>
      <c r="F101" s="138" t="s">
        <v>435</v>
      </c>
      <c r="G101" s="138" t="s">
        <v>436</v>
      </c>
      <c r="H101" s="138" t="s">
        <v>437</v>
      </c>
      <c r="I101" s="143" t="s">
        <v>75</v>
      </c>
    </row>
    <row r="102" spans="1:9" ht="15.75" customHeight="1">
      <c r="C102" s="141" t="s">
        <v>438</v>
      </c>
      <c r="D102" s="138">
        <v>30</v>
      </c>
      <c r="E102" s="138" t="s">
        <v>439</v>
      </c>
      <c r="F102" s="138">
        <f>InfoInicial!$B$32*D102</f>
        <v>1230</v>
      </c>
      <c r="G102" s="138">
        <f>0.11*F102</f>
        <v>135.30000000000001</v>
      </c>
      <c r="H102" s="138">
        <v>99</v>
      </c>
      <c r="I102" s="143">
        <f t="shared" ref="I102:I106" si="8">(F102+G102)*H102</f>
        <v>135164.69999999998</v>
      </c>
    </row>
    <row r="103" spans="1:9" ht="15.75" customHeight="1">
      <c r="C103" s="141" t="s">
        <v>440</v>
      </c>
      <c r="D103" s="138">
        <v>2.5</v>
      </c>
      <c r="E103" s="138" t="s">
        <v>439</v>
      </c>
      <c r="F103" s="138">
        <f>InfoInicial!$B$32*D103</f>
        <v>102.5</v>
      </c>
      <c r="G103" s="138">
        <f>0.0001</f>
        <v>1E-4</v>
      </c>
      <c r="H103" s="138">
        <v>14850</v>
      </c>
      <c r="I103" s="143">
        <f t="shared" si="8"/>
        <v>1522126.4850000001</v>
      </c>
    </row>
    <row r="104" spans="1:9" ht="15.75" customHeight="1">
      <c r="C104" s="141" t="s">
        <v>441</v>
      </c>
      <c r="D104" s="138">
        <v>0.1</v>
      </c>
      <c r="E104" s="138" t="s">
        <v>439</v>
      </c>
      <c r="F104" s="138">
        <f>InfoInicial!$B$32*D104</f>
        <v>4.1000000000000005</v>
      </c>
      <c r="G104" s="138">
        <f>0.11*F104</f>
        <v>0.45100000000000007</v>
      </c>
      <c r="H104" s="138">
        <f t="shared" ref="H104:H106" si="9">H103</f>
        <v>14850</v>
      </c>
      <c r="I104" s="143">
        <f t="shared" si="8"/>
        <v>67582.350000000006</v>
      </c>
    </row>
    <row r="105" spans="1:9" ht="15.75" customHeight="1">
      <c r="C105" s="141" t="s">
        <v>442</v>
      </c>
      <c r="D105" s="138">
        <v>50</v>
      </c>
      <c r="E105" s="138" t="s">
        <v>443</v>
      </c>
      <c r="F105" s="138">
        <f t="shared" ref="F105:F106" si="10">D105</f>
        <v>50</v>
      </c>
      <c r="G105" s="138">
        <f t="shared" ref="G105:G106" si="11">0.05*F105</f>
        <v>2.5</v>
      </c>
      <c r="H105" s="138">
        <f t="shared" si="9"/>
        <v>14850</v>
      </c>
      <c r="I105" s="143">
        <f t="shared" si="8"/>
        <v>779625</v>
      </c>
    </row>
    <row r="106" spans="1:9" ht="15.75" customHeight="1">
      <c r="C106" s="152" t="s">
        <v>444</v>
      </c>
      <c r="D106" s="148">
        <f>8*1.21</f>
        <v>9.68</v>
      </c>
      <c r="E106" s="148" t="s">
        <v>443</v>
      </c>
      <c r="F106" s="148">
        <f t="shared" si="10"/>
        <v>9.68</v>
      </c>
      <c r="G106" s="148">
        <f t="shared" si="11"/>
        <v>0.48399999999999999</v>
      </c>
      <c r="H106" s="148">
        <f t="shared" si="9"/>
        <v>14850</v>
      </c>
      <c r="I106" s="153">
        <f t="shared" si="8"/>
        <v>150935.4</v>
      </c>
    </row>
    <row r="107" spans="1:9" ht="15.75" customHeight="1">
      <c r="C107" s="251" t="s">
        <v>160</v>
      </c>
      <c r="D107" s="252"/>
      <c r="E107" s="252"/>
      <c r="F107" s="252"/>
      <c r="G107" s="252"/>
      <c r="H107" s="252"/>
      <c r="I107" s="253">
        <f>SUM(I102:I106)</f>
        <v>2655433.9350000001</v>
      </c>
    </row>
    <row r="108" spans="1:9" ht="15.75" customHeight="1"/>
    <row r="109" spans="1:9" ht="15.75" customHeight="1">
      <c r="C109" s="254" t="s">
        <v>445</v>
      </c>
      <c r="E109" s="138" t="s">
        <v>446</v>
      </c>
      <c r="F109" s="138">
        <v>1516.19</v>
      </c>
      <c r="H109" s="156" t="s">
        <v>447</v>
      </c>
      <c r="I109" s="255">
        <f>I107/H105</f>
        <v>178.81710000000001</v>
      </c>
    </row>
    <row r="110" spans="1:9" ht="15.75" customHeight="1">
      <c r="E110" s="138" t="s">
        <v>448</v>
      </c>
      <c r="F110" s="138">
        <v>1155.52</v>
      </c>
      <c r="H110" s="156" t="s">
        <v>449</v>
      </c>
      <c r="I110" s="255">
        <f>I107/F109</f>
        <v>1751.3859971375618</v>
      </c>
    </row>
    <row r="111" spans="1:9" ht="15.75" customHeight="1">
      <c r="E111" s="138" t="s">
        <v>450</v>
      </c>
      <c r="F111" s="138">
        <f>F109/F110</f>
        <v>1.3121278731653283</v>
      </c>
    </row>
    <row r="112" spans="1:9" ht="15.75" customHeight="1">
      <c r="E112" s="138" t="s">
        <v>39</v>
      </c>
      <c r="F112" s="256">
        <f>I110*F109</f>
        <v>2655433.9350000001</v>
      </c>
    </row>
    <row r="113" spans="3:10" ht="15.75" customHeight="1">
      <c r="E113" s="138" t="s">
        <v>451</v>
      </c>
      <c r="F113" s="256">
        <f>F112/H104</f>
        <v>178.81710000000001</v>
      </c>
    </row>
    <row r="114" spans="3:10" ht="15.75" customHeight="1"/>
    <row r="115" spans="3:10" ht="15.75" customHeight="1">
      <c r="C115" s="254" t="s">
        <v>452</v>
      </c>
    </row>
    <row r="116" spans="3:10" ht="15.75" customHeight="1">
      <c r="C116" t="s">
        <v>453</v>
      </c>
    </row>
    <row r="117" spans="3:10" ht="15.75" customHeight="1"/>
    <row r="118" spans="3:10" ht="15.75" customHeight="1">
      <c r="C118" s="608" t="s">
        <v>122</v>
      </c>
      <c r="D118" s="589"/>
      <c r="E118" s="589"/>
      <c r="F118" s="589"/>
      <c r="G118" s="590"/>
      <c r="H118" s="66">
        <v>0.23787994209149943</v>
      </c>
    </row>
    <row r="119" spans="3:10" ht="15.75" customHeight="1">
      <c r="C119" s="608" t="s">
        <v>155</v>
      </c>
      <c r="D119" s="589"/>
      <c r="E119" s="589"/>
      <c r="F119" s="589"/>
      <c r="G119" s="590"/>
      <c r="H119" s="66">
        <v>0.23787994209149943</v>
      </c>
    </row>
    <row r="120" spans="3:10" ht="15.75" customHeight="1"/>
    <row r="121" spans="3:10" ht="15.75" customHeight="1">
      <c r="C121" s="651" t="s">
        <v>10</v>
      </c>
      <c r="D121" s="589"/>
      <c r="E121" s="590"/>
      <c r="F121" s="257">
        <v>96.292916666666656</v>
      </c>
      <c r="G121" s="17" t="s">
        <v>13</v>
      </c>
    </row>
    <row r="122" spans="3:10" ht="15.75" customHeight="1">
      <c r="F122" s="258">
        <v>1237.5</v>
      </c>
      <c r="G122" s="49" t="s">
        <v>14</v>
      </c>
    </row>
    <row r="123" spans="3:10" ht="15.75" customHeight="1"/>
    <row r="124" spans="3:10" ht="15.75" customHeight="1"/>
    <row r="125" spans="3:10" ht="15.75" customHeight="1">
      <c r="C125" s="9" t="s">
        <v>15</v>
      </c>
      <c r="D125" s="9" t="s">
        <v>17</v>
      </c>
      <c r="E125" s="9" t="s">
        <v>18</v>
      </c>
      <c r="F125" s="9" t="s">
        <v>19</v>
      </c>
      <c r="G125" s="9" t="s">
        <v>20</v>
      </c>
      <c r="H125" s="9" t="s">
        <v>21</v>
      </c>
      <c r="I125" s="9" t="s">
        <v>22</v>
      </c>
      <c r="J125" s="9" t="s">
        <v>23</v>
      </c>
    </row>
    <row r="126" spans="3:10" ht="15.75" customHeight="1">
      <c r="C126" s="11">
        <v>1</v>
      </c>
      <c r="D126" s="13">
        <v>0</v>
      </c>
      <c r="E126" s="13">
        <v>4.4999999999999998E-2</v>
      </c>
      <c r="F126" s="13">
        <v>2.2499999999999999E-2</v>
      </c>
      <c r="G126" s="15">
        <v>96.292916666666656</v>
      </c>
      <c r="H126" s="15">
        <v>1237.5</v>
      </c>
      <c r="I126" s="16">
        <v>2.1665906249999995</v>
      </c>
      <c r="J126" s="19">
        <v>27.84375</v>
      </c>
    </row>
    <row r="127" spans="3:10" ht="15.75" customHeight="1">
      <c r="C127" s="21">
        <v>2</v>
      </c>
      <c r="D127" s="22">
        <v>4.4999999999999998E-2</v>
      </c>
      <c r="E127" s="22">
        <v>0.17</v>
      </c>
      <c r="F127" s="22">
        <v>0.10750000000000001</v>
      </c>
      <c r="G127" s="18">
        <v>96.292916666666656</v>
      </c>
      <c r="H127" s="18">
        <v>1237.5</v>
      </c>
      <c r="I127" s="10">
        <v>10.351488541666667</v>
      </c>
      <c r="J127" s="23">
        <v>133.03125000000003</v>
      </c>
    </row>
    <row r="128" spans="3:10" ht="15.75" customHeight="1">
      <c r="C128" s="24">
        <v>3</v>
      </c>
      <c r="D128" s="29">
        <v>0.17</v>
      </c>
      <c r="E128" s="29">
        <v>1</v>
      </c>
      <c r="F128" s="29">
        <v>0.58499999999999996</v>
      </c>
      <c r="G128" s="32">
        <v>96.292916666666656</v>
      </c>
      <c r="H128" s="32">
        <v>1237.5</v>
      </c>
      <c r="I128" s="34">
        <v>56.331356249999992</v>
      </c>
      <c r="J128" s="37">
        <v>723.9375</v>
      </c>
    </row>
    <row r="129" spans="3:10" ht="15.75" customHeight="1">
      <c r="H129" s="38" t="s">
        <v>61</v>
      </c>
      <c r="I129" s="39">
        <v>68.849435416666665</v>
      </c>
      <c r="J129" s="40">
        <v>884.8125</v>
      </c>
    </row>
    <row r="130" spans="3:10" ht="15.75" customHeight="1"/>
    <row r="131" spans="3:10" ht="15.75" customHeight="1">
      <c r="C131" s="585" t="s">
        <v>77</v>
      </c>
      <c r="D131" s="586"/>
      <c r="E131" s="586"/>
      <c r="F131" s="587"/>
      <c r="G131" s="41">
        <v>866.6362499999999</v>
      </c>
      <c r="H131" s="42" t="s">
        <v>28</v>
      </c>
    </row>
    <row r="132" spans="3:10" ht="15.75" customHeight="1">
      <c r="G132" s="14">
        <v>11137.5</v>
      </c>
      <c r="H132" s="42" t="s">
        <v>80</v>
      </c>
    </row>
    <row r="133" spans="3:10" ht="15.75" customHeight="1">
      <c r="C133" s="4" t="s">
        <v>81</v>
      </c>
      <c r="D133" s="6"/>
      <c r="E133" s="6">
        <v>9</v>
      </c>
    </row>
    <row r="134" spans="3:10" ht="15.75" customHeight="1"/>
    <row r="135" spans="3:10" ht="15.75" customHeight="1">
      <c r="C135" s="259" t="s">
        <v>82</v>
      </c>
      <c r="D135" s="260"/>
      <c r="E135" s="261">
        <v>935.48568541666657</v>
      </c>
      <c r="F135" s="42" t="s">
        <v>28</v>
      </c>
    </row>
    <row r="136" spans="3:10" ht="15.75" customHeight="1">
      <c r="D136" s="262"/>
      <c r="E136" s="263">
        <v>12022.3125</v>
      </c>
      <c r="F136" s="264" t="s">
        <v>80</v>
      </c>
    </row>
    <row r="137" spans="3:10" ht="15.75" customHeight="1"/>
    <row r="138" spans="3:10" ht="15.75" customHeight="1">
      <c r="C138" s="259" t="s">
        <v>84</v>
      </c>
      <c r="D138" s="265"/>
      <c r="E138" s="266">
        <v>1155.5149999999999</v>
      </c>
      <c r="F138" s="42" t="s">
        <v>28</v>
      </c>
    </row>
    <row r="139" spans="3:10" ht="15.75" customHeight="1">
      <c r="D139" s="12"/>
      <c r="E139" s="267">
        <v>14850</v>
      </c>
      <c r="F139" s="264" t="s">
        <v>80</v>
      </c>
    </row>
    <row r="140" spans="3:10" ht="15.75" customHeight="1"/>
    <row r="141" spans="3:10" ht="15.75" customHeight="1"/>
    <row r="142" spans="3:10" ht="15.75" customHeight="1"/>
    <row r="143" spans="3:10" ht="15.75" customHeight="1">
      <c r="C143" s="588" t="s">
        <v>27</v>
      </c>
      <c r="D143" s="589"/>
      <c r="E143" s="589"/>
      <c r="F143" s="589"/>
      <c r="G143" s="589"/>
      <c r="H143" s="590"/>
      <c r="I143" s="10">
        <v>101.60523483656486</v>
      </c>
      <c r="J143" s="17" t="s">
        <v>28</v>
      </c>
    </row>
    <row r="144" spans="3:10" ht="15.75" customHeight="1">
      <c r="C144" s="592" t="s">
        <v>30</v>
      </c>
      <c r="D144" s="589"/>
      <c r="E144" s="589"/>
      <c r="F144" s="589"/>
      <c r="G144" s="589"/>
      <c r="H144" s="590"/>
      <c r="I144" s="18">
        <v>1072.791630964394</v>
      </c>
      <c r="J144" s="17" t="s">
        <v>28</v>
      </c>
    </row>
    <row r="145" spans="3:12" ht="15.75" customHeight="1">
      <c r="C145" s="588" t="s">
        <v>34</v>
      </c>
      <c r="D145" s="589"/>
      <c r="E145" s="589"/>
      <c r="F145" s="589"/>
      <c r="G145" s="589"/>
      <c r="H145" s="590"/>
      <c r="I145" s="10">
        <v>1174.3968658009589</v>
      </c>
      <c r="J145" s="17" t="s">
        <v>28</v>
      </c>
    </row>
    <row r="146" spans="3:12" ht="15.75" customHeight="1">
      <c r="C146" s="588" t="s">
        <v>37</v>
      </c>
      <c r="D146" s="589"/>
      <c r="E146" s="589"/>
      <c r="F146" s="589"/>
      <c r="G146" s="589"/>
      <c r="H146" s="590"/>
      <c r="I146" s="10">
        <v>935.48568541666657</v>
      </c>
      <c r="J146" s="17" t="s">
        <v>28</v>
      </c>
    </row>
    <row r="147" spans="3:12" ht="15.75" customHeight="1">
      <c r="C147" s="588" t="s">
        <v>38</v>
      </c>
      <c r="D147" s="589"/>
      <c r="E147" s="589"/>
      <c r="F147" s="589"/>
      <c r="G147" s="589"/>
      <c r="H147" s="590"/>
      <c r="I147" s="10">
        <v>238.91118038429238</v>
      </c>
      <c r="J147" s="17" t="s">
        <v>28</v>
      </c>
    </row>
    <row r="148" spans="3:12" ht="15.75" customHeight="1"/>
    <row r="149" spans="3:12" ht="15.75" customHeight="1">
      <c r="C149" s="588" t="s">
        <v>40</v>
      </c>
      <c r="D149" s="589"/>
      <c r="E149" s="589"/>
      <c r="F149" s="589"/>
      <c r="G149" s="589"/>
      <c r="H149" s="590"/>
      <c r="I149" s="10">
        <v>20.769657534246573</v>
      </c>
      <c r="J149" s="17" t="s">
        <v>28</v>
      </c>
      <c r="K149" s="30"/>
      <c r="L149" s="12"/>
    </row>
    <row r="150" spans="3:12" ht="15.75" customHeight="1"/>
    <row r="151" spans="3:12" ht="15.75" customHeight="1">
      <c r="C151" s="629" t="s">
        <v>46</v>
      </c>
      <c r="D151" s="613"/>
      <c r="E151" s="613"/>
      <c r="F151" s="613"/>
    </row>
    <row r="152" spans="3:12" ht="15.75" customHeight="1">
      <c r="C152" s="621" t="s">
        <v>52</v>
      </c>
      <c r="D152" s="589"/>
      <c r="E152" s="589"/>
      <c r="F152" s="589"/>
      <c r="G152" s="589"/>
      <c r="H152" s="590"/>
      <c r="I152" s="10">
        <v>16.778410270671756</v>
      </c>
      <c r="J152" s="17" t="s">
        <v>28</v>
      </c>
    </row>
    <row r="153" spans="3:12" ht="15.75" customHeight="1">
      <c r="C153" s="621" t="s">
        <v>55</v>
      </c>
      <c r="D153" s="589"/>
      <c r="E153" s="589"/>
      <c r="F153" s="589"/>
      <c r="G153" s="589"/>
      <c r="H153" s="590"/>
      <c r="I153" s="10">
        <v>3.9912472635748166</v>
      </c>
      <c r="J153" s="17" t="s">
        <v>28</v>
      </c>
    </row>
    <row r="154" spans="3:12" ht="15.75" customHeight="1">
      <c r="C154" s="621" t="s">
        <v>63</v>
      </c>
      <c r="D154" s="589"/>
      <c r="E154" s="589"/>
      <c r="F154" s="589"/>
      <c r="G154" s="589"/>
      <c r="H154" s="590"/>
      <c r="I154" s="17">
        <v>0</v>
      </c>
      <c r="J154" s="17" t="s">
        <v>28</v>
      </c>
    </row>
    <row r="155" spans="3:12" ht="15.75" customHeight="1">
      <c r="C155" s="622" t="s">
        <v>64</v>
      </c>
      <c r="D155" s="589"/>
      <c r="E155" s="589"/>
      <c r="F155" s="589"/>
      <c r="G155" s="589"/>
      <c r="H155" s="590"/>
      <c r="I155" s="10">
        <v>20.769657534246573</v>
      </c>
      <c r="J155" s="17" t="s">
        <v>28</v>
      </c>
    </row>
    <row r="156" spans="3:12" ht="15.75" customHeight="1"/>
    <row r="157" spans="3:12" ht="15.75" customHeight="1">
      <c r="C157" s="254" t="s">
        <v>69</v>
      </c>
    </row>
    <row r="158" spans="3:12" ht="15.75" customHeight="1">
      <c r="C158" s="621" t="s">
        <v>70</v>
      </c>
      <c r="D158" s="589"/>
      <c r="E158" s="589"/>
      <c r="F158" s="589"/>
      <c r="G158" s="589"/>
      <c r="H158" s="590"/>
      <c r="I158" s="10">
        <v>1174.3968658009589</v>
      </c>
      <c r="J158" s="17" t="s">
        <v>28</v>
      </c>
    </row>
    <row r="159" spans="3:12" ht="15.75" customHeight="1">
      <c r="C159" s="621" t="s">
        <v>72</v>
      </c>
      <c r="D159" s="589"/>
      <c r="E159" s="589"/>
      <c r="F159" s="589"/>
      <c r="G159" s="589"/>
      <c r="H159" s="590"/>
      <c r="I159" s="10">
        <v>20.769657534246573</v>
      </c>
      <c r="J159" s="17" t="s">
        <v>28</v>
      </c>
    </row>
    <row r="160" spans="3:12" ht="15.75" customHeight="1">
      <c r="C160" s="621" t="s">
        <v>74</v>
      </c>
      <c r="D160" s="589"/>
      <c r="E160" s="589"/>
      <c r="F160" s="589"/>
      <c r="G160" s="589"/>
      <c r="H160" s="590"/>
      <c r="I160" s="10">
        <v>1195.1665233352055</v>
      </c>
      <c r="J160" s="17" t="s">
        <v>28</v>
      </c>
    </row>
    <row r="161" spans="1:11" ht="15.75" customHeight="1"/>
    <row r="162" spans="1:11" ht="15.75" customHeight="1">
      <c r="C162" s="254" t="s">
        <v>75</v>
      </c>
    </row>
    <row r="163" spans="1:11" ht="15.75" customHeight="1">
      <c r="C163" s="621" t="s">
        <v>76</v>
      </c>
      <c r="D163" s="589"/>
      <c r="E163" s="589"/>
      <c r="F163" s="589"/>
      <c r="G163" s="589"/>
      <c r="H163" s="590"/>
      <c r="I163" s="10">
        <v>1430.3888412858589</v>
      </c>
      <c r="J163" s="17" t="s">
        <v>28</v>
      </c>
    </row>
    <row r="164" spans="1:11" ht="15.75" customHeight="1">
      <c r="C164" s="621" t="s">
        <v>78</v>
      </c>
      <c r="D164" s="589"/>
      <c r="E164" s="589"/>
      <c r="F164" s="589"/>
      <c r="G164" s="589"/>
      <c r="H164" s="590"/>
      <c r="I164" s="10">
        <v>1155.5149999999999</v>
      </c>
      <c r="J164" s="17" t="s">
        <v>28</v>
      </c>
    </row>
    <row r="165" spans="1:11" ht="15.75" customHeight="1">
      <c r="C165" s="621" t="s">
        <v>79</v>
      </c>
      <c r="D165" s="589"/>
      <c r="E165" s="589"/>
      <c r="F165" s="589"/>
      <c r="G165" s="589"/>
      <c r="H165" s="590"/>
      <c r="I165" s="10">
        <v>274.87384128585904</v>
      </c>
      <c r="J165" s="17" t="s">
        <v>28</v>
      </c>
    </row>
    <row r="166" spans="1:11" ht="15.75" customHeight="1"/>
    <row r="167" spans="1:11" ht="15.75" customHeight="1"/>
    <row r="168" spans="1:11" ht="15.75" customHeight="1">
      <c r="C168" t="s">
        <v>29</v>
      </c>
      <c r="F168">
        <f>I146*F111</f>
        <v>1227.4768427823801</v>
      </c>
      <c r="H168" t="s">
        <v>457</v>
      </c>
      <c r="K168" s="276">
        <f>F168*I110</f>
        <v>2149785.7542596851</v>
      </c>
    </row>
    <row r="169" spans="1:11" ht="15.75" customHeight="1">
      <c r="H169" t="s">
        <v>459</v>
      </c>
      <c r="K169" s="276">
        <f>I110*I159</f>
        <v>36375.68737082211</v>
      </c>
    </row>
    <row r="170" spans="1:11" ht="15.75" customHeight="1">
      <c r="C170" t="s">
        <v>36</v>
      </c>
      <c r="F170" s="277">
        <f>H118*I129</f>
        <v>16.377899709949098</v>
      </c>
      <c r="H170" t="s">
        <v>462</v>
      </c>
      <c r="K170" s="276">
        <f>I110*F170</f>
        <v>28684.024214528185</v>
      </c>
    </row>
    <row r="171" spans="1:11" ht="15.75" customHeight="1"/>
    <row r="172" spans="1:11" ht="15.75" customHeight="1">
      <c r="C172" s="279" t="s">
        <v>203</v>
      </c>
      <c r="D172" s="281"/>
      <c r="E172" s="281"/>
      <c r="F172" s="283">
        <f>I110*I160</f>
        <v>2093197.9132168619</v>
      </c>
      <c r="G172" s="285" t="s">
        <v>465</v>
      </c>
    </row>
    <row r="173" spans="1:11" ht="15.75" customHeight="1"/>
    <row r="174" spans="1:11" ht="15.75" customHeight="1"/>
    <row r="175" spans="1:11" ht="15.75" customHeight="1">
      <c r="A175" s="250" t="s">
        <v>466</v>
      </c>
    </row>
    <row r="176" spans="1:11" ht="15.75" customHeight="1"/>
    <row r="177" spans="2:12" ht="15.75" customHeight="1"/>
    <row r="178" spans="2:12" ht="15.75" customHeight="1">
      <c r="B178" s="156"/>
      <c r="C178" s="156"/>
      <c r="D178" s="156"/>
      <c r="E178" s="156"/>
      <c r="F178" s="623" t="s">
        <v>467</v>
      </c>
      <c r="G178" s="624"/>
      <c r="H178" s="625"/>
    </row>
    <row r="179" spans="2:12" ht="15.75" customHeight="1">
      <c r="B179" s="156"/>
      <c r="C179" s="174" t="s">
        <v>468</v>
      </c>
      <c r="D179" s="133" t="s">
        <v>469</v>
      </c>
      <c r="E179" s="127">
        <v>107.46</v>
      </c>
      <c r="F179" s="127" t="s">
        <v>470</v>
      </c>
      <c r="G179" s="127">
        <f t="shared" ref="G179:G180" si="12">E179*8*22</f>
        <v>18912.96</v>
      </c>
      <c r="H179" s="289">
        <f>G179*1.3203+1225+3000+G179*0.0833</f>
        <v>30771.230656</v>
      </c>
    </row>
    <row r="180" spans="2:12" ht="15.75" customHeight="1">
      <c r="B180" s="156"/>
      <c r="C180" s="156"/>
      <c r="D180" s="141" t="s">
        <v>472</v>
      </c>
      <c r="E180" s="138">
        <v>124.68</v>
      </c>
      <c r="F180" s="138" t="s">
        <v>470</v>
      </c>
      <c r="G180" s="138">
        <f t="shared" si="12"/>
        <v>21943.68</v>
      </c>
      <c r="H180" s="290">
        <f>G180*1.3203+1225+3000+G179*0.0833</f>
        <v>34772.690271999993</v>
      </c>
      <c r="J180" s="75" t="s">
        <v>474</v>
      </c>
      <c r="L180" s="276">
        <f>'E-Costos'!C11/I164</f>
        <v>84.807506083434674</v>
      </c>
    </row>
    <row r="181" spans="2:12" ht="15.75" customHeight="1">
      <c r="B181" s="156"/>
      <c r="C181" s="156"/>
      <c r="D181" s="141" t="s">
        <v>475</v>
      </c>
      <c r="E181" s="138">
        <v>21496</v>
      </c>
      <c r="F181" s="138"/>
      <c r="G181" s="138">
        <v>21496</v>
      </c>
      <c r="H181" s="290">
        <f>G181*1.3203+1225+G181*0.005+G179*0.0833</f>
        <v>31289.098367999999</v>
      </c>
      <c r="J181" s="75" t="s">
        <v>479</v>
      </c>
      <c r="L181" s="276">
        <f>'E-Costos'!B11 /('Conformación de Datos'!I146+('Conformación de Datos'!I152/2))</f>
        <v>93.441102984761358</v>
      </c>
    </row>
    <row r="182" spans="2:12" ht="15.75" customHeight="1">
      <c r="B182" s="156"/>
      <c r="C182" s="156"/>
      <c r="D182" s="141" t="s">
        <v>480</v>
      </c>
      <c r="E182" s="138">
        <v>21496</v>
      </c>
      <c r="F182" s="138"/>
      <c r="G182" s="138">
        <v>21496</v>
      </c>
      <c r="H182" s="290">
        <f>G182*1.3203+1225+G182*0.005+G179*0.0833</f>
        <v>31289.098367999999</v>
      </c>
      <c r="J182" s="75"/>
    </row>
    <row r="183" spans="2:12" ht="15.75" customHeight="1">
      <c r="B183" s="156"/>
      <c r="C183" s="156"/>
      <c r="D183" s="141" t="s">
        <v>481</v>
      </c>
      <c r="E183" s="138">
        <v>21496</v>
      </c>
      <c r="F183" s="138"/>
      <c r="G183" s="138">
        <v>21496</v>
      </c>
      <c r="H183" s="290">
        <f>G183*1.3203+1225+G183*0.005+G179*0.0833</f>
        <v>31289.098367999999</v>
      </c>
      <c r="J183" s="75" t="s">
        <v>482</v>
      </c>
      <c r="L183" s="276">
        <f>('Conformación de Datos'!I152/2)*L180</f>
        <v>711.46756555017885</v>
      </c>
    </row>
    <row r="184" spans="2:12" ht="15.75" customHeight="1">
      <c r="B184" s="156"/>
      <c r="C184" s="156"/>
      <c r="D184" s="141" t="s">
        <v>483</v>
      </c>
      <c r="E184" s="138">
        <v>21496</v>
      </c>
      <c r="F184" s="138"/>
      <c r="G184" s="138">
        <v>21496</v>
      </c>
      <c r="H184" s="290">
        <f>G184*1.3203+1225+G184*0.005+G179*0.0833</f>
        <v>31289.098367999999</v>
      </c>
      <c r="J184" s="75" t="s">
        <v>484</v>
      </c>
      <c r="L184" s="276">
        <f>('Conformación de Datos'!I152/2)*L181</f>
        <v>783.89658101120858</v>
      </c>
    </row>
    <row r="185" spans="2:12" ht="15.75" customHeight="1">
      <c r="B185" s="631" t="s">
        <v>486</v>
      </c>
      <c r="C185" s="590"/>
      <c r="D185" s="141" t="s">
        <v>489</v>
      </c>
      <c r="E185" s="138">
        <v>23049</v>
      </c>
      <c r="F185" s="138"/>
      <c r="G185" s="138">
        <v>23049</v>
      </c>
      <c r="H185" s="290">
        <f>G185*1.3203+1225+G185*0.005+G179*0.0833</f>
        <v>33347.289268</v>
      </c>
    </row>
    <row r="186" spans="2:12" ht="15.75" customHeight="1">
      <c r="B186" s="300">
        <v>0.8</v>
      </c>
      <c r="C186" s="302" t="s">
        <v>493</v>
      </c>
      <c r="D186" s="141" t="s">
        <v>494</v>
      </c>
      <c r="E186" s="138">
        <v>30000</v>
      </c>
      <c r="F186" s="138" t="s">
        <v>495</v>
      </c>
      <c r="G186" s="138"/>
      <c r="H186" s="290">
        <v>30000</v>
      </c>
    </row>
    <row r="187" spans="2:12" ht="15.75" customHeight="1">
      <c r="B187" s="303">
        <v>0.1</v>
      </c>
      <c r="C187" s="302" t="s">
        <v>496</v>
      </c>
      <c r="D187" s="141" t="s">
        <v>497</v>
      </c>
      <c r="E187" s="138">
        <v>140.27000000000001</v>
      </c>
      <c r="F187" s="138" t="s">
        <v>470</v>
      </c>
      <c r="G187" s="138">
        <f>E187*8*22</f>
        <v>24687.52</v>
      </c>
      <c r="H187" s="290">
        <f>G187*1.3203+1225+G187*0.005+G179*0.0833</f>
        <v>35518.819824000006</v>
      </c>
    </row>
    <row r="188" spans="2:12" ht="15.75" customHeight="1">
      <c r="B188" s="303">
        <v>0.1</v>
      </c>
      <c r="C188" s="302" t="s">
        <v>498</v>
      </c>
      <c r="D188" s="141" t="s">
        <v>499</v>
      </c>
      <c r="E188" s="138">
        <v>26920</v>
      </c>
      <c r="F188" s="138"/>
      <c r="G188" s="138">
        <v>26920</v>
      </c>
      <c r="H188" s="290">
        <f>G188*1.3203+1225+G188*0.005+G179*0.0833</f>
        <v>38477.525567999997</v>
      </c>
      <c r="J188" t="s">
        <v>500</v>
      </c>
      <c r="L188" s="276">
        <f>((5*'Conformación de Datos'!$H$179)+(1*'Conformación de Datos'!$H$180))*12</f>
        <v>2263546.1226240001</v>
      </c>
    </row>
    <row r="189" spans="2:12" ht="15.75" customHeight="1">
      <c r="B189" s="156"/>
      <c r="C189" s="156"/>
      <c r="D189" s="141" t="s">
        <v>501</v>
      </c>
      <c r="E189" s="138">
        <v>26920</v>
      </c>
      <c r="F189" s="138"/>
      <c r="G189" s="138">
        <v>26920</v>
      </c>
      <c r="H189" s="290">
        <f>G189*1.3203+1225+G189*0.005+G179*0.0833</f>
        <v>38477.525567999997</v>
      </c>
      <c r="J189" t="s">
        <v>502</v>
      </c>
      <c r="L189" s="276">
        <f>L188/E138</f>
        <v>1958.9067408246542</v>
      </c>
    </row>
    <row r="190" spans="2:12" ht="15.75" customHeight="1">
      <c r="B190" s="156"/>
      <c r="C190" s="156"/>
      <c r="D190" s="141" t="s">
        <v>503</v>
      </c>
      <c r="E190" s="138">
        <v>40000</v>
      </c>
      <c r="F190" s="138"/>
      <c r="G190" s="138">
        <v>40000</v>
      </c>
      <c r="H190" s="290">
        <f>G190*1.3203+1225+G190*0.005+G179*0.0833</f>
        <v>55812.449567999996</v>
      </c>
    </row>
    <row r="191" spans="2:12" ht="15.75" customHeight="1">
      <c r="B191" s="156"/>
      <c r="C191" s="156"/>
      <c r="D191" s="305" t="str">
        <f>HYPERLINK("http://medicinaprepaga.com.ar/medicina-prepaga-precios.html","OBRAS SOCIALES")</f>
        <v>OBRAS SOCIALES</v>
      </c>
      <c r="E191" s="148"/>
      <c r="F191" s="148"/>
      <c r="G191" s="148"/>
      <c r="H191" s="153"/>
      <c r="J191" s="306" t="s">
        <v>504</v>
      </c>
      <c r="L191" s="276">
        <f>0.9*L188</f>
        <v>2037191.5103616002</v>
      </c>
    </row>
    <row r="192" spans="2:12" ht="15.75" customHeight="1">
      <c r="B192" s="156"/>
      <c r="C192" s="156"/>
      <c r="D192" s="308" t="s">
        <v>506</v>
      </c>
      <c r="E192" s="632"/>
      <c r="F192" s="624"/>
      <c r="G192" s="625"/>
      <c r="H192" s="311">
        <f>SUM(H179:H191)</f>
        <v>422333.92419599992</v>
      </c>
      <c r="J192" t="s">
        <v>513</v>
      </c>
      <c r="L192" s="276">
        <f>L189*E135</f>
        <v>1832529.2151076801</v>
      </c>
    </row>
    <row r="193" spans="1:12" ht="15.75" customHeight="1"/>
    <row r="194" spans="1:12" ht="15.75" customHeight="1">
      <c r="J194" t="s">
        <v>514</v>
      </c>
      <c r="L194" s="276">
        <f>L189*(I159/2)</f>
        <v>20342.911074227588</v>
      </c>
    </row>
    <row r="195" spans="1:12" ht="15.75" customHeight="1">
      <c r="A195" s="250" t="s">
        <v>515</v>
      </c>
    </row>
    <row r="196" spans="1:12" ht="15.75" customHeight="1">
      <c r="J196" t="s">
        <v>516</v>
      </c>
      <c r="L196" s="276">
        <f>L191-L192-L194</f>
        <v>184319.38417969254</v>
      </c>
    </row>
    <row r="197" spans="1:12" ht="15.75" customHeight="1"/>
    <row r="198" spans="1:12" ht="15.75" customHeight="1">
      <c r="C198" s="633" t="s">
        <v>515</v>
      </c>
      <c r="D198" s="634"/>
      <c r="E198" s="635"/>
    </row>
    <row r="199" spans="1:12" ht="15.75" customHeight="1">
      <c r="C199" s="636"/>
      <c r="D199" s="595"/>
      <c r="E199" s="596"/>
    </row>
    <row r="200" spans="1:12" ht="15.75" customHeight="1">
      <c r="C200" s="138" t="s">
        <v>520</v>
      </c>
      <c r="D200" s="300">
        <v>0.01</v>
      </c>
      <c r="E200" s="138" t="s">
        <v>521</v>
      </c>
    </row>
    <row r="201" spans="1:12" ht="15.75" customHeight="1">
      <c r="C201" s="138" t="s">
        <v>276</v>
      </c>
      <c r="D201" s="300">
        <v>1.4999999999999999E-2</v>
      </c>
      <c r="E201" s="138" t="s">
        <v>522</v>
      </c>
    </row>
    <row r="202" spans="1:12" ht="15.75" customHeight="1">
      <c r="C202" s="138" t="s">
        <v>523</v>
      </c>
      <c r="D202" s="300">
        <v>0.02</v>
      </c>
      <c r="E202" s="138" t="s">
        <v>524</v>
      </c>
    </row>
    <row r="203" spans="1:12" ht="15.75" customHeight="1">
      <c r="C203" s="138" t="s">
        <v>525</v>
      </c>
      <c r="D203" s="300">
        <v>2.5000000000000001E-2</v>
      </c>
      <c r="E203" s="138" t="s">
        <v>526</v>
      </c>
    </row>
    <row r="204" spans="1:12" ht="15.75" customHeight="1">
      <c r="C204" s="628"/>
      <c r="D204" s="589"/>
      <c r="E204" s="590"/>
    </row>
    <row r="205" spans="1:12" ht="15.75" customHeight="1">
      <c r="C205" s="626" t="s">
        <v>528</v>
      </c>
      <c r="D205" s="300">
        <v>0.11</v>
      </c>
      <c r="E205" s="138" t="s">
        <v>529</v>
      </c>
    </row>
    <row r="206" spans="1:12" ht="15.75" customHeight="1">
      <c r="C206" s="600"/>
      <c r="D206" s="300">
        <v>0.05</v>
      </c>
      <c r="E206" s="138" t="s">
        <v>530</v>
      </c>
    </row>
    <row r="207" spans="1:12" ht="15.75" customHeight="1">
      <c r="C207" s="628"/>
      <c r="D207" s="589"/>
      <c r="E207" s="590"/>
    </row>
    <row r="208" spans="1:12" ht="15.75" customHeight="1">
      <c r="C208" s="138"/>
      <c r="D208" s="300">
        <v>0.85</v>
      </c>
      <c r="E208" s="138" t="s">
        <v>531</v>
      </c>
    </row>
    <row r="209" spans="1:8" ht="15.75" customHeight="1"/>
    <row r="210" spans="1:8" ht="15.75" customHeight="1">
      <c r="B210" s="254"/>
    </row>
    <row r="211" spans="1:8" ht="15.75" customHeight="1">
      <c r="C211" s="315" t="s">
        <v>520</v>
      </c>
      <c r="D211" s="316">
        <f>('E-Inv AF y Am'!B52-'E-Inv AF y Am'!B51)*D200*D208</f>
        <v>234596.36593379994</v>
      </c>
      <c r="F211" s="627" t="s">
        <v>532</v>
      </c>
      <c r="G211" s="613"/>
      <c r="H211" s="317">
        <f>SUM(D211:D214)</f>
        <v>356458.03233419999</v>
      </c>
    </row>
    <row r="212" spans="1:8" ht="15.75" customHeight="1">
      <c r="C212" s="315" t="s">
        <v>276</v>
      </c>
      <c r="D212" s="316">
        <f>('E-Inv AF y Am'!D11+'E-Inv AF y Am'!B12+'E-Inv AF y Am'!B13+'E-Inv AF y Am'!B14)*D201</f>
        <v>9714.4259999999995</v>
      </c>
      <c r="F212" t="s">
        <v>533</v>
      </c>
      <c r="H212" s="276">
        <f>H211/F110</f>
        <v>308.48278899041122</v>
      </c>
    </row>
    <row r="213" spans="1:8" ht="15.75" customHeight="1">
      <c r="C213" s="315" t="s">
        <v>534</v>
      </c>
      <c r="D213" s="316">
        <f>'E-Costos'!C7*D202</f>
        <v>53108.678700000004</v>
      </c>
      <c r="F213" t="s">
        <v>535</v>
      </c>
      <c r="H213" s="276">
        <f>I152*H212/2</f>
        <v>2587.9253975610918</v>
      </c>
    </row>
    <row r="214" spans="1:8" ht="15.75" customHeight="1">
      <c r="C214" s="315" t="s">
        <v>525</v>
      </c>
      <c r="D214" s="316">
        <f>('E-Costos'!C8+'E-Costos'!C11)*D203</f>
        <v>59038.561700400001</v>
      </c>
    </row>
    <row r="215" spans="1:8" ht="15.75" customHeight="1">
      <c r="F215" s="254" t="s">
        <v>452</v>
      </c>
    </row>
    <row r="216" spans="1:8" ht="15.75" customHeight="1">
      <c r="F216" t="s">
        <v>536</v>
      </c>
      <c r="H216" s="276">
        <f>E135*H212</f>
        <v>288581.23329793976</v>
      </c>
    </row>
    <row r="217" spans="1:8" ht="15.75" customHeight="1">
      <c r="F217" t="s">
        <v>535</v>
      </c>
      <c r="H217" s="276">
        <f>H213</f>
        <v>2587.9253975610918</v>
      </c>
    </row>
    <row r="218" spans="1:8" ht="15.75" customHeight="1">
      <c r="F218" t="s">
        <v>537</v>
      </c>
      <c r="H218" s="276">
        <f>H211-H216-H217</f>
        <v>65288.873638699137</v>
      </c>
    </row>
    <row r="219" spans="1:8" ht="15.75" customHeight="1"/>
    <row r="220" spans="1:8" ht="15.75" customHeight="1"/>
    <row r="221" spans="1:8" ht="15.75" customHeight="1">
      <c r="C221" s="318"/>
    </row>
    <row r="222" spans="1:8" ht="15.75" customHeight="1">
      <c r="A222" s="319" t="s">
        <v>538</v>
      </c>
      <c r="C222" s="318"/>
    </row>
    <row r="223" spans="1:8" ht="15.75" customHeight="1">
      <c r="C223" s="318"/>
    </row>
    <row r="224" spans="1:8" ht="15.75" customHeight="1">
      <c r="C224" s="320" t="s">
        <v>539</v>
      </c>
      <c r="D224" s="138">
        <v>3000</v>
      </c>
      <c r="E224" s="138" t="s">
        <v>540</v>
      </c>
    </row>
    <row r="225" spans="1:8" ht="15.75" customHeight="1">
      <c r="C225" s="320" t="s">
        <v>541</v>
      </c>
      <c r="D225" s="138">
        <v>5</v>
      </c>
      <c r="E225" s="138"/>
    </row>
    <row r="226" spans="1:8" ht="15.75" customHeight="1">
      <c r="C226" s="320" t="s">
        <v>542</v>
      </c>
      <c r="D226" s="138">
        <v>10</v>
      </c>
      <c r="E226" s="138"/>
    </row>
    <row r="227" spans="1:8" ht="15.75" customHeight="1">
      <c r="C227" s="320" t="s">
        <v>543</v>
      </c>
      <c r="D227" s="138">
        <v>200</v>
      </c>
      <c r="E227" s="321" t="s">
        <v>544</v>
      </c>
    </row>
    <row r="228" spans="1:8" ht="15.75" customHeight="1">
      <c r="C228" s="320" t="s">
        <v>545</v>
      </c>
      <c r="D228" s="138">
        <v>50</v>
      </c>
      <c r="E228" s="138"/>
    </row>
    <row r="229" spans="1:8" ht="15.75" customHeight="1">
      <c r="C229" s="320" t="s">
        <v>546</v>
      </c>
      <c r="D229" s="138">
        <v>50000</v>
      </c>
      <c r="E229" s="138"/>
    </row>
    <row r="230" spans="1:8" ht="15.75" customHeight="1">
      <c r="C230" s="318"/>
    </row>
    <row r="231" spans="1:8" ht="15.75" customHeight="1">
      <c r="C231" s="318"/>
    </row>
    <row r="232" spans="1:8" ht="15.75" customHeight="1">
      <c r="A232" s="630" t="s">
        <v>548</v>
      </c>
      <c r="B232" s="613"/>
      <c r="C232" s="613"/>
      <c r="D232" s="613"/>
    </row>
    <row r="233" spans="1:8" ht="15.75" customHeight="1">
      <c r="C233" s="318"/>
    </row>
    <row r="234" spans="1:8" ht="15.75" customHeight="1">
      <c r="B234" s="323"/>
      <c r="C234" s="323"/>
      <c r="D234" s="323"/>
      <c r="E234" s="325"/>
      <c r="F234" s="325"/>
      <c r="G234" s="325"/>
      <c r="H234" s="325"/>
    </row>
    <row r="235" spans="1:8" ht="15.75" customHeight="1">
      <c r="B235" s="325"/>
      <c r="C235" s="325"/>
      <c r="D235" s="327"/>
      <c r="E235" s="329" t="s">
        <v>556</v>
      </c>
      <c r="F235" s="331"/>
      <c r="G235" s="329" t="s">
        <v>557</v>
      </c>
      <c r="H235" s="331"/>
    </row>
    <row r="236" spans="1:8" ht="15.75" customHeight="1">
      <c r="B236" s="333" t="s">
        <v>558</v>
      </c>
      <c r="C236" s="335" t="s">
        <v>559</v>
      </c>
      <c r="D236" s="337" t="s">
        <v>561</v>
      </c>
      <c r="E236" s="338"/>
      <c r="F236" s="339"/>
      <c r="G236" s="338"/>
      <c r="H236" s="339"/>
    </row>
    <row r="237" spans="1:8" ht="15.75" customHeight="1">
      <c r="B237" s="341" t="s">
        <v>562</v>
      </c>
      <c r="C237" s="342" t="s">
        <v>80</v>
      </c>
      <c r="D237" s="343"/>
      <c r="E237" s="344">
        <v>11880</v>
      </c>
      <c r="F237" s="346"/>
      <c r="G237" s="344">
        <v>14850</v>
      </c>
      <c r="H237" s="347"/>
    </row>
    <row r="238" spans="1:8" ht="15.75" customHeight="1">
      <c r="B238" s="341" t="s">
        <v>564</v>
      </c>
      <c r="C238" s="342" t="s">
        <v>80</v>
      </c>
      <c r="D238" s="343"/>
      <c r="E238" s="348">
        <v>142.5</v>
      </c>
      <c r="F238" s="349"/>
      <c r="G238" s="348">
        <v>142.5</v>
      </c>
      <c r="H238" s="351"/>
    </row>
    <row r="239" spans="1:8" ht="15.75" customHeight="1">
      <c r="B239" s="341" t="s">
        <v>571</v>
      </c>
      <c r="C239" s="342" t="s">
        <v>80</v>
      </c>
      <c r="D239" s="343"/>
      <c r="E239" s="344">
        <v>12022</v>
      </c>
      <c r="F239" s="346"/>
      <c r="G239" s="348">
        <v>14850</v>
      </c>
      <c r="H239" s="347"/>
    </row>
    <row r="240" spans="1:8" ht="15.75" customHeight="1">
      <c r="B240" s="341" t="s">
        <v>572</v>
      </c>
      <c r="C240" s="342" t="s">
        <v>573</v>
      </c>
      <c r="D240" s="343"/>
      <c r="E240" s="353">
        <v>238.91</v>
      </c>
      <c r="F240" s="354"/>
      <c r="G240" s="353">
        <v>274.88</v>
      </c>
      <c r="H240" s="355"/>
    </row>
    <row r="241" spans="1:13" ht="15.75" customHeight="1">
      <c r="B241" s="341" t="s">
        <v>577</v>
      </c>
      <c r="C241" s="342" t="s">
        <v>573</v>
      </c>
      <c r="D241" s="343"/>
      <c r="E241" s="353">
        <v>20.77</v>
      </c>
      <c r="F241" s="354"/>
      <c r="G241" s="356">
        <v>20.77</v>
      </c>
      <c r="H241" s="355"/>
    </row>
    <row r="242" spans="1:13" ht="15.75" customHeight="1">
      <c r="B242" s="341" t="s">
        <v>578</v>
      </c>
      <c r="C242" s="342" t="s">
        <v>573</v>
      </c>
      <c r="D242" s="357"/>
      <c r="E242" s="353">
        <v>1195.17</v>
      </c>
      <c r="F242" s="354"/>
      <c r="G242" s="356">
        <v>1430.39</v>
      </c>
      <c r="H242" s="355"/>
    </row>
    <row r="243" spans="1:13" ht="15.75" customHeight="1">
      <c r="B243" s="341" t="s">
        <v>579</v>
      </c>
      <c r="C243" s="342" t="s">
        <v>573</v>
      </c>
      <c r="D243" s="348" t="s">
        <v>581</v>
      </c>
      <c r="E243" s="358">
        <v>758.09249999999997</v>
      </c>
      <c r="F243" s="353"/>
      <c r="G243" s="358">
        <v>758.09249999999997</v>
      </c>
      <c r="H243" s="355"/>
    </row>
    <row r="244" spans="1:13" ht="15.75" customHeight="1">
      <c r="B244" s="359" t="s">
        <v>583</v>
      </c>
      <c r="C244" s="360" t="s">
        <v>573</v>
      </c>
      <c r="D244" s="361">
        <v>10</v>
      </c>
      <c r="E244" s="362">
        <v>1851.65</v>
      </c>
      <c r="F244" s="363"/>
      <c r="G244" s="364">
        <v>1430.39</v>
      </c>
      <c r="H244" s="365"/>
    </row>
    <row r="245" spans="1:13" ht="15.75" customHeight="1"/>
    <row r="246" spans="1:13" ht="15.75" customHeight="1"/>
    <row r="247" spans="1:13" ht="15.75" customHeight="1">
      <c r="A247" s="630" t="s">
        <v>587</v>
      </c>
      <c r="B247" s="613"/>
      <c r="C247" s="613"/>
      <c r="D247" s="613"/>
    </row>
    <row r="248" spans="1:13" ht="15.75" customHeight="1"/>
    <row r="249" spans="1:13" ht="15.75" customHeight="1"/>
    <row r="250" spans="1:13" ht="15.75" customHeight="1">
      <c r="A250" s="323"/>
      <c r="B250" s="366" t="s">
        <v>588</v>
      </c>
      <c r="C250" s="366"/>
      <c r="D250" s="366"/>
      <c r="E250" s="367" t="s">
        <v>589</v>
      </c>
      <c r="F250" s="368" t="s">
        <v>590</v>
      </c>
      <c r="G250" s="368"/>
      <c r="H250" s="323"/>
      <c r="I250" s="323"/>
      <c r="J250" s="323"/>
      <c r="K250" s="369"/>
      <c r="L250" s="323"/>
      <c r="M250" s="323"/>
    </row>
    <row r="251" spans="1:13" ht="15.75" customHeight="1">
      <c r="A251" s="323"/>
      <c r="B251" s="323"/>
      <c r="C251" s="325"/>
      <c r="D251" s="325"/>
      <c r="E251" s="325"/>
      <c r="F251" s="325"/>
      <c r="G251" s="325"/>
      <c r="H251" s="325"/>
      <c r="I251" s="323"/>
      <c r="J251" s="323"/>
      <c r="K251" s="323"/>
      <c r="L251" s="323"/>
      <c r="M251" s="323"/>
    </row>
    <row r="252" spans="1:13" ht="15.75" customHeight="1">
      <c r="A252" s="323"/>
      <c r="B252" s="370"/>
      <c r="C252" s="371" t="s">
        <v>595</v>
      </c>
      <c r="D252" s="371" t="s">
        <v>596</v>
      </c>
      <c r="E252" s="371" t="s">
        <v>597</v>
      </c>
      <c r="F252" s="371"/>
      <c r="G252" s="371"/>
      <c r="H252" s="337"/>
      <c r="I252" s="323"/>
      <c r="J252" s="323"/>
      <c r="K252" s="323"/>
      <c r="L252" s="323"/>
      <c r="M252" s="323"/>
    </row>
    <row r="253" spans="1:13" ht="15.75" customHeight="1">
      <c r="A253" s="323"/>
      <c r="B253" s="370"/>
      <c r="C253" s="342" t="s">
        <v>598</v>
      </c>
      <c r="D253" s="353">
        <v>379.05</v>
      </c>
      <c r="E253" s="372"/>
      <c r="F253" s="372"/>
      <c r="G253" s="372"/>
      <c r="H253" s="372"/>
      <c r="I253" s="373">
        <v>4873</v>
      </c>
      <c r="J253" s="323"/>
      <c r="K253" s="323"/>
      <c r="L253" s="323"/>
      <c r="M253" s="323"/>
    </row>
    <row r="254" spans="1:13" ht="15.75" customHeight="1">
      <c r="A254" s="323"/>
      <c r="B254" s="370"/>
      <c r="C254" s="342" t="s">
        <v>599</v>
      </c>
      <c r="D254" s="353">
        <v>252.7</v>
      </c>
      <c r="E254" s="372"/>
      <c r="F254" s="372"/>
      <c r="G254" s="372"/>
      <c r="H254" s="372"/>
      <c r="I254" s="373">
        <v>3249</v>
      </c>
      <c r="J254" s="323"/>
      <c r="K254" s="323"/>
      <c r="L254" s="323"/>
      <c r="M254" s="323"/>
    </row>
    <row r="255" spans="1:13" ht="15.75" customHeight="1">
      <c r="A255" s="323"/>
      <c r="B255" s="370"/>
      <c r="C255" s="342" t="s">
        <v>600</v>
      </c>
      <c r="D255" s="353">
        <v>126.35</v>
      </c>
      <c r="E255" s="372"/>
      <c r="F255" s="372"/>
      <c r="G255" s="372"/>
      <c r="H255" s="372"/>
      <c r="I255" s="373">
        <v>1624</v>
      </c>
      <c r="J255" s="323"/>
      <c r="K255" s="323"/>
      <c r="L255" s="323"/>
      <c r="M255" s="323"/>
    </row>
    <row r="256" spans="1:13" ht="15.75" customHeight="1">
      <c r="A256" s="323"/>
      <c r="B256" s="370"/>
      <c r="C256" s="342" t="s">
        <v>512</v>
      </c>
      <c r="D256" s="374">
        <v>758.09249999999997</v>
      </c>
      <c r="E256" s="375">
        <v>758.09249999999997</v>
      </c>
      <c r="F256" s="348" t="s">
        <v>28</v>
      </c>
      <c r="G256" s="353"/>
      <c r="H256" s="376"/>
      <c r="I256" s="373">
        <v>9747</v>
      </c>
      <c r="J256" s="323"/>
      <c r="K256" s="323"/>
      <c r="L256" s="378" t="s">
        <v>603</v>
      </c>
      <c r="M256" s="323"/>
    </row>
    <row r="257" spans="1:13" ht="15.75" customHeight="1">
      <c r="A257" s="323"/>
      <c r="B257" s="370"/>
      <c r="C257" s="342" t="s">
        <v>518</v>
      </c>
      <c r="D257" s="353">
        <v>1389.84</v>
      </c>
      <c r="E257" s="375">
        <v>758.09249999999997</v>
      </c>
      <c r="F257" s="348" t="s">
        <v>28</v>
      </c>
      <c r="G257" s="353"/>
      <c r="H257" s="376"/>
      <c r="I257" s="373">
        <v>17869</v>
      </c>
      <c r="J257" s="323"/>
      <c r="K257" s="323"/>
      <c r="L257" s="323"/>
      <c r="M257" s="323"/>
    </row>
    <row r="258" spans="1:13" ht="15.75" customHeight="1">
      <c r="A258" s="323"/>
      <c r="B258" s="370"/>
      <c r="C258" s="342" t="s">
        <v>604</v>
      </c>
      <c r="D258" s="353">
        <v>1263.49</v>
      </c>
      <c r="E258" s="372"/>
      <c r="F258" s="372"/>
      <c r="G258" s="372"/>
      <c r="H258" s="372"/>
      <c r="I258" s="373">
        <v>16244</v>
      </c>
      <c r="J258" s="323"/>
      <c r="K258" s="323"/>
      <c r="L258" s="323"/>
      <c r="M258" s="323"/>
    </row>
    <row r="259" spans="1:13" ht="15.75" customHeight="1">
      <c r="A259" s="323"/>
      <c r="B259" s="370"/>
      <c r="C259" s="342" t="s">
        <v>606</v>
      </c>
      <c r="D259" s="353">
        <v>1137.1400000000001</v>
      </c>
      <c r="E259" s="372"/>
      <c r="F259" s="372"/>
      <c r="G259" s="372"/>
      <c r="H259" s="372"/>
      <c r="I259" s="373">
        <v>14620</v>
      </c>
      <c r="J259" s="323"/>
      <c r="K259" s="323"/>
      <c r="L259" s="323"/>
      <c r="M259" s="323"/>
    </row>
    <row r="260" spans="1:13" ht="15.75" customHeight="1">
      <c r="A260" s="323"/>
      <c r="B260" s="370"/>
      <c r="C260" s="342" t="s">
        <v>608</v>
      </c>
      <c r="D260" s="353">
        <v>1010.79</v>
      </c>
      <c r="E260" s="372"/>
      <c r="F260" s="372"/>
      <c r="G260" s="372"/>
      <c r="H260" s="372"/>
      <c r="I260" s="373">
        <v>12996</v>
      </c>
      <c r="J260" s="323"/>
      <c r="K260" s="323"/>
      <c r="L260" s="323"/>
      <c r="M260" s="323"/>
    </row>
    <row r="261" spans="1:13" ht="15.75" customHeight="1">
      <c r="A261" s="323"/>
      <c r="B261" s="370"/>
      <c r="C261" s="342" t="s">
        <v>609</v>
      </c>
      <c r="D261" s="353">
        <v>884.44</v>
      </c>
      <c r="E261" s="372"/>
      <c r="F261" s="372"/>
      <c r="G261" s="372"/>
      <c r="H261" s="372"/>
      <c r="I261" s="373">
        <v>11371</v>
      </c>
      <c r="J261" s="323"/>
      <c r="K261" s="323"/>
      <c r="L261" s="323"/>
      <c r="M261" s="323"/>
    </row>
    <row r="262" spans="1:13" ht="15.75" customHeight="1">
      <c r="A262" s="323"/>
      <c r="B262" s="370"/>
      <c r="C262" s="342" t="s">
        <v>517</v>
      </c>
      <c r="D262" s="353">
        <v>758.09</v>
      </c>
      <c r="E262" s="372"/>
      <c r="F262" s="372"/>
      <c r="G262" s="372"/>
      <c r="H262" s="372"/>
      <c r="I262" s="373">
        <v>9747</v>
      </c>
      <c r="J262" s="323"/>
      <c r="K262" s="323"/>
      <c r="L262" s="323"/>
      <c r="M262" s="323"/>
    </row>
    <row r="263" spans="1:13" ht="15.75" customHeight="1">
      <c r="A263" s="323"/>
      <c r="B263" s="370"/>
      <c r="C263" s="342" t="s">
        <v>519</v>
      </c>
      <c r="D263" s="353">
        <v>631.74</v>
      </c>
      <c r="E263" s="372"/>
      <c r="F263" s="372"/>
      <c r="G263" s="372"/>
      <c r="H263" s="372"/>
      <c r="I263" s="373">
        <v>8122</v>
      </c>
      <c r="J263" s="323"/>
      <c r="K263" s="323"/>
      <c r="L263" s="323"/>
      <c r="M263" s="323"/>
    </row>
    <row r="264" spans="1:13" ht="15.75" customHeight="1">
      <c r="A264" s="323"/>
      <c r="B264" s="370"/>
      <c r="C264" s="360" t="s">
        <v>610</v>
      </c>
      <c r="D264" s="362">
        <v>505.4</v>
      </c>
      <c r="E264" s="372"/>
      <c r="F264" s="372"/>
      <c r="G264" s="372"/>
      <c r="H264" s="372"/>
      <c r="I264" s="373">
        <v>6498</v>
      </c>
      <c r="J264" s="323"/>
      <c r="K264" s="323"/>
      <c r="L264" s="323"/>
      <c r="M264" s="323"/>
    </row>
    <row r="265" spans="1:13" ht="15.75" customHeight="1">
      <c r="A265" s="323"/>
      <c r="B265" s="323"/>
      <c r="C265" s="323"/>
      <c r="D265" s="323"/>
      <c r="E265" s="323"/>
      <c r="F265" s="323"/>
      <c r="G265" s="323"/>
      <c r="H265" s="323"/>
      <c r="I265" s="323"/>
      <c r="J265" s="323"/>
      <c r="K265" s="323"/>
      <c r="L265" s="323"/>
      <c r="M265" s="323"/>
    </row>
    <row r="266" spans="1:13" ht="15.75" customHeight="1">
      <c r="A266" s="323"/>
      <c r="B266" s="323"/>
      <c r="C266" s="323"/>
      <c r="D266" s="323"/>
      <c r="E266" s="323"/>
      <c r="F266" s="323"/>
      <c r="G266" s="323"/>
      <c r="H266" s="323"/>
      <c r="I266" s="323"/>
      <c r="J266" s="323"/>
      <c r="K266" s="323"/>
      <c r="L266" s="323"/>
      <c r="M266" s="323"/>
    </row>
    <row r="267" spans="1:13" ht="15.75" customHeight="1">
      <c r="A267" s="323"/>
      <c r="B267" s="379" t="s">
        <v>611</v>
      </c>
      <c r="C267" s="323"/>
      <c r="D267" s="323"/>
      <c r="E267" s="323"/>
      <c r="F267" s="323"/>
      <c r="G267" s="323"/>
      <c r="H267" s="323"/>
      <c r="I267" s="323"/>
      <c r="J267" s="323"/>
      <c r="K267" s="323"/>
      <c r="L267" s="323"/>
      <c r="M267" s="323"/>
    </row>
    <row r="268" spans="1:13" ht="15.75" customHeight="1">
      <c r="A268" s="323"/>
      <c r="B268" s="323"/>
      <c r="C268" s="323"/>
      <c r="D268" s="323"/>
      <c r="E268" s="323"/>
      <c r="F268" s="323"/>
      <c r="G268" s="323"/>
      <c r="H268" s="323"/>
      <c r="I268" s="323"/>
      <c r="J268" s="323"/>
      <c r="K268" s="323"/>
      <c r="L268" s="323"/>
      <c r="M268" s="323"/>
    </row>
    <row r="269" spans="1:13" ht="15.75" customHeight="1">
      <c r="A269" s="323"/>
      <c r="B269" s="323"/>
      <c r="C269" s="381"/>
      <c r="D269" s="381"/>
      <c r="E269" s="381"/>
      <c r="F269" s="381"/>
      <c r="G269" s="381"/>
      <c r="H269" s="381"/>
      <c r="I269" s="323"/>
      <c r="J269" s="323"/>
      <c r="K269" s="323"/>
      <c r="L269" s="323"/>
      <c r="M269" s="323"/>
    </row>
    <row r="270" spans="1:13" ht="15.75" customHeight="1">
      <c r="A270" s="323"/>
      <c r="B270" s="383"/>
      <c r="C270" s="384" t="s">
        <v>615</v>
      </c>
      <c r="D270" s="385"/>
      <c r="E270" s="353">
        <f>SUM(D253:D264)</f>
        <v>9097.1224999999995</v>
      </c>
      <c r="F270" s="386" t="s">
        <v>28</v>
      </c>
      <c r="G270" s="353"/>
      <c r="H270" s="386"/>
      <c r="I270" s="323"/>
      <c r="J270" s="323"/>
      <c r="K270" s="323"/>
      <c r="L270" s="323"/>
      <c r="M270" s="323"/>
    </row>
    <row r="271" spans="1:13" ht="15.75" customHeight="1">
      <c r="A271" s="323"/>
      <c r="B271" s="383"/>
      <c r="C271" s="384" t="s">
        <v>618</v>
      </c>
      <c r="D271" s="385"/>
      <c r="E271" s="374">
        <f>E270/12</f>
        <v>758.09354166666662</v>
      </c>
      <c r="F271" s="386" t="s">
        <v>28</v>
      </c>
      <c r="G271" s="353"/>
      <c r="H271" s="386"/>
      <c r="I271" s="387" t="s">
        <v>619</v>
      </c>
      <c r="J271" s="379" t="s">
        <v>620</v>
      </c>
      <c r="K271" s="323"/>
      <c r="L271" s="323"/>
      <c r="M271" s="323"/>
    </row>
    <row r="272" spans="1:13" ht="15.75" customHeight="1">
      <c r="A272" s="323"/>
      <c r="B272" s="323"/>
      <c r="C272" s="323"/>
      <c r="D272" s="323"/>
      <c r="E272" s="323"/>
      <c r="F272" s="323"/>
      <c r="G272" s="323"/>
      <c r="H272" s="323"/>
      <c r="I272" s="323"/>
      <c r="J272" s="323"/>
      <c r="K272" s="323"/>
      <c r="L272" s="323"/>
      <c r="M272" s="323"/>
    </row>
    <row r="273" spans="1:13" ht="15.75" customHeight="1">
      <c r="A273" s="323"/>
      <c r="B273" s="323"/>
      <c r="C273" s="379" t="s">
        <v>621</v>
      </c>
      <c r="D273" s="323"/>
      <c r="E273" s="323"/>
      <c r="F273" s="323"/>
      <c r="G273" s="323"/>
      <c r="H273" s="323"/>
      <c r="I273" s="323"/>
      <c r="J273" s="323"/>
      <c r="K273" s="323"/>
      <c r="L273" s="323"/>
      <c r="M273" s="323"/>
    </row>
    <row r="274" spans="1:13" ht="15.75" customHeight="1">
      <c r="A274" s="323"/>
      <c r="B274" s="323"/>
      <c r="C274" s="323"/>
      <c r="D274" s="323"/>
      <c r="E274" s="323"/>
      <c r="F274" s="323"/>
      <c r="G274" s="323"/>
      <c r="H274" s="323"/>
      <c r="I274" s="323"/>
      <c r="J274" s="323"/>
      <c r="K274" s="323"/>
      <c r="L274" s="323"/>
      <c r="M274" s="323"/>
    </row>
    <row r="275" spans="1:13" ht="15.75" customHeight="1"/>
    <row r="276" spans="1:13" ht="15.75" customHeight="1"/>
    <row r="277" spans="1:13" ht="15.75" customHeight="1"/>
    <row r="278" spans="1:13" ht="15.75" customHeight="1">
      <c r="A278" s="630" t="s">
        <v>623</v>
      </c>
      <c r="B278" s="613"/>
      <c r="C278" s="613"/>
      <c r="D278" s="613"/>
    </row>
    <row r="279" spans="1:13" ht="15.75" customHeight="1"/>
    <row r="280" spans="1:13" ht="15.75" customHeight="1"/>
    <row r="281" spans="1:13" ht="15.75" customHeight="1">
      <c r="A281" t="s">
        <v>624</v>
      </c>
      <c r="D281" s="390">
        <f>E239</f>
        <v>12022</v>
      </c>
      <c r="F281" t="s">
        <v>628</v>
      </c>
    </row>
    <row r="282" spans="1:13" ht="15.75" customHeight="1">
      <c r="F282" t="s">
        <v>629</v>
      </c>
    </row>
    <row r="283" spans="1:13" ht="15.75" customHeight="1">
      <c r="A283" t="s">
        <v>631</v>
      </c>
      <c r="D283">
        <f>G239</f>
        <v>14850</v>
      </c>
      <c r="F283" t="s">
        <v>632</v>
      </c>
    </row>
    <row r="284" spans="1:13" ht="15.75" customHeight="1">
      <c r="F284" t="s">
        <v>534</v>
      </c>
      <c r="G284" s="393">
        <f>'E-Costos'!C12</f>
        <v>356458.03233419999</v>
      </c>
    </row>
    <row r="285" spans="1:13" ht="15.75" customHeight="1">
      <c r="A285" t="s">
        <v>633</v>
      </c>
      <c r="D285">
        <f>E238</f>
        <v>142.5</v>
      </c>
      <c r="F285" t="s">
        <v>391</v>
      </c>
      <c r="G285" s="90">
        <f>'E-Costos'!C54</f>
        <v>88409.894311449054</v>
      </c>
    </row>
    <row r="286" spans="1:13" ht="15.75" customHeight="1">
      <c r="F286" t="s">
        <v>637</v>
      </c>
    </row>
    <row r="287" spans="1:13" ht="15.75" customHeight="1"/>
    <row r="288" spans="1:13" ht="15.75" customHeight="1"/>
    <row r="289" spans="1:6" ht="15.75" customHeight="1">
      <c r="A289" t="s">
        <v>638</v>
      </c>
      <c r="D289" s="397">
        <f>E243</f>
        <v>758.09249999999997</v>
      </c>
    </row>
    <row r="290" spans="1:6" ht="15.75" customHeight="1"/>
    <row r="291" spans="1:6" ht="15.75" customHeight="1">
      <c r="A291" t="s">
        <v>639</v>
      </c>
      <c r="D291" s="399">
        <f>E271</f>
        <v>758.09354166666662</v>
      </c>
    </row>
    <row r="292" spans="1:6" ht="15.75" customHeight="1"/>
    <row r="293" spans="1:6" ht="15.75" customHeight="1">
      <c r="A293" t="s">
        <v>640</v>
      </c>
      <c r="D293" s="276">
        <f>I110</f>
        <v>1751.3859971375618</v>
      </c>
    </row>
    <row r="294" spans="1:6" ht="15.75" customHeight="1"/>
    <row r="295" spans="1:6" ht="15.75" customHeight="1">
      <c r="A295" t="s">
        <v>641</v>
      </c>
      <c r="D295" s="401">
        <f>I143</f>
        <v>101.60523483656486</v>
      </c>
    </row>
    <row r="296" spans="1:6" ht="15.75" customHeight="1"/>
    <row r="297" spans="1:6" ht="15.75" customHeight="1"/>
    <row r="298" spans="1:6" ht="15.75" customHeight="1">
      <c r="A298" t="s">
        <v>644</v>
      </c>
    </row>
    <row r="299" spans="1:6" ht="15.75" customHeight="1">
      <c r="A299" t="s">
        <v>645</v>
      </c>
    </row>
    <row r="300" spans="1:6" ht="15.75" customHeight="1"/>
    <row r="301" spans="1:6" ht="15.75" customHeight="1">
      <c r="A301" s="81"/>
      <c r="B301" s="402" t="s">
        <v>69</v>
      </c>
      <c r="C301" s="402" t="s">
        <v>551</v>
      </c>
      <c r="D301" s="402" t="s">
        <v>552</v>
      </c>
      <c r="E301" s="402" t="s">
        <v>553</v>
      </c>
      <c r="F301" s="402" t="s">
        <v>554</v>
      </c>
    </row>
    <row r="302" spans="1:6" ht="15.75" customHeight="1">
      <c r="A302" s="81" t="s">
        <v>646</v>
      </c>
      <c r="B302" s="405">
        <f>('E-Costos'!B7-'E-Costos'!B25-'E-Costos'!G25)/D281*D285*0.21</f>
        <v>5048.4142142591072</v>
      </c>
      <c r="C302" s="405">
        <f>('E-Costos'!C7-'E-Costos'!C25)/D283*D285*0.21</f>
        <v>5277.7991959800102</v>
      </c>
      <c r="D302" s="405">
        <f>('E-Costos'!D7-'E-Costos'!D25)/D283*D285*0.21</f>
        <v>5277.7991959800102</v>
      </c>
      <c r="E302" s="405">
        <f>('E-Costos'!E7-'E-Costos'!E25)/D283*D285*0.21</f>
        <v>5277.7991959800102</v>
      </c>
      <c r="F302" s="405">
        <f>('E-Costos'!F7-'E-Costos'!F25)/D283*D285*0.21</f>
        <v>5277.7991959800102</v>
      </c>
    </row>
    <row r="303" spans="1:6" ht="15.75" customHeight="1">
      <c r="A303" s="81" t="s">
        <v>649</v>
      </c>
      <c r="B303" s="405">
        <f>('E-Costos'!B12-'E-Costos'!B30-'E-Costos'!G30)/D281*D285*0.21</f>
        <v>718.332507606126</v>
      </c>
      <c r="C303" s="405">
        <f>('E-Costos'!C12-'E-Costos'!C30)/D283*D285*0.21</f>
        <v>713.10188216019651</v>
      </c>
      <c r="D303" s="405">
        <f>('E-Costos'!D12-'E-Costos'!D30)/D283*D285*0.21</f>
        <v>713.10188216019651</v>
      </c>
      <c r="E303" s="405">
        <f>('E-Costos'!E12-'E-Costos'!E30)/D283*D285*0.21</f>
        <v>713.10188216019651</v>
      </c>
      <c r="F303" s="405">
        <f>('E-Costos'!F12-'E-Costos'!F30)/D283*D285*0.21</f>
        <v>713.10188216019651</v>
      </c>
    </row>
    <row r="304" spans="1:6" ht="15.75" customHeight="1">
      <c r="A304" s="81" t="s">
        <v>650</v>
      </c>
      <c r="B304" s="405">
        <f>('E-Costos'!B13-'E-Costos'!B31-'E-Costos'!G31)/D281*D285*0.21</f>
        <v>253.98485767459729</v>
      </c>
      <c r="C304" s="405">
        <f>('E-Costos'!C13-'E-Costos'!C31)/D283*D285*0.21</f>
        <v>257.39938030314499</v>
      </c>
      <c r="D304" s="405">
        <f>('E-Costos'!D13-'E-Costos'!D31)/D283*D285*0.21</f>
        <v>257.39938030314499</v>
      </c>
      <c r="E304" s="405">
        <f>('E-Costos'!E13-'E-Costos'!E31)/D283*D285*0.21</f>
        <v>257.39938030314499</v>
      </c>
      <c r="F304" s="405">
        <f>('E-Costos'!F13-'E-Costos'!F31)/D283*D285*0.21</f>
        <v>257.39938030314499</v>
      </c>
    </row>
    <row r="305" spans="1:6" ht="15.75" customHeight="1">
      <c r="A305" s="81" t="s">
        <v>652</v>
      </c>
      <c r="B305" s="405">
        <v>0</v>
      </c>
      <c r="C305" s="405">
        <v>0</v>
      </c>
      <c r="D305" s="405">
        <v>0</v>
      </c>
      <c r="E305" s="405">
        <v>0</v>
      </c>
      <c r="F305" s="405">
        <v>0</v>
      </c>
    </row>
    <row r="306" spans="1:6" ht="15.75" customHeight="1">
      <c r="A306" s="81" t="s">
        <v>653</v>
      </c>
      <c r="B306" s="405">
        <v>0</v>
      </c>
      <c r="C306" s="405">
        <v>0</v>
      </c>
      <c r="D306" s="405">
        <v>0</v>
      </c>
      <c r="E306" s="405">
        <v>0</v>
      </c>
      <c r="F306" s="405">
        <v>0</v>
      </c>
    </row>
    <row r="307" spans="1:6" ht="15.75" customHeight="1">
      <c r="A307" s="402" t="s">
        <v>343</v>
      </c>
      <c r="B307" s="408">
        <f t="shared" ref="B307:F307" si="13">SUM(B302:B306)</f>
        <v>6020.7315795398299</v>
      </c>
      <c r="C307" s="408">
        <f t="shared" si="13"/>
        <v>6248.300458443352</v>
      </c>
      <c r="D307" s="408">
        <f t="shared" si="13"/>
        <v>6248.300458443352</v>
      </c>
      <c r="E307" s="408">
        <f t="shared" si="13"/>
        <v>6248.300458443352</v>
      </c>
      <c r="F307" s="408">
        <f t="shared" si="13"/>
        <v>6248.300458443352</v>
      </c>
    </row>
    <row r="308" spans="1:6" ht="15.75" customHeight="1">
      <c r="A308" s="81" t="s">
        <v>656</v>
      </c>
      <c r="B308" s="405">
        <f>B307</f>
        <v>6020.7315795398299</v>
      </c>
      <c r="C308" s="405">
        <f t="shared" ref="C308:F308" si="14">C307-B307</f>
        <v>227.56887890352209</v>
      </c>
      <c r="D308" s="405">
        <f t="shared" si="14"/>
        <v>0</v>
      </c>
      <c r="E308" s="405">
        <f t="shared" si="14"/>
        <v>0</v>
      </c>
      <c r="F308" s="405">
        <f t="shared" si="14"/>
        <v>0</v>
      </c>
    </row>
    <row r="309" spans="1:6" ht="15.75" customHeight="1"/>
    <row r="310" spans="1:6" ht="15.75" customHeight="1"/>
    <row r="311" spans="1:6" ht="15.75" customHeight="1"/>
    <row r="312" spans="1:6" ht="15.75" customHeight="1"/>
    <row r="313" spans="1:6" ht="15.75" customHeight="1"/>
    <row r="314" spans="1:6" ht="15.75" customHeight="1"/>
    <row r="315" spans="1:6" ht="15.75" customHeight="1"/>
    <row r="316" spans="1:6" ht="15.75" customHeight="1"/>
    <row r="317" spans="1:6" ht="15.75" customHeight="1"/>
    <row r="318" spans="1:6" ht="15.75" customHeight="1"/>
    <row r="319" spans="1:6" ht="15.75" customHeight="1"/>
    <row r="320" spans="1: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6">
    <mergeCell ref="B10:B11"/>
    <mergeCell ref="C10:C11"/>
    <mergeCell ref="D15:D16"/>
    <mergeCell ref="G15:G16"/>
    <mergeCell ref="G10:G11"/>
    <mergeCell ref="F15:F16"/>
    <mergeCell ref="E15:E16"/>
    <mergeCell ref="F10:F11"/>
    <mergeCell ref="C15:C16"/>
    <mergeCell ref="G4:G5"/>
    <mergeCell ref="F4:F5"/>
    <mergeCell ref="B4:B5"/>
    <mergeCell ref="A1:B1"/>
    <mergeCell ref="E4:E5"/>
    <mergeCell ref="D4:D5"/>
    <mergeCell ref="C4:C5"/>
    <mergeCell ref="C99:I100"/>
    <mergeCell ref="C131:F131"/>
    <mergeCell ref="C118:G118"/>
    <mergeCell ref="C143:H143"/>
    <mergeCell ref="D10:D11"/>
    <mergeCell ref="E10:E11"/>
    <mergeCell ref="C119:G119"/>
    <mergeCell ref="C121:E121"/>
    <mergeCell ref="A20:B20"/>
    <mergeCell ref="B44:G44"/>
    <mergeCell ref="B15:B16"/>
    <mergeCell ref="A95:D95"/>
    <mergeCell ref="A83:D83"/>
    <mergeCell ref="A278:D278"/>
    <mergeCell ref="B185:C185"/>
    <mergeCell ref="E192:G192"/>
    <mergeCell ref="C198:E199"/>
    <mergeCell ref="C204:E204"/>
    <mergeCell ref="F211:G211"/>
    <mergeCell ref="C207:E207"/>
    <mergeCell ref="C151:F151"/>
    <mergeCell ref="A232:D232"/>
    <mergeCell ref="A247:D247"/>
    <mergeCell ref="C164:H164"/>
    <mergeCell ref="C165:H165"/>
    <mergeCell ref="C159:H159"/>
    <mergeCell ref="C158:H158"/>
    <mergeCell ref="C163:H163"/>
    <mergeCell ref="C160:H160"/>
    <mergeCell ref="C146:H146"/>
    <mergeCell ref="F178:H178"/>
    <mergeCell ref="C205:C206"/>
    <mergeCell ref="C147:H147"/>
    <mergeCell ref="C149:H149"/>
    <mergeCell ref="C154:H154"/>
    <mergeCell ref="C155:H155"/>
    <mergeCell ref="C144:H144"/>
    <mergeCell ref="C145:H145"/>
    <mergeCell ref="C153:H153"/>
    <mergeCell ref="C152:H152"/>
  </mergeCells>
  <hyperlinks>
    <hyperlink ref="E227" r:id="rId1" xr:uid="{00000000-0004-0000-0300-000000000000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outlinePr summaryBelow="0" summaryRight="0"/>
  </sheetPr>
  <dimension ref="B4:M1000"/>
  <sheetViews>
    <sheetView showGridLines="0" workbookViewId="0"/>
  </sheetViews>
  <sheetFormatPr defaultColWidth="14.44140625" defaultRowHeight="15" customHeight="1"/>
  <cols>
    <col min="1" max="1" width="14.44140625" customWidth="1"/>
    <col min="2" max="2" width="10.6640625" customWidth="1"/>
    <col min="3" max="3" width="24.44140625" customWidth="1"/>
    <col min="4" max="4" width="14.33203125" customWidth="1"/>
    <col min="5" max="5" width="53.6640625" customWidth="1"/>
    <col min="6" max="6" width="16.33203125" customWidth="1"/>
    <col min="7" max="7" width="18" customWidth="1"/>
    <col min="8" max="8" width="3.44140625" customWidth="1"/>
    <col min="9" max="9" width="19.5546875" customWidth="1"/>
    <col min="10" max="10" width="21.88671875" customWidth="1"/>
    <col min="11" max="11" width="7.44140625" customWidth="1"/>
    <col min="12" max="12" width="20.44140625" customWidth="1"/>
    <col min="13" max="13" width="4.88671875" customWidth="1"/>
  </cols>
  <sheetData>
    <row r="4" spans="2:13" ht="13.2">
      <c r="B4" s="57" t="s">
        <v>109</v>
      </c>
      <c r="C4" t="s">
        <v>112</v>
      </c>
      <c r="D4" t="s">
        <v>113</v>
      </c>
      <c r="E4" t="s">
        <v>114</v>
      </c>
      <c r="F4" t="s">
        <v>115</v>
      </c>
      <c r="G4" t="s">
        <v>116</v>
      </c>
      <c r="I4" s="59" t="s">
        <v>117</v>
      </c>
    </row>
    <row r="5" spans="2:13" ht="13.2">
      <c r="C5" t="s">
        <v>118</v>
      </c>
      <c r="D5">
        <v>5000</v>
      </c>
      <c r="E5">
        <v>1</v>
      </c>
      <c r="F5">
        <f>D5*E5*E5</f>
        <v>5000</v>
      </c>
      <c r="G5" s="60"/>
    </row>
    <row r="6" spans="2:13" ht="13.2">
      <c r="C6" t="s">
        <v>121</v>
      </c>
      <c r="D6">
        <v>1800</v>
      </c>
      <c r="E6">
        <v>1</v>
      </c>
      <c r="F6" s="62">
        <f>D6*E6</f>
        <v>1800</v>
      </c>
      <c r="G6" s="60"/>
    </row>
    <row r="7" spans="2:13" ht="13.2">
      <c r="C7" t="s">
        <v>124</v>
      </c>
      <c r="D7">
        <v>1500</v>
      </c>
      <c r="E7">
        <v>1</v>
      </c>
      <c r="F7">
        <f>D7*E7*E7</f>
        <v>1500</v>
      </c>
      <c r="G7" s="60"/>
    </row>
    <row r="8" spans="2:13" ht="13.2">
      <c r="C8" t="s">
        <v>125</v>
      </c>
      <c r="D8">
        <v>800</v>
      </c>
      <c r="E8">
        <v>1</v>
      </c>
      <c r="F8" s="62">
        <f t="shared" ref="F8:F9" si="0">D8*E8</f>
        <v>800</v>
      </c>
      <c r="G8" s="60"/>
    </row>
    <row r="9" spans="2:13" ht="13.2">
      <c r="C9" t="s">
        <v>126</v>
      </c>
      <c r="D9">
        <v>1400</v>
      </c>
      <c r="E9">
        <v>1</v>
      </c>
      <c r="F9" s="62">
        <f t="shared" si="0"/>
        <v>1400</v>
      </c>
      <c r="G9" s="60"/>
    </row>
    <row r="10" spans="2:13" ht="13.2">
      <c r="C10" t="s">
        <v>127</v>
      </c>
      <c r="D10">
        <v>175</v>
      </c>
      <c r="E10">
        <v>2</v>
      </c>
      <c r="F10">
        <f>D10*E10*E10</f>
        <v>700</v>
      </c>
      <c r="G10" s="60"/>
    </row>
    <row r="11" spans="2:13" ht="13.2">
      <c r="C11" t="s">
        <v>128</v>
      </c>
      <c r="D11">
        <v>500</v>
      </c>
      <c r="E11">
        <v>3</v>
      </c>
      <c r="F11">
        <f t="shared" ref="F11:F13" si="1">D11*E11</f>
        <v>1500</v>
      </c>
      <c r="G11" s="60"/>
    </row>
    <row r="12" spans="2:13" ht="17.399999999999999">
      <c r="C12" t="s">
        <v>129</v>
      </c>
      <c r="D12">
        <v>300</v>
      </c>
      <c r="E12">
        <v>1</v>
      </c>
      <c r="F12">
        <f t="shared" si="1"/>
        <v>300</v>
      </c>
      <c r="G12" s="60"/>
      <c r="H12" s="64"/>
      <c r="I12" s="652"/>
      <c r="J12" s="613"/>
      <c r="K12" s="613"/>
      <c r="L12" s="613"/>
      <c r="M12" s="613"/>
    </row>
    <row r="13" spans="2:13" ht="17.399999999999999">
      <c r="C13" t="s">
        <v>131</v>
      </c>
      <c r="D13">
        <v>1500</v>
      </c>
      <c r="E13">
        <v>1</v>
      </c>
      <c r="F13">
        <f t="shared" si="1"/>
        <v>1500</v>
      </c>
      <c r="G13" s="60"/>
      <c r="H13" s="64"/>
      <c r="I13" s="613"/>
      <c r="J13" s="613"/>
      <c r="K13" s="613"/>
      <c r="L13" s="613"/>
      <c r="M13" s="613"/>
    </row>
    <row r="14" spans="2:13" ht="17.399999999999999">
      <c r="C14" t="s">
        <v>132</v>
      </c>
      <c r="D14">
        <v>600</v>
      </c>
      <c r="E14">
        <v>1</v>
      </c>
      <c r="F14">
        <f t="shared" ref="F14:F25" si="2">D14*E14*E14</f>
        <v>600</v>
      </c>
      <c r="G14" s="60"/>
      <c r="H14" s="64"/>
      <c r="I14" s="613"/>
      <c r="J14" s="613"/>
      <c r="K14" s="613"/>
      <c r="L14" s="613"/>
      <c r="M14" s="613"/>
    </row>
    <row r="15" spans="2:13" ht="17.399999999999999">
      <c r="C15" t="s">
        <v>133</v>
      </c>
      <c r="D15">
        <v>210</v>
      </c>
      <c r="E15">
        <v>9</v>
      </c>
      <c r="F15">
        <f t="shared" si="2"/>
        <v>17010</v>
      </c>
      <c r="G15" s="60"/>
      <c r="H15" s="64"/>
      <c r="I15" s="613"/>
      <c r="J15" s="613"/>
      <c r="K15" s="613"/>
      <c r="L15" s="613"/>
      <c r="M15" s="613"/>
    </row>
    <row r="16" spans="2:13" ht="17.399999999999999">
      <c r="C16" t="s">
        <v>134</v>
      </c>
      <c r="D16">
        <v>10</v>
      </c>
      <c r="E16">
        <v>7</v>
      </c>
      <c r="F16">
        <f t="shared" si="2"/>
        <v>490</v>
      </c>
      <c r="G16" s="60"/>
      <c r="H16" s="64"/>
      <c r="I16" s="613"/>
      <c r="J16" s="613"/>
      <c r="K16" s="613"/>
      <c r="L16" s="613"/>
      <c r="M16" s="613"/>
    </row>
    <row r="17" spans="3:13" ht="17.399999999999999">
      <c r="C17" t="s">
        <v>135</v>
      </c>
      <c r="D17">
        <v>300</v>
      </c>
      <c r="E17">
        <v>4</v>
      </c>
      <c r="F17">
        <f t="shared" si="2"/>
        <v>4800</v>
      </c>
      <c r="G17" s="60"/>
      <c r="H17" s="64"/>
      <c r="I17" s="613"/>
      <c r="J17" s="613"/>
      <c r="K17" s="613"/>
      <c r="L17" s="613"/>
      <c r="M17" s="613"/>
    </row>
    <row r="18" spans="3:13" ht="17.399999999999999">
      <c r="C18" t="s">
        <v>139</v>
      </c>
      <c r="D18">
        <v>200</v>
      </c>
      <c r="E18">
        <v>1</v>
      </c>
      <c r="F18">
        <f t="shared" si="2"/>
        <v>200</v>
      </c>
      <c r="G18" s="60"/>
      <c r="H18" s="64"/>
      <c r="I18" s="613"/>
      <c r="J18" s="613"/>
      <c r="K18" s="613"/>
      <c r="L18" s="613"/>
      <c r="M18" s="613"/>
    </row>
    <row r="19" spans="3:13" ht="13.2">
      <c r="C19" t="s">
        <v>140</v>
      </c>
      <c r="D19">
        <v>2</v>
      </c>
      <c r="E19">
        <v>7</v>
      </c>
      <c r="F19">
        <f t="shared" si="2"/>
        <v>98</v>
      </c>
      <c r="G19" s="60"/>
    </row>
    <row r="20" spans="3:13" ht="13.2">
      <c r="C20" t="s">
        <v>141</v>
      </c>
      <c r="D20">
        <v>80</v>
      </c>
      <c r="E20">
        <v>15</v>
      </c>
      <c r="F20">
        <f t="shared" si="2"/>
        <v>18000</v>
      </c>
      <c r="G20" s="60"/>
    </row>
    <row r="21" spans="3:13" ht="15.75" customHeight="1">
      <c r="C21" t="s">
        <v>142</v>
      </c>
      <c r="D21">
        <v>2800</v>
      </c>
      <c r="E21">
        <v>5</v>
      </c>
      <c r="F21">
        <f t="shared" si="2"/>
        <v>70000</v>
      </c>
      <c r="G21" s="60"/>
    </row>
    <row r="22" spans="3:13" ht="15.75" customHeight="1">
      <c r="C22" t="s">
        <v>143</v>
      </c>
      <c r="D22">
        <v>700</v>
      </c>
      <c r="E22">
        <v>2</v>
      </c>
      <c r="F22">
        <f t="shared" si="2"/>
        <v>2800</v>
      </c>
      <c r="G22" s="60"/>
    </row>
    <row r="23" spans="3:13" ht="15.75" customHeight="1">
      <c r="C23" t="s">
        <v>145</v>
      </c>
      <c r="D23">
        <v>450</v>
      </c>
      <c r="E23">
        <v>1</v>
      </c>
      <c r="F23">
        <f t="shared" si="2"/>
        <v>450</v>
      </c>
      <c r="G23" s="60"/>
      <c r="J23" t="s">
        <v>146</v>
      </c>
      <c r="K23" s="68">
        <v>8.0000000000000004E-4</v>
      </c>
      <c r="L23" t="s">
        <v>148</v>
      </c>
      <c r="M23" s="70">
        <v>0.9</v>
      </c>
    </row>
    <row r="24" spans="3:13" ht="15.75" customHeight="1">
      <c r="C24" t="s">
        <v>150</v>
      </c>
      <c r="D24">
        <v>6</v>
      </c>
      <c r="E24">
        <v>20</v>
      </c>
      <c r="F24">
        <f t="shared" si="2"/>
        <v>2400</v>
      </c>
      <c r="G24" s="60"/>
      <c r="J24" t="s">
        <v>151</v>
      </c>
      <c r="K24" s="68">
        <v>2.9999999999999997E-4</v>
      </c>
      <c r="L24" t="s">
        <v>148</v>
      </c>
      <c r="M24" s="70">
        <v>0.9</v>
      </c>
    </row>
    <row r="25" spans="3:13" ht="15.75" customHeight="1">
      <c r="C25" t="s">
        <v>152</v>
      </c>
      <c r="D25">
        <v>7</v>
      </c>
      <c r="E25">
        <v>2</v>
      </c>
      <c r="F25">
        <f t="shared" si="2"/>
        <v>28</v>
      </c>
      <c r="G25" s="60"/>
    </row>
    <row r="26" spans="3:13" ht="15.75" customHeight="1">
      <c r="E26" t="s">
        <v>153</v>
      </c>
      <c r="F26">
        <f>SUM(F5:F25)</f>
        <v>131376</v>
      </c>
    </row>
    <row r="27" spans="3:13" ht="15.75" customHeight="1">
      <c r="E27" t="s">
        <v>154</v>
      </c>
      <c r="F27" s="73">
        <f>F26/1000</f>
        <v>131.376</v>
      </c>
      <c r="J27" t="s">
        <v>156</v>
      </c>
      <c r="K27" s="60">
        <v>2.75E-2</v>
      </c>
    </row>
    <row r="28" spans="3:13" ht="15.75" customHeight="1">
      <c r="E28" t="s">
        <v>157</v>
      </c>
      <c r="F28">
        <f>F27*22</f>
        <v>2890.2719999999999</v>
      </c>
    </row>
    <row r="29" spans="3:13" ht="15.75" customHeight="1"/>
    <row r="30" spans="3:13" ht="15.75" customHeight="1">
      <c r="E30" t="s">
        <v>159</v>
      </c>
      <c r="F30">
        <v>316</v>
      </c>
    </row>
    <row r="31" spans="3:13" ht="15.75" customHeight="1">
      <c r="E31" t="s">
        <v>161</v>
      </c>
      <c r="F31">
        <v>3.7959999999999998</v>
      </c>
      <c r="G31" s="75" t="s">
        <v>162</v>
      </c>
    </row>
    <row r="32" spans="3:13" ht="15.75" customHeight="1">
      <c r="E32" t="s">
        <v>163</v>
      </c>
      <c r="F32">
        <f>((F27*F31))</f>
        <v>498.70329599999997</v>
      </c>
      <c r="G32" s="60"/>
    </row>
    <row r="33" spans="2:7" ht="15.75" customHeight="1">
      <c r="E33" s="78" t="s">
        <v>175</v>
      </c>
      <c r="F33" s="78">
        <f>F30+F32*22</f>
        <v>11287.472511999998</v>
      </c>
    </row>
    <row r="34" spans="2:7" ht="15.75" customHeight="1">
      <c r="E34" t="s">
        <v>148</v>
      </c>
      <c r="F34" s="70">
        <v>0.96</v>
      </c>
    </row>
    <row r="35" spans="2:7" ht="15.75" customHeight="1"/>
    <row r="36" spans="2:7" ht="15.75" customHeight="1">
      <c r="D36" s="81" t="s">
        <v>176</v>
      </c>
      <c r="E36" s="81" t="s">
        <v>177</v>
      </c>
      <c r="F36" s="81" t="s">
        <v>110</v>
      </c>
      <c r="G36" s="81" t="s">
        <v>178</v>
      </c>
    </row>
    <row r="37" spans="2:7" ht="15.75" customHeight="1">
      <c r="B37" s="57" t="s">
        <v>179</v>
      </c>
      <c r="C37" t="s">
        <v>180</v>
      </c>
      <c r="D37" s="81" t="s">
        <v>181</v>
      </c>
      <c r="E37" s="81">
        <v>30</v>
      </c>
      <c r="F37" s="81">
        <v>2</v>
      </c>
      <c r="G37" s="83">
        <f t="shared" ref="G37:G41" si="3">F37*E37</f>
        <v>60</v>
      </c>
    </row>
    <row r="38" spans="2:7" ht="15.75" customHeight="1">
      <c r="D38" s="81" t="s">
        <v>182</v>
      </c>
      <c r="E38" s="81">
        <v>30</v>
      </c>
      <c r="F38" s="81">
        <v>2</v>
      </c>
      <c r="G38" s="83">
        <f t="shared" si="3"/>
        <v>60</v>
      </c>
    </row>
    <row r="39" spans="2:7" ht="15.75" customHeight="1">
      <c r="D39" s="81" t="s">
        <v>183</v>
      </c>
      <c r="E39" s="81">
        <v>11</v>
      </c>
      <c r="F39" s="81">
        <v>1</v>
      </c>
      <c r="G39" s="83">
        <f t="shared" si="3"/>
        <v>11</v>
      </c>
    </row>
    <row r="40" spans="2:7" ht="15.75" customHeight="1">
      <c r="D40" s="81" t="s">
        <v>184</v>
      </c>
      <c r="E40" s="81">
        <v>4</v>
      </c>
      <c r="F40" s="81">
        <v>1</v>
      </c>
      <c r="G40" s="83">
        <f t="shared" si="3"/>
        <v>4</v>
      </c>
    </row>
    <row r="41" spans="2:7" ht="15.75" customHeight="1">
      <c r="D41" s="81" t="s">
        <v>185</v>
      </c>
      <c r="E41" s="81">
        <v>2</v>
      </c>
      <c r="F41" s="81">
        <v>1</v>
      </c>
      <c r="G41" s="83">
        <f t="shared" si="3"/>
        <v>2</v>
      </c>
    </row>
    <row r="42" spans="2:7" ht="15.75" customHeight="1">
      <c r="F42" s="85" t="s">
        <v>186</v>
      </c>
      <c r="G42" s="86">
        <f>SUM(G37:G41)</f>
        <v>137</v>
      </c>
    </row>
    <row r="43" spans="2:7" ht="15.75" customHeight="1">
      <c r="E43" s="87" t="s">
        <v>193</v>
      </c>
    </row>
    <row r="44" spans="2:7" ht="15.75" customHeight="1"/>
    <row r="45" spans="2:7" ht="15.75" customHeight="1">
      <c r="F45" t="s">
        <v>194</v>
      </c>
      <c r="G45" s="56">
        <v>230</v>
      </c>
    </row>
    <row r="46" spans="2:7" ht="15.75" customHeight="1">
      <c r="F46" t="s">
        <v>195</v>
      </c>
      <c r="G46" s="56">
        <v>20.359000000000002</v>
      </c>
    </row>
    <row r="47" spans="2:7" ht="15.75" customHeight="1">
      <c r="F47" t="s">
        <v>196</v>
      </c>
      <c r="G47" s="88">
        <f>G46*G42</f>
        <v>2789.1830000000004</v>
      </c>
    </row>
    <row r="48" spans="2:7" ht="15.75" customHeight="1">
      <c r="F48" s="78" t="s">
        <v>197</v>
      </c>
      <c r="G48" s="89">
        <f>G47+G45</f>
        <v>3019.1830000000004</v>
      </c>
    </row>
    <row r="49" spans="2:6" ht="15.75" customHeight="1"/>
    <row r="50" spans="2:6" ht="15.75" customHeight="1">
      <c r="B50" s="57" t="s">
        <v>198</v>
      </c>
      <c r="C50" t="s">
        <v>199</v>
      </c>
      <c r="D50">
        <v>250</v>
      </c>
    </row>
    <row r="51" spans="2:6" ht="15.75" customHeight="1">
      <c r="C51" t="s">
        <v>200</v>
      </c>
      <c r="D51">
        <v>6.3019999999999996</v>
      </c>
    </row>
    <row r="52" spans="2:6" ht="15.75" customHeight="1">
      <c r="C52" s="78" t="s">
        <v>201</v>
      </c>
      <c r="D52" s="78">
        <f>D50+D51*80</f>
        <v>754.16</v>
      </c>
    </row>
    <row r="53" spans="2:6" ht="15.75" customHeight="1"/>
    <row r="54" spans="2:6" ht="15.75" customHeight="1"/>
    <row r="55" spans="2:6" ht="15.75" customHeight="1">
      <c r="E55" t="s">
        <v>202</v>
      </c>
    </row>
    <row r="56" spans="2:6" ht="15.75" customHeight="1">
      <c r="E56" t="s">
        <v>203</v>
      </c>
      <c r="F56" s="90">
        <f>'E-Costos'!B13</f>
        <v>104025.34667059197</v>
      </c>
    </row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I12:M18"/>
  </mergeCells>
  <hyperlinks>
    <hyperlink ref="I4" r:id="rId1" xr:uid="{00000000-0004-0000-0400-000000000000}"/>
    <hyperlink ref="E43" r:id="rId2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00"/>
  <sheetViews>
    <sheetView showGridLines="0" workbookViewId="0">
      <selection activeCell="A4" sqref="A4"/>
    </sheetView>
  </sheetViews>
  <sheetFormatPr defaultColWidth="14.44140625" defaultRowHeight="15" customHeight="1"/>
  <cols>
    <col min="1" max="1" width="42.109375" customWidth="1"/>
    <col min="2" max="2" width="22.88671875" customWidth="1"/>
    <col min="3" max="3" width="11" customWidth="1"/>
    <col min="4" max="4" width="17.33203125" customWidth="1"/>
    <col min="5" max="5" width="11" customWidth="1"/>
    <col min="6" max="6" width="6.88671875" customWidth="1"/>
    <col min="7" max="12" width="11" customWidth="1"/>
    <col min="13" max="13" width="17" customWidth="1"/>
    <col min="14" max="17" width="11" customWidth="1"/>
  </cols>
  <sheetData>
    <row r="1" spans="1:13" ht="14.25" customHeight="1">
      <c r="A1" s="93" t="s">
        <v>205</v>
      </c>
      <c r="E1" s="94">
        <v>10</v>
      </c>
    </row>
    <row r="2" spans="1:13" ht="15.75" customHeight="1">
      <c r="G2" s="653" t="s">
        <v>206</v>
      </c>
      <c r="H2" s="654"/>
      <c r="I2" s="654"/>
      <c r="J2" s="654"/>
      <c r="K2" s="654"/>
      <c r="L2" s="654"/>
      <c r="M2" s="655"/>
    </row>
    <row r="3" spans="1:13" ht="14.25" customHeight="1">
      <c r="A3" s="96" t="s">
        <v>213</v>
      </c>
      <c r="B3" s="747">
        <v>0.21</v>
      </c>
      <c r="G3" s="656" t="s">
        <v>214</v>
      </c>
      <c r="H3" s="657"/>
      <c r="I3" s="657"/>
      <c r="J3" s="657"/>
      <c r="K3" s="657"/>
      <c r="L3" s="657"/>
      <c r="M3" s="658"/>
    </row>
    <row r="4" spans="1:13" ht="14.25" customHeight="1">
      <c r="A4" s="96" t="s">
        <v>216</v>
      </c>
      <c r="B4" s="747">
        <v>0.35</v>
      </c>
      <c r="G4" s="659"/>
      <c r="H4" s="613"/>
      <c r="I4" s="613"/>
      <c r="J4" s="613"/>
      <c r="K4" s="613"/>
      <c r="L4" s="613"/>
      <c r="M4" s="660"/>
    </row>
    <row r="5" spans="1:13" ht="14.25" customHeight="1">
      <c r="A5" s="96" t="s">
        <v>218</v>
      </c>
      <c r="B5" s="747">
        <v>0.08</v>
      </c>
      <c r="C5" t="s">
        <v>219</v>
      </c>
      <c r="G5" s="659"/>
      <c r="H5" s="613"/>
      <c r="I5" s="613"/>
      <c r="J5" s="613"/>
      <c r="K5" s="613"/>
      <c r="L5" s="613"/>
      <c r="M5" s="660"/>
    </row>
    <row r="6" spans="1:13" ht="14.25" customHeight="1">
      <c r="G6" s="661"/>
      <c r="H6" s="662"/>
      <c r="I6" s="662"/>
      <c r="J6" s="662"/>
      <c r="K6" s="662"/>
      <c r="L6" s="662"/>
      <c r="M6" s="663"/>
    </row>
    <row r="7" spans="1:13" ht="14.25" customHeight="1">
      <c r="A7" s="96" t="s">
        <v>222</v>
      </c>
      <c r="B7" t="s">
        <v>223</v>
      </c>
      <c r="G7" s="664" t="s">
        <v>224</v>
      </c>
      <c r="H7" s="657"/>
      <c r="I7" s="657"/>
      <c r="J7" s="657"/>
      <c r="K7" s="657"/>
      <c r="L7" s="657"/>
      <c r="M7" s="658"/>
    </row>
    <row r="8" spans="1:13" ht="14.25" customHeight="1">
      <c r="A8" s="100" t="s">
        <v>225</v>
      </c>
      <c r="B8" s="101">
        <v>30</v>
      </c>
      <c r="C8" t="s">
        <v>227</v>
      </c>
      <c r="G8" s="661"/>
      <c r="H8" s="662"/>
      <c r="I8" s="662"/>
      <c r="J8" s="662"/>
      <c r="K8" s="662"/>
      <c r="L8" s="662"/>
      <c r="M8" s="663"/>
    </row>
    <row r="9" spans="1:13" ht="14.25" customHeight="1">
      <c r="A9" s="100" t="s">
        <v>228</v>
      </c>
      <c r="B9" s="101">
        <v>10</v>
      </c>
      <c r="C9" t="s">
        <v>227</v>
      </c>
      <c r="G9" s="665" t="s">
        <v>229</v>
      </c>
      <c r="H9" s="654"/>
      <c r="I9" s="654"/>
      <c r="J9" s="654"/>
      <c r="K9" s="654"/>
      <c r="L9" s="654"/>
      <c r="M9" s="655"/>
    </row>
    <row r="10" spans="1:13" ht="14.25" customHeight="1">
      <c r="A10" s="100" t="s">
        <v>230</v>
      </c>
      <c r="B10" s="101">
        <v>10</v>
      </c>
      <c r="C10" t="s">
        <v>227</v>
      </c>
      <c r="G10" s="664" t="s">
        <v>231</v>
      </c>
      <c r="H10" s="657"/>
      <c r="I10" s="657"/>
      <c r="J10" s="657"/>
      <c r="K10" s="657"/>
      <c r="L10" s="657"/>
      <c r="M10" s="658"/>
    </row>
    <row r="11" spans="1:13" ht="14.25" customHeight="1">
      <c r="A11" s="100" t="s">
        <v>232</v>
      </c>
      <c r="B11" s="101">
        <v>5</v>
      </c>
      <c r="C11" t="s">
        <v>227</v>
      </c>
      <c r="G11" s="661"/>
      <c r="H11" s="662"/>
      <c r="I11" s="662"/>
      <c r="J11" s="662"/>
      <c r="K11" s="662"/>
      <c r="L11" s="662"/>
      <c r="M11" s="663"/>
    </row>
    <row r="12" spans="1:13" ht="14.25" customHeight="1">
      <c r="A12" s="100" t="s">
        <v>233</v>
      </c>
      <c r="B12" s="101">
        <v>5</v>
      </c>
      <c r="C12" t="s">
        <v>227</v>
      </c>
      <c r="G12" s="664" t="s">
        <v>234</v>
      </c>
      <c r="H12" s="657"/>
      <c r="I12" s="657"/>
      <c r="J12" s="657"/>
      <c r="K12" s="657"/>
      <c r="L12" s="657"/>
      <c r="M12" s="658"/>
    </row>
    <row r="13" spans="1:13" ht="14.25" customHeight="1">
      <c r="A13" s="100" t="s">
        <v>235</v>
      </c>
      <c r="B13" s="101">
        <v>3</v>
      </c>
      <c r="C13" t="s">
        <v>227</v>
      </c>
      <c r="G13" s="661"/>
      <c r="H13" s="662"/>
      <c r="I13" s="662"/>
      <c r="J13" s="662"/>
      <c r="K13" s="662"/>
      <c r="L13" s="662"/>
      <c r="M13" s="663"/>
    </row>
    <row r="14" spans="1:13" ht="12.75" customHeight="1">
      <c r="A14" s="100" t="s">
        <v>236</v>
      </c>
      <c r="B14" s="101">
        <v>5</v>
      </c>
      <c r="C14" t="s">
        <v>227</v>
      </c>
    </row>
    <row r="15" spans="1:13" ht="14.25" customHeight="1">
      <c r="A15" s="100" t="s">
        <v>237</v>
      </c>
      <c r="B15" s="109">
        <v>0.09</v>
      </c>
    </row>
    <row r="16" spans="1:13" ht="12.75" customHeight="1"/>
    <row r="17" spans="1:7" ht="14.25" customHeight="1">
      <c r="A17" s="96" t="s">
        <v>241</v>
      </c>
      <c r="B17" s="115" t="s">
        <v>242</v>
      </c>
      <c r="C17" s="117"/>
      <c r="D17" s="117"/>
      <c r="E17" s="117"/>
      <c r="F17" s="117"/>
      <c r="G17" s="120"/>
    </row>
    <row r="18" spans="1:7" ht="14.25" customHeight="1"/>
    <row r="19" spans="1:7" ht="12.75" customHeight="1">
      <c r="A19" s="96" t="s">
        <v>250</v>
      </c>
      <c r="B19" s="124">
        <f>AVERAGE('Conformación de Datos'!C6:G6)</f>
        <v>14256</v>
      </c>
      <c r="C19" t="s">
        <v>256</v>
      </c>
    </row>
    <row r="20" spans="1:7" ht="14.25" customHeight="1">
      <c r="A20" s="96" t="s">
        <v>258</v>
      </c>
      <c r="B20" s="126">
        <f>'Conformación de Datos'!C12</f>
        <v>1427.2727272727273</v>
      </c>
      <c r="C20" t="s">
        <v>259</v>
      </c>
    </row>
    <row r="21" spans="1:7" ht="12.75" customHeight="1"/>
    <row r="22" spans="1:7" ht="12.75" customHeight="1">
      <c r="A22" s="96" t="s">
        <v>260</v>
      </c>
    </row>
    <row r="23" spans="1:7" ht="12.75" customHeight="1">
      <c r="A23" s="96" t="s">
        <v>261</v>
      </c>
      <c r="B23" s="129">
        <v>6</v>
      </c>
      <c r="C23" t="s">
        <v>262</v>
      </c>
    </row>
    <row r="24" spans="1:7" ht="12.75" customHeight="1">
      <c r="A24" s="96" t="s">
        <v>263</v>
      </c>
      <c r="B24" s="129">
        <v>3</v>
      </c>
      <c r="C24" t="s">
        <v>262</v>
      </c>
    </row>
    <row r="25" spans="1:7" ht="12.75" customHeight="1">
      <c r="A25" s="96" t="s">
        <v>264</v>
      </c>
      <c r="B25" s="129">
        <v>4</v>
      </c>
      <c r="C25" t="s">
        <v>262</v>
      </c>
    </row>
    <row r="26" spans="1:7" ht="12.75" customHeight="1">
      <c r="B26" s="56"/>
    </row>
    <row r="27" spans="1:7" ht="12.75" customHeight="1">
      <c r="A27" s="96" t="s">
        <v>266</v>
      </c>
      <c r="B27" s="129">
        <f>15*60</f>
        <v>900</v>
      </c>
      <c r="C27" t="s">
        <v>269</v>
      </c>
    </row>
    <row r="28" spans="1:7" ht="14.25" customHeight="1">
      <c r="A28" s="96" t="s">
        <v>270</v>
      </c>
      <c r="B28" s="129">
        <v>19</v>
      </c>
      <c r="C28" t="s">
        <v>271</v>
      </c>
    </row>
    <row r="29" spans="1:7" ht="12.75" customHeight="1">
      <c r="A29" s="96" t="s">
        <v>272</v>
      </c>
      <c r="B29" s="129">
        <v>3</v>
      </c>
      <c r="C29" t="s">
        <v>271</v>
      </c>
    </row>
    <row r="30" spans="1:7" ht="12.75" customHeight="1">
      <c r="B30" s="56"/>
    </row>
    <row r="31" spans="1:7" ht="12.75" customHeight="1">
      <c r="B31" s="56"/>
    </row>
    <row r="32" spans="1:7" ht="14.25" customHeight="1">
      <c r="A32" s="96" t="s">
        <v>273</v>
      </c>
      <c r="B32" s="129">
        <v>41</v>
      </c>
      <c r="C32" t="s">
        <v>274</v>
      </c>
      <c r="D32" s="129">
        <v>1</v>
      </c>
      <c r="E32" t="s">
        <v>275</v>
      </c>
    </row>
    <row r="33" spans="1:9" ht="12.75" customHeight="1">
      <c r="A33" s="134"/>
      <c r="B33" s="56"/>
    </row>
    <row r="34" spans="1:9" ht="14.25" customHeight="1">
      <c r="A34" s="134"/>
    </row>
    <row r="35" spans="1:9" ht="12.75" customHeight="1">
      <c r="A35" s="96" t="s">
        <v>280</v>
      </c>
      <c r="B35" s="722">
        <v>0.22</v>
      </c>
      <c r="C35" t="s">
        <v>282</v>
      </c>
      <c r="G35" s="135" t="s">
        <v>283</v>
      </c>
    </row>
    <row r="36" spans="1:9" ht="12.75" customHeight="1">
      <c r="A36" s="96" t="s">
        <v>285</v>
      </c>
      <c r="B36" s="723" t="s">
        <v>910</v>
      </c>
      <c r="C36" s="666"/>
      <c r="D36" s="667"/>
    </row>
    <row r="37" spans="1:9" ht="12.75" customHeight="1">
      <c r="A37" s="96" t="s">
        <v>291</v>
      </c>
      <c r="B37" s="724">
        <v>0.45</v>
      </c>
    </row>
    <row r="38" spans="1:9" ht="14.25" customHeight="1">
      <c r="A38" s="96"/>
    </row>
    <row r="39" spans="1:9" ht="12.75" customHeight="1">
      <c r="A39" s="96" t="s">
        <v>293</v>
      </c>
      <c r="B39" s="142"/>
    </row>
    <row r="40" spans="1:9" ht="12.75" customHeight="1">
      <c r="A40" s="96" t="s">
        <v>295</v>
      </c>
      <c r="B40" s="142"/>
    </row>
    <row r="41" spans="1:9" ht="12.75" customHeight="1">
      <c r="A41" s="96" t="s">
        <v>296</v>
      </c>
      <c r="B41" s="142"/>
      <c r="C41" t="s">
        <v>282</v>
      </c>
    </row>
    <row r="42" spans="1:9" ht="12.75" customHeight="1"/>
    <row r="43" spans="1:9" ht="12.75" customHeight="1"/>
    <row r="44" spans="1:9" ht="12.75" customHeight="1">
      <c r="B44" s="288"/>
      <c r="C44" s="288"/>
      <c r="D44" s="288"/>
      <c r="E44" s="288"/>
      <c r="F44" s="288"/>
      <c r="G44" s="288"/>
      <c r="H44" s="288"/>
      <c r="I44" s="288"/>
    </row>
    <row r="45" spans="1:9" ht="12.75" customHeight="1">
      <c r="B45" s="288"/>
      <c r="C45" s="471" t="s">
        <v>749</v>
      </c>
      <c r="I45" s="288"/>
    </row>
    <row r="46" spans="1:9" ht="12.75" customHeight="1">
      <c r="B46" s="288"/>
      <c r="C46" s="288" t="s">
        <v>752</v>
      </c>
      <c r="I46" s="288"/>
    </row>
    <row r="47" spans="1:9" ht="12.75" customHeight="1">
      <c r="B47" s="288" t="s">
        <v>476</v>
      </c>
      <c r="C47" s="292" t="s">
        <v>754</v>
      </c>
      <c r="D47" s="292">
        <v>0.22</v>
      </c>
      <c r="E47" s="292" t="s">
        <v>755</v>
      </c>
      <c r="I47" s="288"/>
    </row>
    <row r="48" spans="1:9" ht="12.75" customHeight="1">
      <c r="B48" s="288" t="s">
        <v>757</v>
      </c>
      <c r="C48" s="296">
        <v>0.04</v>
      </c>
      <c r="D48" s="292">
        <v>0.04</v>
      </c>
      <c r="I48" s="288"/>
    </row>
    <row r="49" spans="2:9" ht="12.75" customHeight="1">
      <c r="B49" s="288"/>
      <c r="C49" s="288"/>
      <c r="D49" s="288"/>
      <c r="E49" s="288"/>
      <c r="F49" s="288"/>
      <c r="G49" s="288"/>
      <c r="H49" s="288"/>
      <c r="I49" s="288"/>
    </row>
    <row r="50" spans="2:9" ht="12.75" customHeight="1">
      <c r="B50" s="288"/>
      <c r="C50" s="288"/>
      <c r="D50" s="288"/>
      <c r="E50" s="288"/>
      <c r="F50" s="288"/>
      <c r="G50" s="288"/>
      <c r="H50" s="288"/>
      <c r="I50" s="288"/>
    </row>
    <row r="51" spans="2:9" ht="12.75" customHeight="1">
      <c r="B51" s="288" t="s">
        <v>476</v>
      </c>
      <c r="C51" s="292" t="s">
        <v>477</v>
      </c>
      <c r="D51" s="292">
        <v>0.15</v>
      </c>
      <c r="E51" s="292" t="s">
        <v>478</v>
      </c>
      <c r="I51" s="288"/>
    </row>
    <row r="52" spans="2:9" ht="12.75" customHeight="1">
      <c r="B52" s="288"/>
      <c r="C52" s="296"/>
      <c r="E52" s="292" t="s">
        <v>485</v>
      </c>
      <c r="I52" s="288"/>
    </row>
    <row r="53" spans="2:9" ht="12.75" customHeight="1">
      <c r="B53" s="288" t="s">
        <v>775</v>
      </c>
      <c r="I53" s="288"/>
    </row>
    <row r="54" spans="2:9" ht="12.75" customHeight="1">
      <c r="B54" s="288"/>
      <c r="C54" s="288"/>
      <c r="D54" s="288"/>
      <c r="E54" s="288"/>
      <c r="F54" s="288"/>
      <c r="G54" s="288"/>
      <c r="H54" s="288"/>
      <c r="I54" s="288"/>
    </row>
    <row r="55" spans="2:9" ht="12.75" customHeight="1"/>
    <row r="56" spans="2:9" ht="12.75" customHeight="1"/>
    <row r="57" spans="2:9" ht="12.75" customHeight="1"/>
    <row r="58" spans="2:9" ht="12.75" customHeight="1"/>
    <row r="59" spans="2:9" ht="12.75" customHeight="1"/>
    <row r="60" spans="2:9" ht="12.75" customHeight="1"/>
    <row r="61" spans="2:9" ht="12.75" customHeight="1"/>
    <row r="62" spans="2:9" ht="12.75" customHeight="1"/>
    <row r="63" spans="2:9" ht="12.75" customHeight="1"/>
    <row r="64" spans="2: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4.2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spans="17:17" ht="12.75" customHeight="1"/>
    <row r="242" spans="17:17" ht="12.75" customHeight="1"/>
    <row r="243" spans="17:17" ht="12.75" customHeight="1"/>
    <row r="244" spans="17:17" ht="12.75" customHeight="1"/>
    <row r="245" spans="17:17" ht="12.75" customHeight="1"/>
    <row r="246" spans="17:17" ht="12.75" customHeight="1"/>
    <row r="247" spans="17:17" ht="12.75" customHeight="1"/>
    <row r="248" spans="17:17" ht="12.75" customHeight="1">
      <c r="Q248" s="135" t="s">
        <v>299</v>
      </c>
    </row>
    <row r="249" spans="17:17" ht="12.75" customHeight="1"/>
    <row r="250" spans="17:17" ht="12.75" customHeight="1"/>
    <row r="251" spans="17:17" ht="12.75" customHeight="1"/>
    <row r="252" spans="17:17" ht="12.75" customHeight="1"/>
    <row r="253" spans="17:17" ht="12.75" customHeight="1"/>
    <row r="254" spans="17:17" ht="12.75" customHeight="1"/>
    <row r="255" spans="17:17" ht="12.75" customHeight="1"/>
    <row r="256" spans="17:17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G12:M13"/>
    <mergeCell ref="B36:D36"/>
    <mergeCell ref="G2:M2"/>
    <mergeCell ref="G3:M6"/>
    <mergeCell ref="G7:M8"/>
    <mergeCell ref="G9:M9"/>
    <mergeCell ref="G10:M11"/>
  </mergeCells>
  <hyperlinks>
    <hyperlink ref="C45" r:id="rId1" xr:uid="{80ECFC9F-03B7-4D1D-9FD4-EF91BCE61648}"/>
  </hyperlink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00"/>
  <sheetViews>
    <sheetView showGridLines="0" topLeftCell="A36" workbookViewId="0">
      <selection activeCell="I14" sqref="I14"/>
    </sheetView>
  </sheetViews>
  <sheetFormatPr defaultColWidth="14.44140625" defaultRowHeight="15" customHeight="1"/>
  <cols>
    <col min="1" max="1" width="45.33203125" customWidth="1"/>
    <col min="2" max="2" width="18.6640625" customWidth="1"/>
    <col min="3" max="6" width="14.6640625" customWidth="1"/>
    <col min="7" max="7" width="16.5546875" customWidth="1"/>
    <col min="8" max="8" width="11.33203125" customWidth="1"/>
    <col min="9" max="25" width="9" customWidth="1"/>
  </cols>
  <sheetData>
    <row r="1" spans="1:25" ht="14.25" customHeight="1">
      <c r="A1" s="93" t="s">
        <v>215</v>
      </c>
      <c r="E1" s="94">
        <f>InfoInicial!E1</f>
        <v>10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ht="13.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ht="16.5" customHeight="1">
      <c r="A3" s="98" t="s">
        <v>217</v>
      </c>
      <c r="B3" s="668" t="s">
        <v>220</v>
      </c>
      <c r="C3" s="669"/>
      <c r="D3" s="668" t="s">
        <v>221</v>
      </c>
      <c r="E3" s="670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ht="16.5" customHeight="1">
      <c r="A4" s="99"/>
      <c r="B4" s="102" t="s">
        <v>226</v>
      </c>
      <c r="C4" s="102" t="s">
        <v>69</v>
      </c>
      <c r="D4" s="102" t="s">
        <v>226</v>
      </c>
      <c r="E4" s="104" t="s">
        <v>69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ht="13.5" customHeight="1">
      <c r="A5" s="106"/>
      <c r="B5" s="108"/>
      <c r="C5" s="108"/>
      <c r="D5" s="108"/>
      <c r="E5" s="108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spans="1:25" ht="12.75" customHeight="1">
      <c r="A6" s="110" t="s">
        <v>240</v>
      </c>
      <c r="B6" s="111"/>
      <c r="C6" s="111"/>
      <c r="D6" s="111"/>
      <c r="E6" s="111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1:25" ht="12.75" customHeight="1">
      <c r="A7" s="113" t="s">
        <v>243</v>
      </c>
      <c r="B7" s="116">
        <f>'Conformación de Datos'!D38</f>
        <v>7502726</v>
      </c>
      <c r="C7" s="118"/>
      <c r="D7" s="118"/>
      <c r="E7" s="118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5" ht="12.75" customHeight="1">
      <c r="A8" s="113" t="s">
        <v>248</v>
      </c>
      <c r="B8" s="116">
        <f>'Conformación de Datos'!E41</f>
        <v>8897274</v>
      </c>
      <c r="C8" s="118"/>
      <c r="D8" s="118"/>
      <c r="E8" s="118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1:25" ht="12.75" customHeight="1">
      <c r="A9" s="113" t="s">
        <v>249</v>
      </c>
      <c r="B9" s="118">
        <f>0.8*B8</f>
        <v>7117819.2000000002</v>
      </c>
      <c r="C9" s="118"/>
      <c r="D9" s="118"/>
      <c r="E9" s="118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ht="12.75" customHeight="1">
      <c r="A10" s="113" t="s">
        <v>251</v>
      </c>
      <c r="B10" s="118"/>
      <c r="C10" s="118"/>
      <c r="D10" s="118"/>
      <c r="E10" s="118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ht="12.75" customHeight="1">
      <c r="A11" s="113" t="s">
        <v>254</v>
      </c>
      <c r="B11" s="122"/>
      <c r="C11" s="122"/>
      <c r="D11" s="118">
        <f>('Conformación de Datos'!D25+'Conformación de Datos'!D25*0.05)*InfoInicial!B32</f>
        <v>34440</v>
      </c>
      <c r="E11" s="118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 ht="12.75" customHeight="1">
      <c r="A12" s="113" t="s">
        <v>255</v>
      </c>
      <c r="B12" s="122">
        <f>'Conformación de Datos'!E34</f>
        <v>554000</v>
      </c>
      <c r="C12" s="122"/>
      <c r="D12" s="118"/>
      <c r="E12" s="118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 ht="12.75" customHeight="1">
      <c r="A13" s="128" t="s">
        <v>257</v>
      </c>
      <c r="B13" s="122">
        <f>D11*0.11</f>
        <v>3788.4</v>
      </c>
      <c r="C13" s="122"/>
      <c r="D13" s="118"/>
      <c r="E13" s="118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ht="12.75" customHeight="1">
      <c r="A14" s="113" t="s">
        <v>265</v>
      </c>
      <c r="B14" s="122">
        <f>B12*0.1</f>
        <v>55400</v>
      </c>
      <c r="C14" s="122"/>
      <c r="D14" s="118"/>
      <c r="E14" s="118"/>
      <c r="F14" s="132" t="s">
        <v>268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</row>
    <row r="15" spans="1:25" ht="12.75" customHeight="1">
      <c r="A15" s="113" t="s">
        <v>276</v>
      </c>
      <c r="B15" s="122">
        <f>'Conformación de Datos'!K34</f>
        <v>162500</v>
      </c>
      <c r="C15" s="122"/>
      <c r="D15" s="118"/>
      <c r="E15" s="118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 ht="12.75" customHeight="1">
      <c r="A16" s="113" t="s">
        <v>277</v>
      </c>
      <c r="B16" s="122" t="s">
        <v>278</v>
      </c>
      <c r="C16" s="122"/>
      <c r="D16" s="118"/>
      <c r="E16" s="118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1:25" ht="12.75" customHeight="1">
      <c r="A17" s="113" t="s">
        <v>279</v>
      </c>
      <c r="B17" s="122">
        <f>'Conformación de Datos'!G81</f>
        <v>1144687.32</v>
      </c>
      <c r="C17" s="122"/>
      <c r="D17" s="118"/>
      <c r="E17" s="118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</row>
    <row r="18" spans="1:25" ht="12.75" customHeight="1">
      <c r="A18" s="113" t="s">
        <v>281</v>
      </c>
      <c r="B18" s="122" t="s">
        <v>278</v>
      </c>
      <c r="C18" s="122"/>
      <c r="D18" s="118"/>
      <c r="E18" s="118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</row>
    <row r="19" spans="1:25" ht="12.75" customHeight="1">
      <c r="A19" s="113" t="s">
        <v>237</v>
      </c>
      <c r="B19" s="122">
        <f>SUM(B7:B18)*0.09</f>
        <v>2289437.5427999999</v>
      </c>
      <c r="C19" s="122"/>
      <c r="D19" s="118"/>
      <c r="E19" s="118"/>
      <c r="F19" s="132" t="s">
        <v>286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</row>
    <row r="20" spans="1:25" ht="12.75" customHeight="1">
      <c r="A20" s="113"/>
      <c r="B20" s="122"/>
      <c r="C20" s="122"/>
      <c r="D20" s="118"/>
      <c r="E20" s="118"/>
      <c r="F20" s="139" t="s">
        <v>287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</row>
    <row r="21" spans="1:25" ht="12.75" customHeight="1">
      <c r="A21" s="110" t="s">
        <v>288</v>
      </c>
      <c r="B21" s="122">
        <f t="shared" ref="B21:E21" si="0">SUM(B7:B19)</f>
        <v>27727632.462799996</v>
      </c>
      <c r="C21" s="122">
        <f t="shared" si="0"/>
        <v>0</v>
      </c>
      <c r="D21" s="118">
        <f t="shared" si="0"/>
        <v>34440</v>
      </c>
      <c r="E21" s="118">
        <f t="shared" si="0"/>
        <v>0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</row>
    <row r="22" spans="1:25" ht="12.75" customHeight="1">
      <c r="A22" s="113"/>
      <c r="B22" s="122"/>
      <c r="C22" s="122"/>
      <c r="D22" s="118"/>
      <c r="E22" s="118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</row>
    <row r="23" spans="1:25" ht="12.75" customHeight="1">
      <c r="A23" s="110" t="s">
        <v>290</v>
      </c>
      <c r="B23" s="122"/>
      <c r="C23" s="122"/>
      <c r="D23" s="118"/>
      <c r="E23" s="118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</row>
    <row r="24" spans="1:25" ht="12.75" customHeight="1">
      <c r="A24" s="113" t="s">
        <v>292</v>
      </c>
      <c r="B24" s="122">
        <f>SUM(B7:D19)*0.0004</f>
        <v>11104.828985119999</v>
      </c>
      <c r="C24" s="122"/>
      <c r="D24" s="118"/>
      <c r="E24" s="118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25" ht="12.75" customHeight="1">
      <c r="A25" s="113" t="s">
        <v>294</v>
      </c>
      <c r="B25" s="122">
        <f>'Conformación de Datos'!C85</f>
        <v>16160</v>
      </c>
      <c r="C25" s="122"/>
      <c r="D25" s="118"/>
      <c r="E25" s="118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</row>
    <row r="26" spans="1:25" ht="12.75" customHeight="1">
      <c r="A26" s="113" t="s">
        <v>298</v>
      </c>
      <c r="B26" s="122">
        <f>SUM(B7:D19)*0.0006</f>
        <v>16657.243477679996</v>
      </c>
      <c r="C26" s="122"/>
      <c r="D26" s="118"/>
      <c r="E26" s="118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</row>
    <row r="27" spans="1:25" ht="12.75" customHeight="1">
      <c r="A27" s="128" t="s">
        <v>300</v>
      </c>
      <c r="B27" s="122"/>
      <c r="C27" s="122">
        <f>'Conformación de Datos'!C92</f>
        <v>93480</v>
      </c>
      <c r="D27" s="118"/>
      <c r="E27" s="118"/>
      <c r="F27" s="132" t="s">
        <v>302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</row>
    <row r="28" spans="1:25" ht="12.75" customHeight="1">
      <c r="A28" s="128" t="s">
        <v>303</v>
      </c>
      <c r="B28" s="122" t="s">
        <v>278</v>
      </c>
      <c r="C28" s="122"/>
      <c r="D28" s="118"/>
      <c r="E28" s="118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</row>
    <row r="29" spans="1:25" ht="12.75" customHeight="1">
      <c r="A29" s="128" t="s">
        <v>305</v>
      </c>
      <c r="B29" s="122" t="s">
        <v>278</v>
      </c>
      <c r="C29" s="122"/>
      <c r="D29" s="118"/>
      <c r="E29" s="118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</row>
    <row r="30" spans="1:25" ht="12.75" customHeight="1">
      <c r="A30" s="113" t="s">
        <v>237</v>
      </c>
      <c r="B30" s="122">
        <f>SUM(B24:B28)*0.09</f>
        <v>3952.9865216519993</v>
      </c>
      <c r="C30" s="122"/>
      <c r="D30" s="118"/>
      <c r="E30" s="118"/>
      <c r="F30" s="132" t="s">
        <v>307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</row>
    <row r="31" spans="1:25" ht="12.75" customHeight="1">
      <c r="A31" s="113"/>
      <c r="B31" s="122"/>
      <c r="C31" s="122"/>
      <c r="D31" s="118"/>
      <c r="E31" s="118"/>
      <c r="F31" s="139" t="s">
        <v>287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</row>
    <row r="32" spans="1:25" ht="12.75" customHeight="1">
      <c r="A32" s="110" t="s">
        <v>308</v>
      </c>
      <c r="B32" s="122">
        <f t="shared" ref="B32:E32" si="1">SUM(B24:B31)</f>
        <v>47875.058984451993</v>
      </c>
      <c r="C32" s="122">
        <f t="shared" si="1"/>
        <v>93480</v>
      </c>
      <c r="D32" s="118">
        <f t="shared" si="1"/>
        <v>0</v>
      </c>
      <c r="E32" s="118">
        <f t="shared" si="1"/>
        <v>0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</row>
    <row r="33" spans="1:25" ht="12.75" customHeight="1">
      <c r="A33" s="113"/>
      <c r="B33" s="122"/>
      <c r="C33" s="122"/>
      <c r="D33" s="118"/>
      <c r="E33" s="118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</row>
    <row r="34" spans="1:25" ht="12.75" customHeight="1">
      <c r="A34" s="110" t="s">
        <v>311</v>
      </c>
      <c r="B34" s="118">
        <f t="shared" ref="B34:E34" si="2">+B32+B21</f>
        <v>27775507.521784447</v>
      </c>
      <c r="C34" s="118">
        <f t="shared" si="2"/>
        <v>93480</v>
      </c>
      <c r="D34" s="118">
        <f t="shared" si="2"/>
        <v>34440</v>
      </c>
      <c r="E34" s="118">
        <f t="shared" si="2"/>
        <v>0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</row>
    <row r="35" spans="1:25" ht="12.75" customHeight="1">
      <c r="A35" s="110" t="s">
        <v>313</v>
      </c>
      <c r="B35" s="118">
        <f>B34*InfoInicial!B3</f>
        <v>5832856.579574734</v>
      </c>
      <c r="C35" s="118">
        <f>C34*InfoInicial!B3</f>
        <v>19630.8</v>
      </c>
      <c r="D35" s="118"/>
      <c r="E35" s="118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</row>
    <row r="36" spans="1:25" ht="12.75" customHeight="1">
      <c r="A36" s="113"/>
      <c r="B36" s="118"/>
      <c r="C36" s="118"/>
      <c r="D36" s="118"/>
      <c r="E36" s="118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</row>
    <row r="37" spans="1:25" ht="13.5" customHeight="1">
      <c r="A37" s="144" t="s">
        <v>317</v>
      </c>
      <c r="B37" s="146">
        <f t="shared" ref="B37:E37" si="3">B35+B32+B21</f>
        <v>33608364.101359181</v>
      </c>
      <c r="C37" s="146">
        <f t="shared" si="3"/>
        <v>113110.8</v>
      </c>
      <c r="D37" s="146">
        <f t="shared" si="3"/>
        <v>34440</v>
      </c>
      <c r="E37" s="146">
        <f t="shared" si="3"/>
        <v>0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</row>
    <row r="38" spans="1:25" ht="13.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</row>
    <row r="39" spans="1:25" ht="13.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6" t="s">
        <v>222</v>
      </c>
      <c r="M39" t="s">
        <v>223</v>
      </c>
      <c r="P39" s="97"/>
      <c r="Q39" s="97"/>
      <c r="R39" s="97"/>
      <c r="S39" s="97"/>
      <c r="T39" s="97"/>
      <c r="U39" s="97"/>
      <c r="V39" s="97"/>
      <c r="W39" s="97"/>
      <c r="X39" s="97"/>
      <c r="Y39" s="97"/>
    </row>
    <row r="40" spans="1:25" ht="13.5" customHeight="1">
      <c r="A40" s="149" t="s">
        <v>319</v>
      </c>
      <c r="B40" s="151" t="s">
        <v>321</v>
      </c>
      <c r="C40" s="151" t="s">
        <v>323</v>
      </c>
      <c r="D40" s="668" t="s">
        <v>324</v>
      </c>
      <c r="E40" s="671"/>
      <c r="F40" s="669"/>
      <c r="G40" s="158" t="s">
        <v>325</v>
      </c>
      <c r="H40" s="97"/>
      <c r="I40" s="97"/>
      <c r="J40" s="97"/>
      <c r="K40" s="97"/>
      <c r="L40" s="100" t="s">
        <v>225</v>
      </c>
      <c r="M40" s="101">
        <v>30</v>
      </c>
      <c r="N40" t="s">
        <v>227</v>
      </c>
      <c r="P40" s="97"/>
      <c r="Q40" s="97"/>
      <c r="R40" s="97"/>
      <c r="S40" s="97"/>
      <c r="T40" s="97"/>
      <c r="U40" s="97"/>
      <c r="V40" s="97"/>
      <c r="W40" s="97"/>
      <c r="X40" s="97"/>
      <c r="Y40" s="97"/>
    </row>
    <row r="41" spans="1:25" ht="13.5" customHeight="1">
      <c r="A41" s="160"/>
      <c r="B41" s="102" t="s">
        <v>329</v>
      </c>
      <c r="C41" s="102"/>
      <c r="D41" s="102" t="s">
        <v>330</v>
      </c>
      <c r="E41" s="102" t="s">
        <v>331</v>
      </c>
      <c r="F41" s="102"/>
      <c r="G41" s="162"/>
      <c r="H41" s="97"/>
      <c r="I41" s="97"/>
      <c r="J41" s="97"/>
      <c r="K41" s="97"/>
      <c r="L41" s="100" t="s">
        <v>228</v>
      </c>
      <c r="M41" s="101">
        <v>10</v>
      </c>
      <c r="N41" t="s">
        <v>227</v>
      </c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25" ht="13.5" customHeight="1">
      <c r="A42" s="164" t="s">
        <v>341</v>
      </c>
      <c r="B42" s="166"/>
      <c r="C42" s="166"/>
      <c r="D42" s="166"/>
      <c r="E42" s="166"/>
      <c r="F42" s="168"/>
      <c r="G42" s="170"/>
      <c r="H42" s="97"/>
      <c r="I42" s="97"/>
      <c r="J42" s="97"/>
      <c r="K42" s="97"/>
      <c r="L42" s="100" t="s">
        <v>230</v>
      </c>
      <c r="M42" s="101">
        <v>10</v>
      </c>
      <c r="N42" t="s">
        <v>227</v>
      </c>
      <c r="P42" s="97"/>
      <c r="Q42" s="97"/>
      <c r="R42" s="97"/>
      <c r="S42" s="97"/>
      <c r="T42" s="97"/>
      <c r="U42" s="97"/>
      <c r="V42" s="97"/>
      <c r="W42" s="97"/>
      <c r="X42" s="97"/>
      <c r="Y42" s="97"/>
    </row>
    <row r="43" spans="1:25" ht="12.75" customHeight="1">
      <c r="A43" s="172"/>
      <c r="B43" s="179"/>
      <c r="C43" s="179"/>
      <c r="D43" s="179"/>
      <c r="E43" s="179"/>
      <c r="F43" s="181"/>
      <c r="G43" s="183"/>
      <c r="H43" s="97"/>
      <c r="I43" s="97"/>
      <c r="J43" s="97"/>
      <c r="K43" s="97"/>
      <c r="L43" s="100" t="s">
        <v>232</v>
      </c>
      <c r="M43" s="101">
        <v>5</v>
      </c>
      <c r="N43" t="s">
        <v>227</v>
      </c>
      <c r="P43" s="97"/>
      <c r="Q43" s="97"/>
      <c r="R43" s="97"/>
      <c r="S43" s="97"/>
      <c r="T43" s="97"/>
      <c r="U43" s="97"/>
      <c r="V43" s="97"/>
      <c r="W43" s="97"/>
      <c r="X43" s="97"/>
      <c r="Y43" s="97"/>
    </row>
    <row r="44" spans="1:25" ht="12.75" customHeight="1">
      <c r="A44" s="113" t="s">
        <v>243</v>
      </c>
      <c r="B44" s="118">
        <f t="shared" ref="B44:B46" si="4">SUM(B7:E7)</f>
        <v>7502726</v>
      </c>
      <c r="C44" s="193"/>
      <c r="D44" s="118">
        <f t="shared" ref="D44:D51" si="5">B44*C44</f>
        <v>0</v>
      </c>
      <c r="E44" s="118">
        <f t="shared" ref="E44:E51" si="6">B44*C44</f>
        <v>0</v>
      </c>
      <c r="F44" s="118"/>
      <c r="G44" s="195">
        <f t="shared" ref="G44:G51" si="7">B44-D44*3-E44*2</f>
        <v>7502726</v>
      </c>
      <c r="H44" s="97"/>
      <c r="I44" s="97"/>
      <c r="J44" s="97"/>
      <c r="K44" s="97"/>
      <c r="L44" s="100" t="s">
        <v>233</v>
      </c>
      <c r="M44" s="101">
        <v>5</v>
      </c>
      <c r="N44" t="s">
        <v>227</v>
      </c>
      <c r="P44" s="97"/>
      <c r="Q44" s="97"/>
      <c r="R44" s="97"/>
      <c r="S44" s="97"/>
      <c r="T44" s="97"/>
      <c r="U44" s="97"/>
      <c r="V44" s="97"/>
      <c r="W44" s="97"/>
      <c r="X44" s="97"/>
      <c r="Y44" s="97"/>
    </row>
    <row r="45" spans="1:25" ht="12.75" customHeight="1">
      <c r="A45" s="113" t="s">
        <v>248</v>
      </c>
      <c r="B45" s="118">
        <f t="shared" si="4"/>
        <v>8897274</v>
      </c>
      <c r="C45" s="193">
        <f>1/30</f>
        <v>3.3333333333333333E-2</v>
      </c>
      <c r="D45" s="118">
        <f t="shared" si="5"/>
        <v>296575.8</v>
      </c>
      <c r="E45" s="118">
        <f t="shared" si="6"/>
        <v>296575.8</v>
      </c>
      <c r="F45" s="118"/>
      <c r="G45" s="195">
        <f t="shared" si="7"/>
        <v>7414395</v>
      </c>
      <c r="H45" s="97"/>
      <c r="I45" s="97"/>
      <c r="J45" s="97"/>
      <c r="K45" s="97"/>
      <c r="L45" s="100" t="s">
        <v>235</v>
      </c>
      <c r="M45" s="101">
        <v>3</v>
      </c>
      <c r="N45" t="s">
        <v>227</v>
      </c>
      <c r="P45" s="97"/>
      <c r="Q45" s="97"/>
      <c r="R45" s="97"/>
      <c r="S45" s="97"/>
      <c r="T45" s="97"/>
      <c r="U45" s="97"/>
      <c r="V45" s="97"/>
      <c r="W45" s="97"/>
      <c r="X45" s="97"/>
      <c r="Y45" s="97"/>
    </row>
    <row r="46" spans="1:25" ht="12.75" customHeight="1">
      <c r="A46" s="113" t="s">
        <v>249</v>
      </c>
      <c r="B46" s="118">
        <f t="shared" si="4"/>
        <v>7117819.2000000002</v>
      </c>
      <c r="C46" s="193">
        <f t="shared" ref="C46:C47" si="8">1/10</f>
        <v>0.1</v>
      </c>
      <c r="D46" s="118">
        <f t="shared" si="5"/>
        <v>711781.92</v>
      </c>
      <c r="E46" s="118">
        <f t="shared" si="6"/>
        <v>711781.92</v>
      </c>
      <c r="F46" s="118"/>
      <c r="G46" s="195">
        <f t="shared" si="7"/>
        <v>3558909.5999999996</v>
      </c>
      <c r="H46" s="97"/>
      <c r="I46" s="97"/>
      <c r="J46" s="97"/>
      <c r="K46" s="97"/>
      <c r="L46" s="100" t="s">
        <v>236</v>
      </c>
      <c r="M46" s="101">
        <v>5</v>
      </c>
      <c r="N46" t="s">
        <v>227</v>
      </c>
      <c r="P46" s="97"/>
      <c r="Q46" s="97"/>
      <c r="R46" s="97"/>
      <c r="S46" s="97"/>
      <c r="T46" s="97"/>
      <c r="U46" s="97"/>
      <c r="V46" s="97"/>
      <c r="W46" s="97"/>
      <c r="X46" s="97"/>
      <c r="Y46" s="97"/>
    </row>
    <row r="47" spans="1:25" ht="12.75" customHeight="1">
      <c r="A47" s="128" t="s">
        <v>251</v>
      </c>
      <c r="B47" s="118">
        <f>SUM(B11:E14)</f>
        <v>647628.4</v>
      </c>
      <c r="C47" s="193">
        <f t="shared" si="8"/>
        <v>0.1</v>
      </c>
      <c r="D47" s="118">
        <f t="shared" si="5"/>
        <v>64762.840000000004</v>
      </c>
      <c r="E47" s="118">
        <f t="shared" si="6"/>
        <v>64762.840000000004</v>
      </c>
      <c r="F47" s="118"/>
      <c r="G47" s="195">
        <f t="shared" si="7"/>
        <v>323814.2</v>
      </c>
      <c r="H47" s="97"/>
      <c r="I47" s="97"/>
      <c r="J47" s="97"/>
      <c r="K47" s="97"/>
      <c r="L47" s="100" t="s">
        <v>237</v>
      </c>
      <c r="M47" s="109">
        <v>0.09</v>
      </c>
      <c r="P47" s="97"/>
      <c r="Q47" s="97"/>
      <c r="R47" s="97"/>
      <c r="S47" s="97"/>
      <c r="T47" s="97"/>
      <c r="U47" s="97"/>
      <c r="V47" s="97"/>
      <c r="W47" s="97"/>
      <c r="X47" s="97"/>
      <c r="Y47" s="97"/>
    </row>
    <row r="48" spans="1:25" ht="12.75" customHeight="1">
      <c r="A48" s="128" t="s">
        <v>277</v>
      </c>
      <c r="B48" s="118">
        <f t="shared" ref="B48:B49" si="9">SUM(B16:E16)</f>
        <v>0</v>
      </c>
      <c r="C48" s="202">
        <f t="shared" ref="C48:C49" si="10">1/5</f>
        <v>0.2</v>
      </c>
      <c r="D48" s="118">
        <f t="shared" si="5"/>
        <v>0</v>
      </c>
      <c r="E48" s="118">
        <f t="shared" si="6"/>
        <v>0</v>
      </c>
      <c r="F48" s="118"/>
      <c r="G48" s="195">
        <f t="shared" si="7"/>
        <v>0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</row>
    <row r="49" spans="1:25" ht="12.75" customHeight="1">
      <c r="A49" s="128" t="s">
        <v>279</v>
      </c>
      <c r="B49" s="118">
        <f t="shared" si="9"/>
        <v>1144687.32</v>
      </c>
      <c r="C49" s="202">
        <f t="shared" si="10"/>
        <v>0.2</v>
      </c>
      <c r="D49" s="118">
        <f t="shared" si="5"/>
        <v>228937.46400000004</v>
      </c>
      <c r="E49" s="118">
        <f t="shared" si="6"/>
        <v>228937.46400000004</v>
      </c>
      <c r="F49" s="118"/>
      <c r="G49" s="195">
        <f t="shared" si="7"/>
        <v>0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</row>
    <row r="50" spans="1:25" ht="12.75" customHeight="1">
      <c r="A50" s="128" t="s">
        <v>237</v>
      </c>
      <c r="B50" s="118">
        <f>SUM(B19:E19)</f>
        <v>2289437.5427999999</v>
      </c>
      <c r="C50" s="205">
        <v>0.09</v>
      </c>
      <c r="D50" s="118">
        <f t="shared" si="5"/>
        <v>206049.37885199999</v>
      </c>
      <c r="E50" s="118">
        <f t="shared" si="6"/>
        <v>206049.37885199999</v>
      </c>
      <c r="F50" s="118"/>
      <c r="G50" s="195">
        <f t="shared" si="7"/>
        <v>1259190.64854</v>
      </c>
      <c r="H50" s="97"/>
      <c r="I50" s="97"/>
      <c r="J50" s="97"/>
      <c r="K50" s="97"/>
      <c r="L50" s="100" t="s">
        <v>361</v>
      </c>
      <c r="M50" s="207">
        <v>0.9</v>
      </c>
      <c r="N50" s="97"/>
      <c r="O50" s="132" t="s">
        <v>362</v>
      </c>
      <c r="P50" s="97"/>
      <c r="Q50" s="97"/>
      <c r="R50" s="97"/>
      <c r="S50" s="97"/>
      <c r="T50" s="97"/>
      <c r="U50" s="97"/>
      <c r="V50" s="97"/>
      <c r="W50" s="97"/>
      <c r="X50" s="97"/>
      <c r="Y50" s="97"/>
    </row>
    <row r="51" spans="1:25" ht="12.75" customHeight="1">
      <c r="A51" s="128" t="s">
        <v>276</v>
      </c>
      <c r="B51" s="118">
        <f>SUM(B15:E15)</f>
        <v>162500</v>
      </c>
      <c r="C51" s="202">
        <f>1/5</f>
        <v>0.2</v>
      </c>
      <c r="D51" s="118">
        <f t="shared" si="5"/>
        <v>32500</v>
      </c>
      <c r="E51" s="118">
        <f t="shared" si="6"/>
        <v>32500</v>
      </c>
      <c r="F51" s="118"/>
      <c r="G51" s="195">
        <f t="shared" si="7"/>
        <v>0</v>
      </c>
      <c r="H51" s="97"/>
      <c r="I51" s="97"/>
      <c r="J51" s="97"/>
      <c r="K51" s="97"/>
      <c r="L51" s="100" t="s">
        <v>366</v>
      </c>
      <c r="M51" s="207">
        <v>1</v>
      </c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</row>
    <row r="52" spans="1:25" ht="12.75" customHeight="1">
      <c r="A52" s="208" t="s">
        <v>368</v>
      </c>
      <c r="B52" s="118">
        <f>SUM(B44:B51)</f>
        <v>27762072.462799996</v>
      </c>
      <c r="C52" s="122"/>
      <c r="D52" s="118">
        <f t="shared" ref="D52:G52" si="11">SUM(D44:D51)</f>
        <v>1540607.4028520002</v>
      </c>
      <c r="E52" s="118">
        <f t="shared" si="11"/>
        <v>1540607.4028520002</v>
      </c>
      <c r="F52" s="118">
        <f t="shared" si="11"/>
        <v>0</v>
      </c>
      <c r="G52" s="118">
        <f t="shared" si="11"/>
        <v>20059035.448540002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</row>
    <row r="53" spans="1:25" ht="12.75" customHeight="1">
      <c r="A53" s="110"/>
      <c r="B53" s="209"/>
      <c r="C53" s="193"/>
      <c r="D53" s="210"/>
      <c r="E53" s="210"/>
      <c r="F53" s="210"/>
      <c r="G53" s="211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</row>
    <row r="54" spans="1:25" ht="12.75" customHeight="1">
      <c r="A54" s="208" t="s">
        <v>378</v>
      </c>
      <c r="B54" s="118">
        <f>SUM(B32:E32)</f>
        <v>141355.05898445199</v>
      </c>
      <c r="C54" s="193">
        <f>1/5</f>
        <v>0.2</v>
      </c>
      <c r="D54" s="118">
        <f>B54*C54</f>
        <v>28271.011796890398</v>
      </c>
      <c r="E54" s="118">
        <f>B54*C54</f>
        <v>28271.011796890398</v>
      </c>
      <c r="F54" s="118"/>
      <c r="G54" s="195">
        <f>B54-D54*3-E54*2</f>
        <v>0</v>
      </c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</row>
    <row r="55" spans="1:25" ht="12.75" customHeight="1">
      <c r="A55" s="208"/>
      <c r="B55" s="118"/>
      <c r="C55" s="118"/>
      <c r="D55" s="118"/>
      <c r="E55" s="118"/>
      <c r="F55" s="118"/>
      <c r="G55" s="195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</row>
    <row r="56" spans="1:25" ht="12.75" customHeight="1">
      <c r="A56" s="110"/>
      <c r="B56" s="111"/>
      <c r="C56" s="111"/>
      <c r="D56" s="215"/>
      <c r="E56" s="216"/>
      <c r="F56" s="216"/>
      <c r="G56" s="217"/>
      <c r="H56" s="218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</row>
    <row r="57" spans="1:25" ht="13.5" customHeight="1">
      <c r="A57" s="144" t="s">
        <v>387</v>
      </c>
      <c r="B57" s="146">
        <f>B52+B54</f>
        <v>27903427.521784447</v>
      </c>
      <c r="C57" s="146">
        <f>C52</f>
        <v>0</v>
      </c>
      <c r="D57" s="146">
        <f t="shared" ref="D57:E57" si="12">D52+D54</f>
        <v>1568878.4146488905</v>
      </c>
      <c r="E57" s="146">
        <f t="shared" si="12"/>
        <v>1568878.4146488905</v>
      </c>
      <c r="F57" s="146">
        <f t="shared" ref="F57:G57" si="13">F52</f>
        <v>0</v>
      </c>
      <c r="G57" s="146">
        <f t="shared" si="13"/>
        <v>20059035.448540002</v>
      </c>
      <c r="H57" s="220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</row>
    <row r="58" spans="1:25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</row>
    <row r="59" spans="1:25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</row>
    <row r="60" spans="1:25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</row>
    <row r="61" spans="1:25" ht="12.75" customHeight="1">
      <c r="A61" s="97" t="s">
        <v>392</v>
      </c>
      <c r="B61" s="97">
        <f>E57/'Conformación de Datos'!I164</f>
        <v>1357.7308945785132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</row>
    <row r="62" spans="1:25" ht="12.75" customHeight="1">
      <c r="A62" s="97" t="s">
        <v>394</v>
      </c>
      <c r="B62" s="97">
        <f>D57/('Conformación de Datos'!I146+('Conformación de Datos'!I152/2))</f>
        <v>1662.1677622246841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</row>
    <row r="63" spans="1:25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</row>
    <row r="64" spans="1:25" ht="12.75" customHeight="1">
      <c r="A64" s="97"/>
      <c r="B64" s="97">
        <f>'Conformación de Datos'!I152/2</f>
        <v>8.3892051353358781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</row>
    <row r="65" spans="1:25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</row>
    <row r="66" spans="1:25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</row>
    <row r="67" spans="1:25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</row>
    <row r="68" spans="1:25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</row>
    <row r="69" spans="1:25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</row>
    <row r="70" spans="1:25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</row>
    <row r="71" spans="1:25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</row>
    <row r="72" spans="1:25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</row>
    <row r="73" spans="1:25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</row>
    <row r="74" spans="1:25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</row>
    <row r="75" spans="1:25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</row>
    <row r="76" spans="1:25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</row>
    <row r="77" spans="1:25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</row>
    <row r="78" spans="1:25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</row>
    <row r="79" spans="1:25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</row>
    <row r="80" spans="1:25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</row>
    <row r="81" spans="1:25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</row>
    <row r="82" spans="1:25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</row>
    <row r="83" spans="1:25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</row>
    <row r="84" spans="1:25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</row>
    <row r="85" spans="1:25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</row>
    <row r="86" spans="1:25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</row>
    <row r="87" spans="1:25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</row>
    <row r="88" spans="1:25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</row>
    <row r="89" spans="1:25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</row>
    <row r="90" spans="1:25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</row>
    <row r="91" spans="1:25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</row>
    <row r="92" spans="1:25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</row>
    <row r="93" spans="1:25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</row>
    <row r="94" spans="1:25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</row>
    <row r="95" spans="1:25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</row>
    <row r="96" spans="1:25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</row>
    <row r="97" spans="1:25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</row>
    <row r="98" spans="1:25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</row>
    <row r="99" spans="1:25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</row>
    <row r="100" spans="1:25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</row>
    <row r="101" spans="1:25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</row>
    <row r="102" spans="1:25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</row>
    <row r="103" spans="1:25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</row>
    <row r="104" spans="1:25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</row>
    <row r="105" spans="1:25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</row>
    <row r="106" spans="1:25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</row>
    <row r="107" spans="1:25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</row>
    <row r="108" spans="1:25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</row>
    <row r="109" spans="1:25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</row>
    <row r="110" spans="1:25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</row>
    <row r="111" spans="1:25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</row>
    <row r="112" spans="1:25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</row>
    <row r="113" spans="1:25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</row>
    <row r="114" spans="1:25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</row>
    <row r="115" spans="1:25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</row>
    <row r="116" spans="1:25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</row>
    <row r="117" spans="1:25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</row>
    <row r="118" spans="1:25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</row>
    <row r="119" spans="1:25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</row>
    <row r="120" spans="1:25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</row>
    <row r="121" spans="1:25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</row>
    <row r="122" spans="1:25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</row>
    <row r="123" spans="1:25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</row>
    <row r="124" spans="1:25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</row>
    <row r="125" spans="1:25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</row>
    <row r="126" spans="1:25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</row>
    <row r="127" spans="1:25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</row>
    <row r="128" spans="1:25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</row>
    <row r="129" spans="1:25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</row>
    <row r="130" spans="1:25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</row>
    <row r="131" spans="1:25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</row>
    <row r="132" spans="1:25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</row>
    <row r="133" spans="1:25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</row>
    <row r="134" spans="1:25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</row>
    <row r="135" spans="1:25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</row>
    <row r="136" spans="1:25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</row>
    <row r="137" spans="1:25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</row>
    <row r="138" spans="1:25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</row>
    <row r="139" spans="1:25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</row>
    <row r="140" spans="1:25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</row>
    <row r="141" spans="1:25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</row>
    <row r="142" spans="1:25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</row>
    <row r="143" spans="1:25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</row>
    <row r="144" spans="1:25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</row>
    <row r="145" spans="1:25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</row>
    <row r="146" spans="1:25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</row>
    <row r="147" spans="1:25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</row>
    <row r="148" spans="1:25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</row>
    <row r="149" spans="1:25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</row>
    <row r="150" spans="1:25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</row>
    <row r="151" spans="1:25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</row>
    <row r="152" spans="1:25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</row>
    <row r="153" spans="1:25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</row>
    <row r="154" spans="1:25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</row>
    <row r="155" spans="1:25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</row>
    <row r="156" spans="1:25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</row>
    <row r="157" spans="1:25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</row>
    <row r="158" spans="1:25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</row>
    <row r="159" spans="1:25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</row>
    <row r="160" spans="1:25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</row>
    <row r="161" spans="1:25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</row>
    <row r="162" spans="1:25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</row>
    <row r="163" spans="1:25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</row>
    <row r="164" spans="1:25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</row>
    <row r="165" spans="1:25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</row>
    <row r="166" spans="1:25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</row>
    <row r="167" spans="1:25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</row>
    <row r="168" spans="1:25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</row>
    <row r="169" spans="1:25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</row>
    <row r="170" spans="1:25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</row>
    <row r="171" spans="1:25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</row>
    <row r="172" spans="1:25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</row>
    <row r="173" spans="1:25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</row>
    <row r="174" spans="1:25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</row>
    <row r="175" spans="1:25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</row>
    <row r="176" spans="1:25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</row>
    <row r="177" spans="1:25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</row>
    <row r="178" spans="1:25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</row>
    <row r="179" spans="1:25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</row>
    <row r="180" spans="1:25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</row>
    <row r="181" spans="1:25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</row>
    <row r="182" spans="1:25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</row>
    <row r="183" spans="1:25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</row>
    <row r="184" spans="1:25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</row>
    <row r="185" spans="1:25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</row>
    <row r="186" spans="1:25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</row>
    <row r="187" spans="1:25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</row>
    <row r="188" spans="1:25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</row>
    <row r="189" spans="1:25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</row>
    <row r="190" spans="1:25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</row>
    <row r="191" spans="1:25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</row>
    <row r="192" spans="1:25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</row>
    <row r="193" spans="1:25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</row>
    <row r="194" spans="1:25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</row>
    <row r="195" spans="1:25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</row>
    <row r="196" spans="1:25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</row>
    <row r="197" spans="1:25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</row>
    <row r="198" spans="1:25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</row>
    <row r="199" spans="1:25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</row>
    <row r="200" spans="1:25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</row>
    <row r="201" spans="1:25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</row>
    <row r="202" spans="1:25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</row>
    <row r="203" spans="1:25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</row>
    <row r="204" spans="1:25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</row>
    <row r="205" spans="1:25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</row>
    <row r="206" spans="1:25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</row>
    <row r="207" spans="1:25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</row>
    <row r="208" spans="1:25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</row>
    <row r="209" spans="1:25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</row>
    <row r="210" spans="1:25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</row>
    <row r="211" spans="1:25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</row>
    <row r="212" spans="1:25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</row>
    <row r="213" spans="1:25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</row>
    <row r="214" spans="1:25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</row>
    <row r="215" spans="1:25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</row>
    <row r="216" spans="1:25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</row>
    <row r="217" spans="1:25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</row>
    <row r="218" spans="1:25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</row>
    <row r="219" spans="1:25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</row>
    <row r="220" spans="1:25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</row>
    <row r="221" spans="1:25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</row>
    <row r="222" spans="1:25" ht="12.7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</row>
    <row r="223" spans="1:25" ht="12.7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</row>
    <row r="224" spans="1:25" ht="12.7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</row>
    <row r="225" spans="1:25" ht="12.7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</row>
    <row r="226" spans="1:25" ht="12.7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</row>
    <row r="227" spans="1:25" ht="12.7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</row>
    <row r="228" spans="1:25" ht="12.7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</row>
    <row r="229" spans="1:25" ht="12.7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</row>
    <row r="230" spans="1:25" ht="12.7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</row>
    <row r="231" spans="1:25" ht="12.75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</row>
    <row r="232" spans="1:25" ht="12.75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</row>
    <row r="233" spans="1:25" ht="12.75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</row>
    <row r="234" spans="1:25" ht="12.75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</row>
    <row r="235" spans="1:25" ht="12.75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</row>
    <row r="236" spans="1:25" ht="12.75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</row>
    <row r="237" spans="1:25" ht="12.75" customHeight="1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</row>
    <row r="238" spans="1:25" ht="12.75" customHeight="1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</row>
    <row r="239" spans="1:25" ht="12.75" customHeight="1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</row>
    <row r="240" spans="1:25" ht="12.75" customHeight="1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</row>
    <row r="241" spans="1:25" ht="12.75" customHeight="1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</row>
    <row r="242" spans="1:25" ht="12.75" customHeight="1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ht="12.75" customHeight="1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2.75" customHeight="1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12.75" customHeight="1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12.75" customHeight="1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2.75" customHeight="1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2.75" customHeight="1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12.75" customHeight="1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</row>
    <row r="250" spans="1:25" ht="12.75" customHeight="1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</row>
    <row r="251" spans="1:25" ht="12.75" customHeight="1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</row>
    <row r="252" spans="1:25" ht="12.75" customHeight="1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</row>
    <row r="253" spans="1:25" ht="12.75" customHeight="1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</row>
    <row r="254" spans="1:25" ht="12.75" customHeight="1">
      <c r="A254" s="9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</row>
    <row r="255" spans="1:25" ht="12.75" customHeight="1">
      <c r="A255" s="9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</row>
    <row r="256" spans="1:25" ht="12.75" customHeight="1">
      <c r="A256" s="9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</row>
    <row r="257" spans="1:25" ht="12.75" customHeight="1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</row>
    <row r="258" spans="1:25" ht="12.75" customHeight="1">
      <c r="A258" s="9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</row>
    <row r="259" spans="1:25" ht="12.75" customHeight="1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</row>
    <row r="260" spans="1:25" ht="12.75" customHeight="1">
      <c r="A260" s="9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</row>
    <row r="261" spans="1:25" ht="12.75" customHeight="1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</row>
    <row r="262" spans="1:25" ht="12.75" customHeight="1">
      <c r="A262" s="9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</row>
    <row r="263" spans="1:25" ht="12.75" customHeight="1">
      <c r="A263" s="9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</row>
    <row r="264" spans="1:25" ht="12.75" customHeight="1">
      <c r="A264" s="9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</row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D3:E3"/>
    <mergeCell ref="D40:F40"/>
  </mergeCells>
  <pageMargins left="0.7" right="0.7" top="0.75" bottom="0.75" header="0" footer="0"/>
  <pageSetup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showGridLines="0" workbookViewId="0">
      <selection activeCell="F20" sqref="F20"/>
    </sheetView>
  </sheetViews>
  <sheetFormatPr defaultColWidth="14.44140625" defaultRowHeight="15" customHeight="1"/>
  <cols>
    <col min="1" max="1" width="7.88671875" customWidth="1"/>
    <col min="2" max="2" width="15.77734375" bestFit="1" customWidth="1"/>
    <col min="3" max="5" width="14.6640625" customWidth="1"/>
    <col min="6" max="6" width="15.109375" bestFit="1" customWidth="1"/>
    <col min="7" max="7" width="15.77734375" bestFit="1" customWidth="1"/>
    <col min="8" max="8" width="14.6640625" customWidth="1"/>
    <col min="9" max="9" width="16.88671875" customWidth="1"/>
    <col min="10" max="12" width="14.6640625" customWidth="1"/>
    <col min="13" max="13" width="16.88671875" customWidth="1"/>
    <col min="14" max="26" width="9" customWidth="1"/>
  </cols>
  <sheetData>
    <row r="1" spans="1:26" ht="14.25" customHeight="1">
      <c r="A1" s="93" t="s">
        <v>205</v>
      </c>
      <c r="E1" s="97"/>
      <c r="F1" s="97"/>
      <c r="G1" s="97">
        <f>InfoInicial!E1</f>
        <v>10</v>
      </c>
      <c r="H1" s="94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6.5" customHeight="1">
      <c r="A2" s="154" t="s">
        <v>320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39" customHeight="1">
      <c r="A3" s="159" t="s">
        <v>327</v>
      </c>
      <c r="B3" s="161" t="s">
        <v>328</v>
      </c>
      <c r="C3" s="161" t="s">
        <v>332</v>
      </c>
      <c r="D3" s="161" t="s">
        <v>333</v>
      </c>
      <c r="E3" s="161" t="s">
        <v>218</v>
      </c>
      <c r="F3" s="161" t="s">
        <v>334</v>
      </c>
      <c r="G3" s="161" t="s">
        <v>335</v>
      </c>
      <c r="H3" s="161" t="s">
        <v>336</v>
      </c>
      <c r="I3" s="161" t="s">
        <v>337</v>
      </c>
      <c r="J3" s="161" t="s">
        <v>338</v>
      </c>
      <c r="K3" s="161" t="s">
        <v>339</v>
      </c>
      <c r="L3" s="163" t="s">
        <v>340</v>
      </c>
      <c r="M3" s="165" t="s">
        <v>342</v>
      </c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4.25" customHeight="1">
      <c r="A4" s="173">
        <v>0</v>
      </c>
      <c r="B4" s="175">
        <f>'E-Cal Inv.'!B8+'E-Cal Inv.'!C8</f>
        <v>27809947.521784451</v>
      </c>
      <c r="C4" s="177">
        <f>'E-InvAT'!B25</f>
        <v>517069.98552863329</v>
      </c>
      <c r="D4" s="177">
        <f>'E-Cal Inv.'!B23+'E-Cal Inv.'!C23</f>
        <v>5982795.8143688934</v>
      </c>
      <c r="E4" s="177" t="s">
        <v>278</v>
      </c>
      <c r="F4" s="177" t="s">
        <v>278</v>
      </c>
      <c r="G4" s="177">
        <f t="shared" ref="G4:G9" si="0">SUM(B4:F4)</f>
        <v>34309813.321681976</v>
      </c>
      <c r="H4" s="177" t="s">
        <v>278</v>
      </c>
      <c r="I4" s="177" t="s">
        <v>278</v>
      </c>
      <c r="J4" s="177" t="s">
        <v>278</v>
      </c>
      <c r="K4" s="177">
        <f t="shared" ref="K4:K9" si="1">SUM(H4:J4)</f>
        <v>0</v>
      </c>
      <c r="L4" s="185">
        <f t="shared" ref="L4:L9" si="2">K4-G4</f>
        <v>-34309813.321681976</v>
      </c>
      <c r="M4" s="187">
        <f>L4</f>
        <v>-34309813.321681976</v>
      </c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4.25" customHeight="1">
      <c r="A5" s="190">
        <v>1</v>
      </c>
      <c r="B5" s="192">
        <f>'E-Cal Inv.'!D8</f>
        <v>93480</v>
      </c>
      <c r="C5" s="194">
        <f>'E-InvAT'!C25</f>
        <v>2561295.4355439092</v>
      </c>
      <c r="D5" s="194">
        <f>'E-Cal Inv.'!D23</f>
        <v>523380.70363107428</v>
      </c>
      <c r="E5" s="194">
        <f>'E-Costos'!B116</f>
        <v>465975.04168224009</v>
      </c>
      <c r="F5" s="194">
        <f>'E-Costos'!B117</f>
        <v>2038640.8073598002</v>
      </c>
      <c r="G5" s="177">
        <f t="shared" si="0"/>
        <v>5682771.9882170241</v>
      </c>
      <c r="H5" s="194">
        <f>'E-Costos'!B115</f>
        <v>5824688.0210280009</v>
      </c>
      <c r="I5" s="194">
        <f>'E-Costos'!B124</f>
        <v>1568878.4146488905</v>
      </c>
      <c r="J5" s="194">
        <f>'E-IVA '!C28</f>
        <v>2844694.8840550543</v>
      </c>
      <c r="K5" s="177">
        <f t="shared" si="1"/>
        <v>10238261.319731945</v>
      </c>
      <c r="L5" s="185">
        <f t="shared" si="2"/>
        <v>4555489.331514921</v>
      </c>
      <c r="M5" s="198">
        <f t="shared" ref="M5:M9" si="3">M4+L5</f>
        <v>-29754323.990167055</v>
      </c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4.25" customHeight="1">
      <c r="A6" s="190">
        <v>2</v>
      </c>
      <c r="B6" s="192">
        <f>'E-Cal Inv.'!E8</f>
        <v>0</v>
      </c>
      <c r="C6" s="194">
        <f>'E-InvAT'!D25</f>
        <v>213976.92813294707</v>
      </c>
      <c r="D6" s="194">
        <f>'E-Cal Inv.'!E23</f>
        <v>44935.154907918957</v>
      </c>
      <c r="E6" s="194">
        <f>'E-Costos'!C116</f>
        <v>691896.86306731869</v>
      </c>
      <c r="F6" s="194">
        <f>'E-Costos'!C117</f>
        <v>3027048.7759195189</v>
      </c>
      <c r="G6" s="177">
        <f t="shared" si="0"/>
        <v>3977857.7220277037</v>
      </c>
      <c r="H6" s="194">
        <f>'E-Costos'!C115</f>
        <v>8648710.7883414831</v>
      </c>
      <c r="I6" s="194">
        <f>'E-Costos'!C124</f>
        <v>1568878.4146488905</v>
      </c>
      <c r="J6" s="194">
        <f>'E-IVA '!D28</f>
        <v>3563636.4690439128</v>
      </c>
      <c r="K6" s="177">
        <f t="shared" si="1"/>
        <v>13781225.672034286</v>
      </c>
      <c r="L6" s="185">
        <f t="shared" si="2"/>
        <v>9803367.9500065818</v>
      </c>
      <c r="M6" s="198">
        <f t="shared" si="3"/>
        <v>-19950956.040160473</v>
      </c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4.25" customHeight="1">
      <c r="A7" s="190">
        <v>3</v>
      </c>
      <c r="B7" s="192">
        <f>'E-Cal Inv.'!F8</f>
        <v>0</v>
      </c>
      <c r="C7" s="194">
        <f>'E-InvAT'!E25</f>
        <v>455.85761796915904</v>
      </c>
      <c r="D7" s="194">
        <f>'E-Cal Inv.'!F23</f>
        <v>95.730099773415105</v>
      </c>
      <c r="E7" s="194">
        <f>'E-Costos'!D116</f>
        <v>691741.96563677222</v>
      </c>
      <c r="F7" s="194">
        <f>'E-Costos'!D117</f>
        <v>3026371.0996608781</v>
      </c>
      <c r="G7" s="177">
        <f t="shared" si="0"/>
        <v>3718664.6530153928</v>
      </c>
      <c r="H7" s="194">
        <f>'E-Costos'!D115</f>
        <v>8646774.5704596527</v>
      </c>
      <c r="I7" s="194">
        <f>'E-Costos'!D124</f>
        <v>1568878.4146488905</v>
      </c>
      <c r="J7" s="194">
        <f>'E-IVA '!E28</f>
        <v>142876.04990869286</v>
      </c>
      <c r="K7" s="177">
        <f t="shared" si="1"/>
        <v>10358529.035017235</v>
      </c>
      <c r="L7" s="185">
        <f t="shared" si="2"/>
        <v>6639864.3820018424</v>
      </c>
      <c r="M7" s="198">
        <f t="shared" si="3"/>
        <v>-13311091.65815863</v>
      </c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4.25" customHeight="1">
      <c r="A8" s="190">
        <v>4</v>
      </c>
      <c r="B8" s="192">
        <f>'E-Cal Inv.'!G8</f>
        <v>0</v>
      </c>
      <c r="C8" s="194">
        <f>'E-InvAT'!F25</f>
        <v>-0.1018918426707387</v>
      </c>
      <c r="D8" s="194">
        <f>'E-Cal Inv.'!G23</f>
        <v>-2.139728693946381E-2</v>
      </c>
      <c r="E8" s="194">
        <f>'E-Costos'!E116</f>
        <v>691741.96563677222</v>
      </c>
      <c r="F8" s="194">
        <f>'E-Costos'!E117</f>
        <v>3026371.0996608781</v>
      </c>
      <c r="G8" s="177">
        <f t="shared" si="0"/>
        <v>3718112.9420085205</v>
      </c>
      <c r="H8" s="194">
        <f>'E-Costos'!E115</f>
        <v>8646774.5704596527</v>
      </c>
      <c r="I8" s="194">
        <f>'E-Costos'!E124</f>
        <v>1568878.4146488905</v>
      </c>
      <c r="J8" s="194">
        <f>'E-IVA '!F28</f>
        <v>-2.139728693946381E-2</v>
      </c>
      <c r="K8" s="177">
        <f t="shared" si="1"/>
        <v>10215652.963711256</v>
      </c>
      <c r="L8" s="185">
        <f t="shared" si="2"/>
        <v>6497540.0217027357</v>
      </c>
      <c r="M8" s="198">
        <f t="shared" si="3"/>
        <v>-6813551.6364558944</v>
      </c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4.25" customHeight="1">
      <c r="A9" s="190">
        <v>5</v>
      </c>
      <c r="B9" s="192">
        <f>-'E-Inv AF y Am'!G57</f>
        <v>-20059035.448540002</v>
      </c>
      <c r="C9" s="194">
        <f>-'E-InvAT'!G22+'E-InvAT'!G25</f>
        <v>-3292798.1049316162</v>
      </c>
      <c r="D9" s="194">
        <f>'E-Cal Inv.'!H23</f>
        <v>-2.7503119781613348E-11</v>
      </c>
      <c r="E9" s="194">
        <f>'E-Costos'!F116</f>
        <v>691741.96563677222</v>
      </c>
      <c r="F9" s="194">
        <f>'E-Costos'!F117</f>
        <v>3026371.0996608781</v>
      </c>
      <c r="G9" s="177">
        <f t="shared" si="0"/>
        <v>-19633720.488173969</v>
      </c>
      <c r="H9" s="194">
        <f>'E-Costos'!F115</f>
        <v>8646774.5704596527</v>
      </c>
      <c r="I9" s="194">
        <f>'E-Costos'!F124</f>
        <v>1568878.4146488905</v>
      </c>
      <c r="J9" s="194">
        <f>'E-IVA '!G2832</f>
        <v>0</v>
      </c>
      <c r="K9" s="177">
        <f t="shared" si="1"/>
        <v>10215652.985108543</v>
      </c>
      <c r="L9" s="185">
        <f t="shared" si="2"/>
        <v>29849373.473282512</v>
      </c>
      <c r="M9" s="198">
        <f t="shared" si="3"/>
        <v>23035821.836826619</v>
      </c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4.25" customHeight="1">
      <c r="A10" s="190"/>
      <c r="B10" s="192"/>
      <c r="C10" s="194"/>
      <c r="D10" s="194"/>
      <c r="E10" s="194"/>
      <c r="F10" s="194"/>
      <c r="G10" s="194"/>
      <c r="H10" s="194"/>
      <c r="I10" s="194"/>
      <c r="J10" s="194"/>
      <c r="K10" s="194"/>
      <c r="L10" s="212"/>
      <c r="M10" s="198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4.25" customHeight="1">
      <c r="A11" s="213" t="s">
        <v>380</v>
      </c>
      <c r="B11" s="214">
        <f t="shared" ref="B11:C11" si="4">SUM(B4:B9)</f>
        <v>7844392.0732444488</v>
      </c>
      <c r="C11" s="214">
        <f t="shared" si="4"/>
        <v>0</v>
      </c>
      <c r="D11" s="214">
        <f>ROUND(SUM(D4:D9),1)</f>
        <v>6551207.4000000004</v>
      </c>
      <c r="E11" s="214">
        <f t="shared" ref="E11:I11" si="5">SUM(E4:E9)</f>
        <v>3233097.8016598751</v>
      </c>
      <c r="F11" s="214">
        <f t="shared" si="5"/>
        <v>14144802.882261954</v>
      </c>
      <c r="G11" s="214">
        <f t="shared" si="5"/>
        <v>31773500.138776645</v>
      </c>
      <c r="H11" s="214">
        <f t="shared" si="5"/>
        <v>40413722.520748444</v>
      </c>
      <c r="I11" s="214">
        <f t="shared" si="5"/>
        <v>7844392.0732444525</v>
      </c>
      <c r="J11" s="214">
        <f>ROUND(SUM(J4:J9),1)</f>
        <v>6551207.4000000004</v>
      </c>
      <c r="K11" s="214">
        <f t="shared" ref="K11:L11" si="6">SUM(K4:K9)</f>
        <v>54809321.975603268</v>
      </c>
      <c r="L11" s="214">
        <f t="shared" si="6"/>
        <v>23035821.836826619</v>
      </c>
      <c r="M11" s="219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3.5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 ht="12.75" customHeight="1">
      <c r="A13" s="97"/>
      <c r="B13" s="97"/>
      <c r="C13" s="100" t="s">
        <v>390</v>
      </c>
      <c r="D13" s="221">
        <f>H11-E11-F11</f>
        <v>23035821.836826615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2.75" customHeight="1">
      <c r="A14" s="134"/>
      <c r="B14" s="97"/>
      <c r="C14" s="100" t="s">
        <v>393</v>
      </c>
      <c r="D14" s="222">
        <f>A8+(-M8/L9)</f>
        <v>4.2282644773952978</v>
      </c>
      <c r="E14" s="97" t="s">
        <v>396</v>
      </c>
      <c r="F14" s="97"/>
      <c r="G14" s="97"/>
      <c r="H14" s="97"/>
      <c r="I14" s="223">
        <f>D4+D5</f>
        <v>6506176.5179999676</v>
      </c>
      <c r="J14" s="223">
        <f>J5+J6</f>
        <v>6408331.3530989671</v>
      </c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2.75" customHeight="1">
      <c r="A15" s="97"/>
      <c r="B15" s="97"/>
      <c r="C15" s="100" t="s">
        <v>400</v>
      </c>
      <c r="D15" s="224">
        <f>IRR(L4:L9)</f>
        <v>0.14986177817262214</v>
      </c>
      <c r="E15" s="97"/>
      <c r="F15" s="97"/>
      <c r="G15" s="97"/>
      <c r="H15" s="97"/>
      <c r="I15" s="97"/>
      <c r="J15" s="223">
        <f>J11-D11</f>
        <v>0</v>
      </c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4.25" customHeight="1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672" t="s">
        <v>404</v>
      </c>
      <c r="M16" s="655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4.25" customHeight="1">
      <c r="A17" s="97"/>
      <c r="B17" s="97"/>
      <c r="C17" s="97"/>
      <c r="D17" s="97"/>
      <c r="E17" s="97"/>
      <c r="F17" s="97"/>
      <c r="G17" s="97"/>
      <c r="H17" s="97"/>
      <c r="I17" s="97"/>
      <c r="J17" s="226"/>
      <c r="K17" s="97"/>
      <c r="L17" s="672" t="s">
        <v>409</v>
      </c>
      <c r="M17" s="655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4.25" customHeight="1">
      <c r="A18" s="97"/>
      <c r="B18" s="97"/>
      <c r="C18" s="132" t="s">
        <v>411</v>
      </c>
      <c r="D18" s="97"/>
      <c r="E18" s="97"/>
      <c r="F18" s="97"/>
      <c r="G18" s="97"/>
      <c r="H18" s="97"/>
      <c r="I18" s="97"/>
      <c r="J18" s="132" t="s">
        <v>412</v>
      </c>
      <c r="K18" s="97"/>
      <c r="L18" s="227" t="s">
        <v>337</v>
      </c>
      <c r="M18" s="228" t="str">
        <f>IF(B11=I11,"OK","MAL")</f>
        <v>OK</v>
      </c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ht="14.25" customHeight="1">
      <c r="A19" s="97"/>
      <c r="B19" s="97"/>
      <c r="C19" s="139" t="s">
        <v>415</v>
      </c>
      <c r="D19" s="97"/>
      <c r="E19" s="97"/>
      <c r="F19" s="97"/>
      <c r="G19" s="97"/>
      <c r="H19" s="97"/>
      <c r="I19" s="97"/>
      <c r="J19" s="139" t="s">
        <v>415</v>
      </c>
      <c r="K19" s="97"/>
      <c r="L19" s="227" t="s">
        <v>416</v>
      </c>
      <c r="M19" s="228" t="str">
        <f>IF(D11=J11,"OK","MAL")</f>
        <v>OK</v>
      </c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4.25" customHeight="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227" t="s">
        <v>417</v>
      </c>
      <c r="M20" s="228" t="str">
        <f>IF(C11=0,"OK","MAL")</f>
        <v>OK</v>
      </c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4.25" customHeight="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227" t="s">
        <v>419</v>
      </c>
      <c r="M21" s="228" t="str">
        <f>IF((H11-F11-E11)=L11,IF(L11=M9,"OK","MAL"),"MAL")</f>
        <v>OK</v>
      </c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2.75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2.75" customHeight="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2.75" customHeight="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2.75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2.75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2.75" customHeight="1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2.75" customHeight="1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2.75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2.75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2.75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2.75" customHeight="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2.7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2.75" customHeigh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2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2.7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2.7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2.7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2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2.7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2.7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2.7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2.7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2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2.7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2.7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2.7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2.7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2.7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2.7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2.7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2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2.7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2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2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2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2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2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2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2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2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2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2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2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2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2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2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2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2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2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2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2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2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2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2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12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2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2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2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2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2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12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2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2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2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2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2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2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2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2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2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2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2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2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2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2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2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2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2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2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2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2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2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2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2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2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2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2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2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2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2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2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2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2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2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2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2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2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2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2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2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2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2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2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2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2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2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2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2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2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2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2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2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2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2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2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2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2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2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2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2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12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2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2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2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2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2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12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2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2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2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2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2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2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2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2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2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2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2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2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2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2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2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2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2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2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2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2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2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2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2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2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2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2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2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2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2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2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2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2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2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2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2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2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2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2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2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2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2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2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2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2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2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2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2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2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2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2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2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2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2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2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2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2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2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12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2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2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2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2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2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12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2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2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2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2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2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2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2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2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41" priority="1" operator="equal">
      <formula>"OK"</formula>
    </cfRule>
  </conditionalFormatting>
  <conditionalFormatting sqref="M18">
    <cfRule type="cellIs" dxfId="40" priority="2" operator="equal">
      <formula>"MAL"</formula>
    </cfRule>
  </conditionalFormatting>
  <conditionalFormatting sqref="M19">
    <cfRule type="cellIs" dxfId="39" priority="3" operator="equal">
      <formula>"OK"</formula>
    </cfRule>
  </conditionalFormatting>
  <conditionalFormatting sqref="M19">
    <cfRule type="cellIs" dxfId="38" priority="4" operator="equal">
      <formula>"MAL"</formula>
    </cfRule>
  </conditionalFormatting>
  <conditionalFormatting sqref="M20">
    <cfRule type="cellIs" dxfId="37" priority="5" operator="equal">
      <formula>"OK"</formula>
    </cfRule>
  </conditionalFormatting>
  <conditionalFormatting sqref="M20">
    <cfRule type="cellIs" dxfId="36" priority="6" operator="equal">
      <formula>"MAL"</formula>
    </cfRule>
  </conditionalFormatting>
  <conditionalFormatting sqref="M21">
    <cfRule type="cellIs" dxfId="35" priority="7" operator="equal">
      <formula>"OK"</formula>
    </cfRule>
  </conditionalFormatting>
  <conditionalFormatting sqref="M21">
    <cfRule type="cellIs" dxfId="34" priority="8" operator="equal">
      <formula>"MAL"</formula>
    </cfRule>
  </conditionalFormatting>
  <conditionalFormatting sqref="J17">
    <cfRule type="cellIs" dxfId="33" priority="9" operator="equal">
      <formula>"OK"</formula>
    </cfRule>
  </conditionalFormatting>
  <conditionalFormatting sqref="J17">
    <cfRule type="cellIs" dxfId="32" priority="10" operator="equal">
      <formula>"MAL"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1C232"/>
    <outlinePr summaryBelow="0" summaryRight="0"/>
  </sheetPr>
  <dimension ref="A1:M32"/>
  <sheetViews>
    <sheetView showGridLines="0" workbookViewId="0"/>
  </sheetViews>
  <sheetFormatPr defaultColWidth="14.44140625" defaultRowHeight="15" customHeight="1"/>
  <cols>
    <col min="1" max="1" width="9.88671875" customWidth="1"/>
    <col min="2" max="2" width="19.6640625" customWidth="1"/>
    <col min="6" max="6" width="18.109375" customWidth="1"/>
    <col min="7" max="7" width="15.33203125" customWidth="1"/>
  </cols>
  <sheetData>
    <row r="1" spans="1:13" ht="15" customHeight="1">
      <c r="A1" s="93"/>
      <c r="B1" s="93" t="s">
        <v>205</v>
      </c>
      <c r="F1" s="97"/>
      <c r="G1" s="268">
        <f>InfoInicial!E1</f>
        <v>10</v>
      </c>
      <c r="H1" s="94"/>
      <c r="I1" s="97"/>
      <c r="J1" s="97"/>
    </row>
    <row r="2" spans="1:13">
      <c r="A2" s="269"/>
      <c r="B2" s="270" t="s">
        <v>454</v>
      </c>
      <c r="C2" s="271"/>
      <c r="D2" s="271"/>
      <c r="E2" s="271"/>
      <c r="F2" s="271"/>
      <c r="G2" s="271"/>
      <c r="H2" s="272"/>
      <c r="I2" s="97"/>
      <c r="J2" s="97"/>
    </row>
    <row r="3" spans="1:13" ht="15" customHeight="1">
      <c r="A3" s="273"/>
      <c r="B3" s="274" t="s">
        <v>455</v>
      </c>
      <c r="C3" s="673" t="s">
        <v>456</v>
      </c>
      <c r="D3" s="674"/>
      <c r="E3" s="673" t="s">
        <v>458</v>
      </c>
      <c r="F3" s="674"/>
      <c r="G3" s="673" t="s">
        <v>460</v>
      </c>
      <c r="H3" s="675"/>
      <c r="I3" s="97"/>
      <c r="J3" s="97"/>
    </row>
    <row r="4" spans="1:13" ht="15" customHeight="1">
      <c r="A4" s="273"/>
      <c r="B4" s="274" t="s">
        <v>321</v>
      </c>
      <c r="C4" s="278" t="s">
        <v>461</v>
      </c>
      <c r="D4" s="278" t="s">
        <v>463</v>
      </c>
      <c r="E4" s="278" t="s">
        <v>461</v>
      </c>
      <c r="F4" s="278" t="s">
        <v>463</v>
      </c>
      <c r="G4" s="278" t="s">
        <v>461</v>
      </c>
      <c r="H4" s="280" t="s">
        <v>463</v>
      </c>
      <c r="I4" s="97"/>
      <c r="J4" s="97"/>
    </row>
    <row r="5" spans="1:13" ht="15" customHeight="1">
      <c r="A5" s="282"/>
      <c r="B5" s="128" t="s">
        <v>464</v>
      </c>
      <c r="C5" s="284">
        <f>'E-Cal Inv.'!I8</f>
        <v>27903427.521784447</v>
      </c>
      <c r="D5" s="286">
        <f t="shared" ref="D5:D7" si="0">C5/$C$8</f>
        <v>0.73921390934396602</v>
      </c>
      <c r="E5" s="284">
        <f>('E-Inv AF y Am'!B47+'E-Inv AF y Am'!B51+'E-Inv AF y Am'!B46+'E-Inv AF y Am'!B45)</f>
        <v>16825221.600000001</v>
      </c>
      <c r="F5" s="286">
        <f>E5/C8</f>
        <v>0.4457315440837698</v>
      </c>
      <c r="G5" s="284">
        <f t="shared" ref="G5:G7" si="1">C5-E5</f>
        <v>11078205.921784446</v>
      </c>
      <c r="H5" s="287">
        <f>G5/C8</f>
        <v>0.29348236526019622</v>
      </c>
      <c r="I5" s="97"/>
      <c r="J5" s="97"/>
      <c r="K5" s="288"/>
    </row>
    <row r="6" spans="1:13" ht="15" customHeight="1">
      <c r="A6" s="97"/>
      <c r="B6" s="113" t="s">
        <v>471</v>
      </c>
      <c r="C6" s="284">
        <f>'E-Cal Inv.'!I18</f>
        <v>3292798.1049316162</v>
      </c>
      <c r="D6" s="286">
        <f t="shared" si="0"/>
        <v>8.7232371647769577E-2</v>
      </c>
      <c r="E6" s="284">
        <f>'E-Cal Inv.'!I14+'E-Cal Inv.'!I15</f>
        <v>1535269.8014468076</v>
      </c>
      <c r="F6" s="286">
        <f>E6/C8</f>
        <v>4.0672164412031767E-2</v>
      </c>
      <c r="G6" s="284">
        <f t="shared" si="1"/>
        <v>1757528.3034848087</v>
      </c>
      <c r="H6" s="287">
        <f>G6/C8</f>
        <v>4.6560207235737811E-2</v>
      </c>
      <c r="I6" s="97"/>
      <c r="J6" s="97"/>
      <c r="K6" s="288"/>
    </row>
    <row r="7" spans="1:13" ht="15" customHeight="1">
      <c r="A7" s="97"/>
      <c r="B7" s="113" t="s">
        <v>473</v>
      </c>
      <c r="C7" s="284">
        <f>'E-Cal Inv.'!I23</f>
        <v>6551207.3816103721</v>
      </c>
      <c r="D7" s="286">
        <f t="shared" si="0"/>
        <v>0.17355371900826444</v>
      </c>
      <c r="E7" s="291">
        <v>0</v>
      </c>
      <c r="F7" s="286">
        <f>E7/C8</f>
        <v>0</v>
      </c>
      <c r="G7" s="284">
        <f t="shared" si="1"/>
        <v>6551207.3816103721</v>
      </c>
      <c r="H7" s="287">
        <f>G7/C8</f>
        <v>0.17355371900826444</v>
      </c>
      <c r="I7" s="97"/>
      <c r="J7" s="288" t="s">
        <v>476</v>
      </c>
      <c r="K7" s="292" t="s">
        <v>477</v>
      </c>
      <c r="L7" s="292">
        <v>0.15</v>
      </c>
      <c r="M7" s="292" t="s">
        <v>478</v>
      </c>
    </row>
    <row r="8" spans="1:13" ht="15" customHeight="1">
      <c r="A8" s="134"/>
      <c r="B8" s="160" t="s">
        <v>429</v>
      </c>
      <c r="C8" s="293">
        <f t="shared" ref="C8:D8" si="2">SUM(C5:C7)</f>
        <v>37747433.008326434</v>
      </c>
      <c r="D8" s="294">
        <f t="shared" si="2"/>
        <v>1</v>
      </c>
      <c r="E8" s="293">
        <f>SUM(E5:E7)</f>
        <v>18360491.401446808</v>
      </c>
      <c r="F8" s="294">
        <f>E8/C8</f>
        <v>0.48640370849580156</v>
      </c>
      <c r="G8" s="293">
        <f t="shared" ref="G8:H8" si="3">SUM(G5:G7)</f>
        <v>19386941.606879625</v>
      </c>
      <c r="H8" s="295">
        <f t="shared" si="3"/>
        <v>0.5135962915041985</v>
      </c>
      <c r="I8" s="97"/>
      <c r="J8" s="288"/>
      <c r="K8" s="296"/>
      <c r="M8" s="292" t="s">
        <v>485</v>
      </c>
    </row>
    <row r="9" spans="1:13" ht="15" customHeight="1">
      <c r="A9" s="134"/>
      <c r="B9" s="134"/>
      <c r="C9" s="220"/>
      <c r="D9" s="297"/>
      <c r="E9" s="220"/>
      <c r="F9" s="220"/>
      <c r="G9" s="220"/>
      <c r="H9" s="220"/>
      <c r="I9" s="97"/>
      <c r="J9" s="288" t="s">
        <v>487</v>
      </c>
    </row>
    <row r="11" spans="1:13" ht="15" customHeight="1">
      <c r="B11" s="298" t="s">
        <v>488</v>
      </c>
      <c r="C11" s="298" t="s">
        <v>15</v>
      </c>
      <c r="D11" s="298" t="s">
        <v>327</v>
      </c>
      <c r="E11" s="298" t="s">
        <v>490</v>
      </c>
      <c r="F11" s="298" t="s">
        <v>491</v>
      </c>
      <c r="G11" s="298" t="s">
        <v>492</v>
      </c>
    </row>
    <row r="12" spans="1:13" ht="15" customHeight="1">
      <c r="B12" s="299">
        <v>30</v>
      </c>
      <c r="C12" s="299">
        <v>6</v>
      </c>
      <c r="D12" s="299">
        <v>1</v>
      </c>
      <c r="E12" s="301">
        <f>$E$32</f>
        <v>663856.29451750347</v>
      </c>
      <c r="F12" s="301">
        <f>E12*L7/6</f>
        <v>16596.407362937585</v>
      </c>
      <c r="G12" s="81"/>
    </row>
    <row r="13" spans="1:13" ht="15" customHeight="1">
      <c r="B13" s="299">
        <v>31</v>
      </c>
      <c r="C13" s="299">
        <v>12</v>
      </c>
      <c r="D13" s="299">
        <v>1</v>
      </c>
      <c r="E13" s="304">
        <f t="shared" ref="E13:E21" si="4">$E$6</f>
        <v>1535269.8014468076</v>
      </c>
      <c r="F13" s="301">
        <f t="shared" ref="F13:F21" si="5">E12*$L$7/2</f>
        <v>49789.222088812756</v>
      </c>
      <c r="G13" s="301">
        <f>F12+F13</f>
        <v>66385.629451750341</v>
      </c>
    </row>
    <row r="14" spans="1:13" ht="15" customHeight="1">
      <c r="B14" s="299">
        <v>30</v>
      </c>
      <c r="C14" s="299">
        <v>6</v>
      </c>
      <c r="D14" s="299">
        <v>2</v>
      </c>
      <c r="E14" s="304">
        <f t="shared" si="4"/>
        <v>1535269.8014468076</v>
      </c>
      <c r="F14" s="81">
        <f t="shared" si="5"/>
        <v>115145.23510851056</v>
      </c>
      <c r="G14" s="81"/>
    </row>
    <row r="15" spans="1:13" ht="15" customHeight="1">
      <c r="B15" s="299">
        <v>31</v>
      </c>
      <c r="C15" s="299">
        <v>12</v>
      </c>
      <c r="D15" s="299">
        <v>2</v>
      </c>
      <c r="E15" s="304">
        <f t="shared" si="4"/>
        <v>1535269.8014468076</v>
      </c>
      <c r="F15" s="81">
        <f t="shared" si="5"/>
        <v>115145.23510851056</v>
      </c>
      <c r="G15" s="81">
        <f>F14+F15</f>
        <v>230290.47021702112</v>
      </c>
    </row>
    <row r="16" spans="1:13" ht="15" customHeight="1">
      <c r="B16" s="299">
        <v>30</v>
      </c>
      <c r="C16" s="299">
        <v>6</v>
      </c>
      <c r="D16" s="299">
        <v>3</v>
      </c>
      <c r="E16" s="304">
        <f t="shared" si="4"/>
        <v>1535269.8014468076</v>
      </c>
      <c r="F16" s="81">
        <f t="shared" si="5"/>
        <v>115145.23510851056</v>
      </c>
      <c r="G16" s="81"/>
    </row>
    <row r="17" spans="2:7" ht="15" customHeight="1">
      <c r="B17" s="299">
        <v>31</v>
      </c>
      <c r="C17" s="299">
        <v>12</v>
      </c>
      <c r="D17" s="299">
        <v>3</v>
      </c>
      <c r="E17" s="304">
        <f t="shared" si="4"/>
        <v>1535269.8014468076</v>
      </c>
      <c r="F17" s="81">
        <f t="shared" si="5"/>
        <v>115145.23510851056</v>
      </c>
      <c r="G17" s="81">
        <f>F16+F17</f>
        <v>230290.47021702112</v>
      </c>
    </row>
    <row r="18" spans="2:7" ht="15" customHeight="1">
      <c r="B18" s="299">
        <v>30</v>
      </c>
      <c r="C18" s="299">
        <v>6</v>
      </c>
      <c r="D18" s="299">
        <v>4</v>
      </c>
      <c r="E18" s="304">
        <f t="shared" si="4"/>
        <v>1535269.8014468076</v>
      </c>
      <c r="F18" s="81">
        <f t="shared" si="5"/>
        <v>115145.23510851056</v>
      </c>
      <c r="G18" s="81"/>
    </row>
    <row r="19" spans="2:7" ht="15" customHeight="1">
      <c r="B19" s="299">
        <v>31</v>
      </c>
      <c r="C19" s="299">
        <v>12</v>
      </c>
      <c r="D19" s="299">
        <v>4</v>
      </c>
      <c r="E19" s="304">
        <f t="shared" si="4"/>
        <v>1535269.8014468076</v>
      </c>
      <c r="F19" s="81">
        <f t="shared" si="5"/>
        <v>115145.23510851056</v>
      </c>
      <c r="G19" s="81">
        <f>F18+F19</f>
        <v>230290.47021702112</v>
      </c>
    </row>
    <row r="20" spans="2:7" ht="15" customHeight="1">
      <c r="B20" s="299">
        <v>30</v>
      </c>
      <c r="C20" s="299">
        <v>6</v>
      </c>
      <c r="D20" s="299">
        <v>5</v>
      </c>
      <c r="E20" s="304">
        <f t="shared" si="4"/>
        <v>1535269.8014468076</v>
      </c>
      <c r="F20" s="81">
        <f t="shared" si="5"/>
        <v>115145.23510851056</v>
      </c>
      <c r="G20" s="81"/>
    </row>
    <row r="21" spans="2:7" ht="15" customHeight="1">
      <c r="B21" s="299">
        <v>31</v>
      </c>
      <c r="C21" s="299">
        <v>12</v>
      </c>
      <c r="D21" s="299">
        <v>5</v>
      </c>
      <c r="E21" s="304">
        <f t="shared" si="4"/>
        <v>1535269.8014468076</v>
      </c>
      <c r="F21" s="81">
        <f t="shared" si="5"/>
        <v>115145.23510851056</v>
      </c>
      <c r="G21" s="81">
        <f>F20+F21</f>
        <v>230290.47021702112</v>
      </c>
    </row>
    <row r="27" spans="2:7" ht="15" customHeight="1">
      <c r="B27" s="307" t="s">
        <v>505</v>
      </c>
      <c r="C27" s="307" t="s">
        <v>507</v>
      </c>
      <c r="D27" s="307" t="s">
        <v>508</v>
      </c>
      <c r="E27" s="307" t="s">
        <v>509</v>
      </c>
      <c r="F27" s="307" t="s">
        <v>510</v>
      </c>
      <c r="G27" s="307" t="s">
        <v>511</v>
      </c>
    </row>
    <row r="28" spans="2:7">
      <c r="B28" s="309" t="s">
        <v>512</v>
      </c>
      <c r="C28" s="310">
        <v>758.09249999999997</v>
      </c>
      <c r="D28" s="312">
        <f>$C$28*'Conformación de Datos'!$I$110</f>
        <v>1327712.5890350069</v>
      </c>
      <c r="E28" s="312">
        <f t="shared" ref="E28:E29" si="6">D28/2</f>
        <v>663856.29451750347</v>
      </c>
      <c r="F28" s="299" t="s">
        <v>517</v>
      </c>
      <c r="G28" s="312">
        <f t="shared" ref="G28:G29" si="7">$E$28*($L$7/12*6)</f>
        <v>49789.222088812756</v>
      </c>
    </row>
    <row r="29" spans="2:7">
      <c r="B29" s="309" t="s">
        <v>518</v>
      </c>
      <c r="C29" s="310">
        <v>758.09249999999997</v>
      </c>
      <c r="D29" s="312">
        <f>$C$28*'Conformación de Datos'!$I$110</f>
        <v>1327712.5890350069</v>
      </c>
      <c r="E29" s="312">
        <f t="shared" si="6"/>
        <v>663856.29451750347</v>
      </c>
      <c r="F29" s="299" t="s">
        <v>519</v>
      </c>
      <c r="G29" s="312">
        <f t="shared" si="7"/>
        <v>49789.222088812756</v>
      </c>
    </row>
    <row r="30" spans="2:7" ht="13.2">
      <c r="D30" s="313">
        <f t="shared" ref="D30:E30" si="8">D28+D29</f>
        <v>2655425.1780700139</v>
      </c>
      <c r="E30" s="313">
        <f t="shared" si="8"/>
        <v>1327712.5890350069</v>
      </c>
      <c r="F30" s="254"/>
      <c r="G30" s="313">
        <f>G28+G29</f>
        <v>99578.444177625512</v>
      </c>
    </row>
    <row r="32" spans="2:7" ht="13.2">
      <c r="B32" s="292" t="s">
        <v>527</v>
      </c>
      <c r="E32" s="314">
        <f>G30/L7</f>
        <v>663856.29451750347</v>
      </c>
    </row>
  </sheetData>
  <mergeCells count="3"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DIM TECNICO - Evolución de la P</vt:lpstr>
      <vt:lpstr>DIM TECNICO - Consumo de MP - P</vt:lpstr>
      <vt:lpstr>DIM TECNICO - Balance Anual - M</vt:lpstr>
      <vt:lpstr>Conformación de Datos</vt:lpstr>
      <vt:lpstr>Energìa e Impuestos</vt:lpstr>
      <vt:lpstr>InfoInicial</vt:lpstr>
      <vt:lpstr>E-Inv AF y Am</vt:lpstr>
      <vt:lpstr>E-Form</vt:lpstr>
      <vt:lpstr>Marcha Credito Act. Trabajo REN</vt:lpstr>
      <vt:lpstr>E-Costos</vt:lpstr>
      <vt:lpstr>E-Cal Inv.</vt:lpstr>
      <vt:lpstr>E-IVA </vt:lpstr>
      <vt:lpstr>E-InvAT</vt:lpstr>
      <vt:lpstr>F-Cred</vt:lpstr>
      <vt:lpstr>Marcha Credito Act. Fijo NO REN</vt:lpstr>
      <vt:lpstr>F-CRes</vt:lpstr>
      <vt:lpstr>F-IVA</vt:lpstr>
      <vt:lpstr>F-2 Estructura</vt:lpstr>
      <vt:lpstr>F-Balance</vt:lpstr>
      <vt:lpstr>F- CFyU</vt:lpstr>
      <vt:lpstr>F-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Boullon</dc:creator>
  <cp:lastModifiedBy>Franco Boullon</cp:lastModifiedBy>
  <dcterms:created xsi:type="dcterms:W3CDTF">2018-11-20T01:13:28Z</dcterms:created>
  <dcterms:modified xsi:type="dcterms:W3CDTF">2018-11-20T01:13:28Z</dcterms:modified>
</cp:coreProperties>
</file>