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Desperdicios" sheetId="9" r:id="rId1"/>
    <sheet name="Ritmo trabajo" sheetId="2" r:id="rId2"/>
    <sheet name="Capacidades" sheetId="3" r:id="rId3"/>
    <sheet name="Stock PT" sheetId="5" r:id="rId4"/>
    <sheet name="Ev.  Prod." sheetId="4" r:id="rId5"/>
    <sheet name="Ventas" sheetId="6" r:id="rId6"/>
    <sheet name="Consmo MP" sheetId="7" r:id="rId7"/>
    <sheet name="Stock MP" sheetId="8" r:id="rId8"/>
    <sheet name="Resumen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8" l="1"/>
  <c r="L31" i="8"/>
  <c r="M30" i="8"/>
  <c r="L30" i="8"/>
  <c r="P16" i="7"/>
  <c r="O16" i="7"/>
  <c r="N16" i="7"/>
  <c r="M16" i="7"/>
  <c r="L16" i="7"/>
  <c r="K16" i="7"/>
  <c r="E38" i="9"/>
  <c r="E3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28" i="9"/>
  <c r="E29" i="9"/>
  <c r="E30" i="9"/>
  <c r="E31" i="9"/>
  <c r="E32" i="9"/>
  <c r="E33" i="9"/>
  <c r="E34" i="9"/>
  <c r="E35" i="9"/>
  <c r="E36" i="9"/>
  <c r="E39" i="9"/>
  <c r="E40" i="9"/>
  <c r="E41" i="9"/>
  <c r="K27" i="9" l="1"/>
  <c r="K26" i="9"/>
  <c r="E27" i="9"/>
  <c r="E26" i="9"/>
  <c r="K25" i="9"/>
  <c r="D43" i="8"/>
  <c r="C43" i="8"/>
  <c r="C32" i="8"/>
  <c r="C31" i="8"/>
  <c r="H5" i="10" l="1"/>
  <c r="G5" i="10"/>
  <c r="S10" i="9"/>
  <c r="S12" i="9"/>
  <c r="S4" i="9"/>
  <c r="H21" i="10" l="1"/>
  <c r="H20" i="10"/>
  <c r="H19" i="10"/>
  <c r="G12" i="10"/>
  <c r="H12" i="10" s="1"/>
  <c r="G11" i="10"/>
  <c r="H11" i="10" s="1"/>
  <c r="G10" i="10"/>
  <c r="H10" i="10" s="1"/>
  <c r="H6" i="10"/>
  <c r="G6" i="10"/>
  <c r="H4" i="10"/>
  <c r="G4" i="10"/>
  <c r="N13" i="8"/>
  <c r="M13" i="8" s="1"/>
  <c r="N14" i="8"/>
  <c r="M14" i="8" s="1"/>
  <c r="N15" i="8"/>
  <c r="M15" i="8" s="1"/>
  <c r="N16" i="8"/>
  <c r="M16" i="8" s="1"/>
  <c r="N17" i="8"/>
  <c r="M17" i="8" s="1"/>
  <c r="N18" i="8"/>
  <c r="M18" i="8" s="1"/>
  <c r="N19" i="8"/>
  <c r="M19" i="8" s="1"/>
  <c r="N20" i="8"/>
  <c r="M20" i="8" s="1"/>
  <c r="N21" i="8"/>
  <c r="M21" i="8" s="1"/>
  <c r="N12" i="8"/>
  <c r="M9" i="8"/>
  <c r="M10" i="8" s="1"/>
  <c r="I13" i="8"/>
  <c r="H13" i="8" s="1"/>
  <c r="I14" i="8"/>
  <c r="H14" i="8" s="1"/>
  <c r="I15" i="8"/>
  <c r="H15" i="8" s="1"/>
  <c r="I16" i="8"/>
  <c r="H16" i="8" s="1"/>
  <c r="I17" i="8"/>
  <c r="H17" i="8" s="1"/>
  <c r="I18" i="8"/>
  <c r="H18" i="8" s="1"/>
  <c r="I19" i="8"/>
  <c r="H19" i="8" s="1"/>
  <c r="I20" i="8"/>
  <c r="H20" i="8" s="1"/>
  <c r="I21" i="8"/>
  <c r="H21" i="8" s="1"/>
  <c r="I12" i="8"/>
  <c r="I9" i="8"/>
  <c r="F20" i="10" s="1"/>
  <c r="F17" i="10" s="1"/>
  <c r="D13" i="8"/>
  <c r="C13" i="8" s="1"/>
  <c r="D14" i="8"/>
  <c r="C14" i="8" s="1"/>
  <c r="D15" i="8"/>
  <c r="C15" i="8" s="1"/>
  <c r="D16" i="8"/>
  <c r="C16" i="8" s="1"/>
  <c r="D17" i="8"/>
  <c r="C17" i="8" s="1"/>
  <c r="D18" i="8"/>
  <c r="C18" i="8" s="1"/>
  <c r="D19" i="8"/>
  <c r="C19" i="8" s="1"/>
  <c r="D20" i="8"/>
  <c r="C20" i="8" s="1"/>
  <c r="D21" i="8"/>
  <c r="C21" i="8" s="1"/>
  <c r="D12" i="8"/>
  <c r="D9" i="8"/>
  <c r="F19" i="10" s="1"/>
  <c r="F16" i="10" s="1"/>
  <c r="C9" i="8"/>
  <c r="D11" i="9"/>
  <c r="C17" i="9" s="1"/>
  <c r="E25" i="9" s="1"/>
  <c r="E6" i="9"/>
  <c r="E5" i="9"/>
  <c r="E4" i="9"/>
  <c r="K34" i="7"/>
  <c r="K26" i="7"/>
  <c r="K27" i="7"/>
  <c r="K28" i="7"/>
  <c r="K29" i="7"/>
  <c r="K30" i="7"/>
  <c r="K31" i="7"/>
  <c r="K32" i="7"/>
  <c r="K33" i="7"/>
  <c r="K25" i="7"/>
  <c r="H9" i="8" l="1"/>
  <c r="H10" i="8" s="1"/>
  <c r="H11" i="8" s="1"/>
  <c r="H12" i="8" s="1"/>
  <c r="N9" i="8"/>
  <c r="F21" i="10" s="1"/>
  <c r="F18" i="10" s="1"/>
  <c r="D22" i="8"/>
  <c r="G19" i="10" s="1"/>
  <c r="I22" i="8"/>
  <c r="G20" i="10" s="1"/>
  <c r="N22" i="8"/>
  <c r="G21" i="10" s="1"/>
  <c r="M11" i="8"/>
  <c r="M12" i="8" s="1"/>
  <c r="C10" i="8"/>
  <c r="C11" i="8" s="1"/>
  <c r="C12" i="8" s="1"/>
  <c r="L11" i="9"/>
  <c r="I17" i="9"/>
  <c r="L10" i="9"/>
  <c r="L9" i="9"/>
  <c r="M22" i="8" l="1"/>
  <c r="G18" i="10" s="1"/>
  <c r="H18" i="10" s="1"/>
  <c r="C22" i="8"/>
  <c r="G16" i="10" s="1"/>
  <c r="H16" i="10" s="1"/>
  <c r="H22" i="8"/>
  <c r="G17" i="10" s="1"/>
  <c r="H17" i="10" s="1"/>
  <c r="G17" i="9"/>
  <c r="I25" i="9" s="1"/>
  <c r="P7" i="7"/>
  <c r="P8" i="7"/>
  <c r="P9" i="7"/>
  <c r="P10" i="7"/>
  <c r="P11" i="7"/>
  <c r="P12" i="7"/>
  <c r="P13" i="7"/>
  <c r="P14" i="7"/>
  <c r="P15" i="7"/>
  <c r="P6" i="7"/>
  <c r="N7" i="7"/>
  <c r="N8" i="7"/>
  <c r="N9" i="7"/>
  <c r="N10" i="7"/>
  <c r="N11" i="7"/>
  <c r="N12" i="7"/>
  <c r="N13" i="7"/>
  <c r="N14" i="7"/>
  <c r="N15" i="7"/>
  <c r="N6" i="7"/>
  <c r="O7" i="7"/>
  <c r="O8" i="7"/>
  <c r="O9" i="7"/>
  <c r="O10" i="7"/>
  <c r="O11" i="7"/>
  <c r="O12" i="7"/>
  <c r="O13" i="7"/>
  <c r="O14" i="7"/>
  <c r="O15" i="7"/>
  <c r="O6" i="7"/>
  <c r="M7" i="7"/>
  <c r="M8" i="7"/>
  <c r="M9" i="7"/>
  <c r="M10" i="7"/>
  <c r="M11" i="7"/>
  <c r="M12" i="7"/>
  <c r="M13" i="7"/>
  <c r="M14" i="7"/>
  <c r="M15" i="7"/>
  <c r="L7" i="7"/>
  <c r="L8" i="7"/>
  <c r="L9" i="7"/>
  <c r="L10" i="7"/>
  <c r="L11" i="7"/>
  <c r="L12" i="7"/>
  <c r="L13" i="7"/>
  <c r="L14" i="7"/>
  <c r="L15" i="7"/>
  <c r="M6" i="7"/>
  <c r="L6" i="7"/>
  <c r="K7" i="7"/>
  <c r="K8" i="7"/>
  <c r="K9" i="7"/>
  <c r="K10" i="7"/>
  <c r="K11" i="7"/>
  <c r="K12" i="7"/>
  <c r="K13" i="7"/>
  <c r="K14" i="7"/>
  <c r="K15" i="7"/>
  <c r="K6" i="7"/>
  <c r="E6" i="7"/>
  <c r="I11" i="4"/>
  <c r="I12" i="4"/>
  <c r="I10" i="4"/>
  <c r="D10" i="5"/>
  <c r="B8" i="5"/>
  <c r="F18" i="4"/>
  <c r="F16" i="4"/>
  <c r="K11" i="4"/>
  <c r="K12" i="4"/>
  <c r="K13" i="4" s="1"/>
  <c r="F17" i="4" s="1"/>
  <c r="C4" i="6" s="1"/>
  <c r="K10" i="4"/>
  <c r="G11" i="4"/>
  <c r="G12" i="4"/>
  <c r="G10" i="4"/>
  <c r="E12" i="4"/>
  <c r="C12" i="4"/>
  <c r="E11" i="4"/>
  <c r="C11" i="4"/>
  <c r="E10" i="4"/>
  <c r="E17" i="9" l="1"/>
  <c r="G25" i="9" s="1"/>
  <c r="H7" i="10"/>
  <c r="G7" i="10" s="1"/>
  <c r="G5" i="3"/>
  <c r="I5" i="3" s="1"/>
  <c r="G7" i="3"/>
  <c r="I7" i="3" s="1"/>
  <c r="G9" i="3"/>
  <c r="I9" i="3" s="1"/>
  <c r="G11" i="3"/>
  <c r="I11" i="3" s="1"/>
  <c r="G13" i="3"/>
  <c r="I13" i="3" s="1"/>
  <c r="G15" i="3"/>
  <c r="I15" i="3" s="1"/>
  <c r="G17" i="3"/>
  <c r="I17" i="3" s="1"/>
  <c r="G19" i="3"/>
  <c r="I19" i="3" s="1"/>
  <c r="G21" i="3"/>
  <c r="I21" i="3" s="1"/>
  <c r="G23" i="3"/>
  <c r="I23" i="3" s="1"/>
  <c r="G25" i="3"/>
  <c r="I25" i="3" s="1"/>
  <c r="G4" i="3"/>
  <c r="I4" i="3" s="1"/>
  <c r="F10" i="2"/>
  <c r="G6" i="3" s="1"/>
  <c r="I6" i="3" s="1"/>
  <c r="G26" i="3" l="1"/>
  <c r="I26" i="3" s="1"/>
  <c r="G24" i="3"/>
  <c r="I24" i="3" s="1"/>
  <c r="G22" i="3"/>
  <c r="I22" i="3" s="1"/>
  <c r="G20" i="3"/>
  <c r="I20" i="3" s="1"/>
  <c r="G18" i="3"/>
  <c r="I18" i="3" s="1"/>
  <c r="G16" i="3"/>
  <c r="I16" i="3" s="1"/>
  <c r="G14" i="3"/>
  <c r="I14" i="3" s="1"/>
  <c r="G12" i="3"/>
  <c r="I12" i="3" s="1"/>
  <c r="G10" i="3"/>
  <c r="I10" i="3" s="1"/>
  <c r="G8" i="3"/>
  <c r="I8" i="3" s="1"/>
</calcChain>
</file>

<file path=xl/sharedStrings.xml><?xml version="1.0" encoding="utf-8"?>
<sst xmlns="http://schemas.openxmlformats.org/spreadsheetml/2006/main" count="317" uniqueCount="165">
  <si>
    <t>Ritmo de trabajo</t>
  </si>
  <si>
    <t>Se trabaja con:</t>
  </si>
  <si>
    <t>hs/turno</t>
  </si>
  <si>
    <t>días/semana</t>
  </si>
  <si>
    <t>días/año</t>
  </si>
  <si>
    <t>días de vacaciones</t>
  </si>
  <si>
    <t>feriados obligatorios</t>
  </si>
  <si>
    <t>hs/año</t>
  </si>
  <si>
    <t>Horas/año trabajadas:</t>
  </si>
  <si>
    <t>domingos</t>
  </si>
  <si>
    <t>turno</t>
  </si>
  <si>
    <t>Cilindrada</t>
  </si>
  <si>
    <t>Soldadura longitudinal</t>
  </si>
  <si>
    <t>Corte chapa</t>
  </si>
  <si>
    <t>Amoladora</t>
  </si>
  <si>
    <t>Prensa</t>
  </si>
  <si>
    <t>Colocado de tapa superior</t>
  </si>
  <si>
    <t>Soldadura de rosca</t>
  </si>
  <si>
    <t>Soldadura de las tapas</t>
  </si>
  <si>
    <t>Granalladora</t>
  </si>
  <si>
    <t>Pintura</t>
  </si>
  <si>
    <t>Colocado de polvo</t>
  </si>
  <si>
    <t>Armado</t>
  </si>
  <si>
    <t>Etiquetado</t>
  </si>
  <si>
    <t>Introducción en caja</t>
  </si>
  <si>
    <t>Pallet</t>
  </si>
  <si>
    <t>Numeración de chapa</t>
  </si>
  <si>
    <t>Colocación de suncho y anilla</t>
  </si>
  <si>
    <t>Secado de sellador</t>
  </si>
  <si>
    <t>Prueba hidráulica</t>
  </si>
  <si>
    <t>Armado de conjunto caño resorte vastago y válvula</t>
  </si>
  <si>
    <t>Colocación de manómetro en válvula</t>
  </si>
  <si>
    <t>Muescado de tapa exterior</t>
  </si>
  <si>
    <t>Reposo en control de despresurización</t>
  </si>
  <si>
    <t>Unidades/hr</t>
  </si>
  <si>
    <t>Unidades/año</t>
  </si>
  <si>
    <t>Programa anual de producción</t>
  </si>
  <si>
    <t>Aprovechamiento seccional</t>
  </si>
  <si>
    <t>Capacidades seccionales</t>
  </si>
  <si>
    <t>Cuello de botella</t>
  </si>
  <si>
    <t>Secciones</t>
  </si>
  <si>
    <t>Evolución de la producción</t>
  </si>
  <si>
    <t>Producción anual:</t>
  </si>
  <si>
    <t>unidades</t>
  </si>
  <si>
    <t>Producción mensual:</t>
  </si>
  <si>
    <t>Puesta en marcha:</t>
  </si>
  <si>
    <t>meses</t>
  </si>
  <si>
    <t>Mes</t>
  </si>
  <si>
    <t>Volumen de producción durante el resto del año 1:</t>
  </si>
  <si>
    <t>Volúmen de producción el en año 1:</t>
  </si>
  <si>
    <t>Volúmen de producción anual en los años 2 a 10:</t>
  </si>
  <si>
    <t>Total:</t>
  </si>
  <si>
    <t>Ritmo de producción al inicio (%)</t>
  </si>
  <si>
    <t>Producción mensual promedio (unidades)</t>
  </si>
  <si>
    <t>Producción propuesta (unidades)</t>
  </si>
  <si>
    <t>Ritmo de producción al final (%)</t>
  </si>
  <si>
    <t>Producción promedio  (%)</t>
  </si>
  <si>
    <t>Stock promedio de producto elaborado</t>
  </si>
  <si>
    <t>Entregas cada 1 semana</t>
  </si>
  <si>
    <t>Semanas/año</t>
  </si>
  <si>
    <t>unid./año</t>
  </si>
  <si>
    <t>unid./semana</t>
  </si>
  <si>
    <t>Stock promedio:</t>
  </si>
  <si>
    <t>Evolución de las ventas</t>
  </si>
  <si>
    <t>Unidades</t>
  </si>
  <si>
    <t>Año 1</t>
  </si>
  <si>
    <t>Año 2 a 10</t>
  </si>
  <si>
    <t>(Producción de año 1-Stock promedio de PT)</t>
  </si>
  <si>
    <t>(Producción anual)</t>
  </si>
  <si>
    <t>Consumo de materia prima</t>
  </si>
  <si>
    <t>láminas</t>
  </si>
  <si>
    <t>Láminas de acero de 1,5x3m para cuerpo:</t>
  </si>
  <si>
    <t>Polvo químico ABC:</t>
  </si>
  <si>
    <t>Nitrógeno:</t>
  </si>
  <si>
    <t>Válvula:</t>
  </si>
  <si>
    <t>Manija:</t>
  </si>
  <si>
    <t>Manómetro:</t>
  </si>
  <si>
    <t>Sunchos:</t>
  </si>
  <si>
    <t>Cuello roscado:</t>
  </si>
  <si>
    <t>Manguera:</t>
  </si>
  <si>
    <t xml:space="preserve"> Alambre (para el seguro):</t>
  </si>
  <si>
    <t>Sellador:</t>
  </si>
  <si>
    <t>Pintura:</t>
  </si>
  <si>
    <t>O'ring (caucho):</t>
  </si>
  <si>
    <t>kg</t>
  </si>
  <si>
    <t>gr</t>
  </si>
  <si>
    <t>Para fabricar 1 extinor</t>
  </si>
  <si>
    <t>Meses</t>
  </si>
  <si>
    <t>Total</t>
  </si>
  <si>
    <t>4-11,5</t>
  </si>
  <si>
    <t>Total PM</t>
  </si>
  <si>
    <t>Años 2 a 10</t>
  </si>
  <si>
    <t>Cálculo de desperdicio en el sector de corte (el único con desperdicios)</t>
  </si>
  <si>
    <t>Área cilindro:</t>
  </si>
  <si>
    <t>m2</t>
  </si>
  <si>
    <t>por lámina</t>
  </si>
  <si>
    <t>Área tapa superior (agujereada):</t>
  </si>
  <si>
    <t>Área tapa inferior:</t>
  </si>
  <si>
    <t>Desperdicio no recuperable por lámina</t>
  </si>
  <si>
    <t xml:space="preserve"> Láminas de acero de 1,5x3 (m)</t>
  </si>
  <si>
    <t>Área cilindro</t>
  </si>
  <si>
    <t xml:space="preserve">Para hacer </t>
  </si>
  <si>
    <t>extintores se necesitan</t>
  </si>
  <si>
    <t>Área tapa superior</t>
  </si>
  <si>
    <t>Área de las láminas:</t>
  </si>
  <si>
    <t>Área tapa inferior</t>
  </si>
  <si>
    <t>Sección</t>
  </si>
  <si>
    <t>Alimentación</t>
  </si>
  <si>
    <t>Desperdicios</t>
  </si>
  <si>
    <t>Producción seccional</t>
  </si>
  <si>
    <t>Recuperables</t>
  </si>
  <si>
    <t>No recuperables</t>
  </si>
  <si>
    <t>Corte</t>
  </si>
  <si>
    <t>*Unidades en m2</t>
  </si>
  <si>
    <t>Stock de láminas de acero</t>
  </si>
  <si>
    <t xml:space="preserve"> - Se hace una primera compra para los meses de puesta en marcha y luego se repone mensualmente en las cantidades necesarias</t>
  </si>
  <si>
    <t>Al fin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</si>
  <si>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</si>
  <si>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</si>
  <si>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</si>
  <si>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</si>
  <si>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</si>
  <si>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</si>
  <si>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</si>
  <si>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</si>
  <si>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</si>
  <si>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</si>
  <si>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</si>
  <si>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</si>
  <si>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Dic. Año 0</t>
  </si>
  <si>
    <t>Stock</t>
  </si>
  <si>
    <t>Compras</t>
  </si>
  <si>
    <t>Stock de polvo químico</t>
  </si>
  <si>
    <t>Stock de nitrógeno</t>
  </si>
  <si>
    <t>Ventas</t>
  </si>
  <si>
    <t>Stock promedio de elaborado</t>
  </si>
  <si>
    <t>Producción</t>
  </si>
  <si>
    <t>Desperdicio no recuperables</t>
  </si>
  <si>
    <t>En curso y semielaborados</t>
  </si>
  <si>
    <t>Compra</t>
  </si>
  <si>
    <t>Consumo MP</t>
  </si>
  <si>
    <t>Stock de MP</t>
  </si>
  <si>
    <t>Périodo Inst</t>
  </si>
  <si>
    <t>Años 2-10</t>
  </si>
  <si>
    <t>Promedio:</t>
  </si>
  <si>
    <t>Acero (m2)</t>
  </si>
  <si>
    <t>Polvo (kg)</t>
  </si>
  <si>
    <t>Nitrógeno (g)</t>
  </si>
  <si>
    <t>Láminas (u)</t>
  </si>
  <si>
    <t xml:space="preserve"> Evolución de compras y stock de las principales materias primas</t>
  </si>
  <si>
    <t>3m</t>
  </si>
  <si>
    <t>1,5m</t>
  </si>
  <si>
    <t>Corte chapa cilindro</t>
  </si>
  <si>
    <t>Corte tapa superior e inferior</t>
  </si>
  <si>
    <t>0,365m</t>
  </si>
  <si>
    <t>0,474m</t>
  </si>
  <si>
    <t>Dinf:0,16m</t>
  </si>
  <si>
    <t>Dsup:0,168m</t>
  </si>
  <si>
    <t>Superior</t>
  </si>
  <si>
    <t>Inferior</t>
  </si>
  <si>
    <t>x lámina</t>
  </si>
  <si>
    <t>Stock de válvulas, manijas, manómetros, sunchos, cuellos roscados, mangueras y o'rings</t>
  </si>
  <si>
    <t>Cilindrado</t>
  </si>
  <si>
    <t>litros</t>
  </si>
  <si>
    <t>Stock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</si>
</sst>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0" xfId="0" applyBorder="1"/>
    <xf numFmtId="10" fontId="0" fillId="0" borderId="10" xfId="0" applyNumberFormat="1" applyBorder="1" applyAlignment="1">
      <alignment horizontal="center" vertical="center"/>
    </xf>
    <xf numFmtId="10" fontId="0" fillId="3" borderId="10" xfId="0" applyNumberFormat="1" applyFill="1" applyBorder="1" applyAlignment="1">
      <alignment horizontal="center" vertical="center"/>
    </xf>
    <xf numFmtId="0" fontId="0" fillId="0" borderId="14" xfId="0" applyBorder="1"/>
    <xf numFmtId="10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1" xfId="0" applyFill="1" applyBorder="1"/>
    <xf numFmtId="0" fontId="0" fillId="0" borderId="19" xfId="0" applyBorder="1"/>
    <xf numFmtId="0" fontId="0" fillId="0" borderId="19" xfId="0" applyBorder="1" applyAlignment="1"/>
    <xf numFmtId="10" fontId="0" fillId="0" borderId="20" xfId="0" applyNumberForma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0" borderId="1" xfId="0" applyFont="1" applyBorder="1" applyAlignment="1">
      <alignment horizontal="right"/>
    </xf>
    <xf numFmtId="164" fontId="0" fillId="0" borderId="0" xfId="0" applyNumberForma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65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0" fontId="0" fillId="5" borderId="1" xfId="0" applyFill="1" applyBorder="1"/>
    <xf numFmtId="0" fontId="2" fillId="5" borderId="1" xfId="0" applyFont="1" applyFill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0" fontId="0" fillId="5" borderId="3" xfId="0" applyFill="1" applyBorder="1"/>
    <xf numFmtId="0" fontId="0" fillId="5" borderId="1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5" borderId="30" xfId="0" applyFill="1" applyBorder="1"/>
    <xf numFmtId="0" fontId="0" fillId="0" borderId="31" xfId="0" applyBorder="1"/>
    <xf numFmtId="0" fontId="0" fillId="0" borderId="32" xfId="0" applyBorder="1"/>
    <xf numFmtId="0" fontId="7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4" borderId="16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0" fillId="3" borderId="9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9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9</xdr:row>
      <xdr:rowOff>47625</xdr:rowOff>
    </xdr:from>
    <xdr:to>
      <xdr:col>13</xdr:col>
      <xdr:colOff>285750</xdr:colOff>
      <xdr:row>10</xdr:row>
      <xdr:rowOff>95250</xdr:rowOff>
    </xdr:to>
    <xdr:sp macro="" textlink="">
      <xdr:nvSpPr>
        <xdr:cNvPr id="2" name="Elipse 1"/>
        <xdr:cNvSpPr/>
      </xdr:nvSpPr>
      <xdr:spPr>
        <a:xfrm>
          <a:off x="9686925" y="1800225"/>
          <a:ext cx="228600" cy="2381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showGridLines="0" tabSelected="1" workbookViewId="0"/>
  </sheetViews>
  <sheetFormatPr baseColWidth="10" defaultRowHeight="15" x14ac:dyDescent="0.25"/>
  <cols>
    <col min="1" max="1" width="11.42578125" style="3"/>
    <col min="2" max="2" width="14.140625" style="3" customWidth="1"/>
    <col min="3" max="3" width="6.85546875" style="3" customWidth="1"/>
    <col min="4" max="11" width="11.42578125" style="3"/>
    <col min="12" max="12" width="11.85546875" style="3" bestFit="1" customWidth="1"/>
    <col min="13" max="13" width="11.42578125" style="3"/>
    <col min="14" max="17" width="5.7109375" style="3" customWidth="1"/>
    <col min="18" max="18" width="11.42578125" style="3"/>
    <col min="19" max="19" width="9" style="3" customWidth="1"/>
    <col min="20" max="16384" width="11.42578125" style="3"/>
  </cols>
  <sheetData>
    <row r="2" spans="2:20" ht="15.75" x14ac:dyDescent="0.25">
      <c r="B2" s="36" t="s">
        <v>92</v>
      </c>
      <c r="N2" s="55" t="s">
        <v>152</v>
      </c>
    </row>
    <row r="3" spans="2:20" ht="15.75" thickBot="1" x14ac:dyDescent="0.3">
      <c r="O3" s="65" t="s">
        <v>150</v>
      </c>
      <c r="P3" s="65"/>
    </row>
    <row r="4" spans="2:20" x14ac:dyDescent="0.25">
      <c r="D4" s="1" t="s">
        <v>93</v>
      </c>
      <c r="E4" s="37">
        <f>0.474*0.365</f>
        <v>0.17301</v>
      </c>
      <c r="F4" s="3" t="s">
        <v>94</v>
      </c>
      <c r="G4" s="3">
        <v>24</v>
      </c>
      <c r="H4" s="3" t="s">
        <v>95</v>
      </c>
      <c r="I4" s="3">
        <v>1008</v>
      </c>
      <c r="N4" s="52"/>
      <c r="O4" s="47" t="s">
        <v>154</v>
      </c>
      <c r="P4" s="47"/>
      <c r="Q4" s="48"/>
      <c r="S4" s="29">
        <f>INT(3000/474)*INT(1500/365)</f>
        <v>24</v>
      </c>
      <c r="T4" s="29" t="s">
        <v>160</v>
      </c>
    </row>
    <row r="5" spans="2:20" x14ac:dyDescent="0.25">
      <c r="D5" s="1" t="s">
        <v>96</v>
      </c>
      <c r="E5" s="37">
        <f>PI()*(0.084^2-0.0175^2)</f>
        <v>2.1204965013567709E-2</v>
      </c>
      <c r="F5" s="3" t="s">
        <v>94</v>
      </c>
      <c r="G5" s="3">
        <v>136</v>
      </c>
      <c r="H5" s="3" t="s">
        <v>95</v>
      </c>
      <c r="I5" s="3">
        <v>180</v>
      </c>
      <c r="N5" s="53" t="s">
        <v>155</v>
      </c>
      <c r="O5" s="15"/>
      <c r="P5" s="15"/>
      <c r="Q5" s="54"/>
      <c r="R5" s="2" t="s">
        <v>151</v>
      </c>
    </row>
    <row r="6" spans="2:20" ht="15.75" thickBot="1" x14ac:dyDescent="0.3">
      <c r="D6" s="1" t="s">
        <v>97</v>
      </c>
      <c r="E6" s="37">
        <f>PI()*0.08^2</f>
        <v>2.0106192982974676E-2</v>
      </c>
      <c r="F6" s="3" t="s">
        <v>94</v>
      </c>
      <c r="G6" s="3">
        <v>162</v>
      </c>
      <c r="H6" s="3" t="s">
        <v>95</v>
      </c>
      <c r="I6" s="3">
        <v>156</v>
      </c>
      <c r="N6" s="49"/>
      <c r="O6" s="50"/>
      <c r="P6" s="50"/>
      <c r="Q6" s="51"/>
    </row>
    <row r="8" spans="2:20" x14ac:dyDescent="0.25">
      <c r="L8" s="1" t="s">
        <v>98</v>
      </c>
      <c r="N8" s="55" t="s">
        <v>153</v>
      </c>
    </row>
    <row r="9" spans="2:20" ht="15.75" thickBot="1" x14ac:dyDescent="0.3">
      <c r="B9" s="3" t="s">
        <v>99</v>
      </c>
      <c r="K9" s="1" t="s">
        <v>100</v>
      </c>
      <c r="L9" s="37">
        <f>$D$11-E4*G4</f>
        <v>0.34776000000000007</v>
      </c>
      <c r="O9" s="65" t="s">
        <v>150</v>
      </c>
      <c r="P9" s="65"/>
      <c r="S9" s="3" t="s">
        <v>159</v>
      </c>
    </row>
    <row r="10" spans="2:20" x14ac:dyDescent="0.25">
      <c r="B10" s="1" t="s">
        <v>101</v>
      </c>
      <c r="C10" s="5">
        <v>24000</v>
      </c>
      <c r="D10" s="60" t="s">
        <v>102</v>
      </c>
      <c r="E10" s="60"/>
      <c r="F10" s="5">
        <v>1344</v>
      </c>
      <c r="G10" s="3" t="s">
        <v>70</v>
      </c>
      <c r="K10" s="1" t="s">
        <v>103</v>
      </c>
      <c r="L10" s="37">
        <f>$D$11-E5*G5</f>
        <v>1.6161247581547915</v>
      </c>
      <c r="N10" s="46"/>
      <c r="O10" s="47" t="s">
        <v>156</v>
      </c>
      <c r="P10" s="47"/>
      <c r="Q10" s="48"/>
      <c r="S10" s="3">
        <f>INT(3000/168)*INT(1500/168)</f>
        <v>136</v>
      </c>
      <c r="T10" s="3" t="s">
        <v>160</v>
      </c>
    </row>
    <row r="11" spans="2:20" x14ac:dyDescent="0.25">
      <c r="C11" s="1" t="s">
        <v>104</v>
      </c>
      <c r="D11" s="3">
        <f>1.5*3</f>
        <v>4.5</v>
      </c>
      <c r="E11" s="3" t="s">
        <v>94</v>
      </c>
      <c r="K11" s="1" t="s">
        <v>105</v>
      </c>
      <c r="L11" s="37">
        <f>$D$11-E6*G6</f>
        <v>1.2427967367581023</v>
      </c>
      <c r="N11" s="53"/>
      <c r="O11" s="15" t="s">
        <v>157</v>
      </c>
      <c r="P11" s="15"/>
      <c r="Q11" s="54"/>
      <c r="R11" s="2" t="s">
        <v>151</v>
      </c>
      <c r="S11" s="3" t="s">
        <v>158</v>
      </c>
    </row>
    <row r="12" spans="2:20" ht="15.75" thickBot="1" x14ac:dyDescent="0.3">
      <c r="N12" s="49"/>
      <c r="O12" s="50"/>
      <c r="P12" s="50"/>
      <c r="Q12" s="51"/>
      <c r="S12" s="3">
        <f>INT(3000/160)*INT(1500/160)</f>
        <v>162</v>
      </c>
      <c r="T12" s="3" t="s">
        <v>160</v>
      </c>
    </row>
    <row r="15" spans="2:20" x14ac:dyDescent="0.25">
      <c r="B15" s="66" t="s">
        <v>106</v>
      </c>
      <c r="C15" s="66" t="s">
        <v>107</v>
      </c>
      <c r="D15" s="66"/>
      <c r="E15" s="66" t="s">
        <v>108</v>
      </c>
      <c r="F15" s="66"/>
      <c r="G15" s="66"/>
      <c r="H15" s="66"/>
      <c r="I15" s="66" t="s">
        <v>109</v>
      </c>
      <c r="J15" s="66"/>
    </row>
    <row r="16" spans="2:20" x14ac:dyDescent="0.25">
      <c r="B16" s="66"/>
      <c r="C16" s="66"/>
      <c r="D16" s="66"/>
      <c r="E16" s="66" t="s">
        <v>110</v>
      </c>
      <c r="F16" s="66"/>
      <c r="G16" s="66" t="s">
        <v>111</v>
      </c>
      <c r="H16" s="66"/>
      <c r="I16" s="66"/>
      <c r="J16" s="66"/>
    </row>
    <row r="17" spans="2:17" x14ac:dyDescent="0.25">
      <c r="B17" s="13" t="s">
        <v>112</v>
      </c>
      <c r="C17" s="67">
        <f>F10*D11</f>
        <v>6048</v>
      </c>
      <c r="D17" s="67"/>
      <c r="E17" s="67">
        <f>C17-I17-G17</f>
        <v>72.178062175769583</v>
      </c>
      <c r="F17" s="67"/>
      <c r="G17" s="67">
        <f>L9*(I4-1)+L10*(I5-1)+L11*(I6-1)</f>
        <v>832.11414590721347</v>
      </c>
      <c r="H17" s="67"/>
      <c r="I17" s="67">
        <f>C10*(E4+E5+E6)</f>
        <v>5143.7077919170169</v>
      </c>
      <c r="J17" s="67"/>
    </row>
    <row r="18" spans="2:17" x14ac:dyDescent="0.25">
      <c r="B18" s="3" t="s">
        <v>113</v>
      </c>
    </row>
    <row r="20" spans="2:17" x14ac:dyDescent="0.25">
      <c r="O20" s="57"/>
      <c r="P20" s="60"/>
      <c r="Q20" s="60"/>
    </row>
    <row r="23" spans="2:17" x14ac:dyDescent="0.25">
      <c r="B23" s="66" t="s">
        <v>106</v>
      </c>
      <c r="C23" s="66"/>
      <c r="D23" s="66"/>
      <c r="E23" s="66" t="s">
        <v>107</v>
      </c>
      <c r="F23" s="66"/>
      <c r="G23" s="66" t="s">
        <v>108</v>
      </c>
      <c r="H23" s="66"/>
      <c r="I23" s="66"/>
      <c r="J23" s="66"/>
      <c r="K23" s="66" t="s">
        <v>109</v>
      </c>
      <c r="L23" s="66"/>
    </row>
    <row r="24" spans="2:17" x14ac:dyDescent="0.25">
      <c r="B24" s="66"/>
      <c r="C24" s="66"/>
      <c r="D24" s="66"/>
      <c r="E24" s="66"/>
      <c r="F24" s="66"/>
      <c r="G24" s="66" t="s">
        <v>110</v>
      </c>
      <c r="H24" s="66"/>
      <c r="I24" s="66" t="s">
        <v>111</v>
      </c>
      <c r="J24" s="66"/>
      <c r="K24" s="66"/>
      <c r="L24" s="66"/>
    </row>
    <row r="25" spans="2:17" x14ac:dyDescent="0.25">
      <c r="B25" s="61" t="s">
        <v>112</v>
      </c>
      <c r="C25" s="61"/>
      <c r="D25" s="61"/>
      <c r="E25" s="67" t="str">
        <f>CONCATENATE(C17," m2 acero")</f>
        <v>6048 m2 acero</v>
      </c>
      <c r="F25" s="67"/>
      <c r="G25" s="67">
        <f>E17</f>
        <v>72.178062175769583</v>
      </c>
      <c r="H25" s="67"/>
      <c r="I25" s="67">
        <f>G17</f>
        <v>832.11414590721347</v>
      </c>
      <c r="J25" s="67"/>
      <c r="K25" s="59" t="str">
        <f>CONCATENATE(24000," unidades")</f>
        <v>24000 unidades</v>
      </c>
      <c r="L25" s="59"/>
    </row>
    <row r="26" spans="2:17" x14ac:dyDescent="0.25">
      <c r="B26" s="61" t="s">
        <v>162</v>
      </c>
      <c r="C26" s="61"/>
      <c r="D26" s="61"/>
      <c r="E26" s="59" t="str">
        <f>CONCATENATE(24000," unidades")</f>
        <v>24000 unidades</v>
      </c>
      <c r="F26" s="59"/>
      <c r="G26" s="61"/>
      <c r="H26" s="61"/>
      <c r="I26" s="61"/>
      <c r="J26" s="61"/>
      <c r="K26" s="59" t="str">
        <f>CONCATENATE(24000," unidades")</f>
        <v>24000 unidades</v>
      </c>
      <c r="L26" s="59"/>
    </row>
    <row r="27" spans="2:17" x14ac:dyDescent="0.25">
      <c r="B27" s="61" t="s">
        <v>12</v>
      </c>
      <c r="C27" s="61"/>
      <c r="D27" s="61"/>
      <c r="E27" s="59" t="str">
        <f>CONCATENATE(24000," unidades")</f>
        <v>24000 unidades</v>
      </c>
      <c r="F27" s="59"/>
      <c r="G27" s="61"/>
      <c r="H27" s="61"/>
      <c r="I27" s="61"/>
      <c r="J27" s="61"/>
      <c r="K27" s="59" t="str">
        <f>CONCATENATE(24000," unidades")</f>
        <v>24000 unidades</v>
      </c>
      <c r="L27" s="59"/>
    </row>
    <row r="28" spans="2:17" x14ac:dyDescent="0.25">
      <c r="B28" s="63" t="s">
        <v>26</v>
      </c>
      <c r="C28" s="63"/>
      <c r="D28" s="63"/>
      <c r="E28" s="59" t="str">
        <f t="shared" ref="E28:E41" si="0">CONCATENATE(24000," unidades")</f>
        <v>24000 unidades</v>
      </c>
      <c r="F28" s="59"/>
      <c r="G28" s="61"/>
      <c r="H28" s="61"/>
      <c r="I28" s="61"/>
      <c r="J28" s="61"/>
      <c r="K28" s="59" t="str">
        <f t="shared" ref="K28:K41" si="1">CONCATENATE(24000," unidades")</f>
        <v>24000 unidades</v>
      </c>
      <c r="L28" s="59"/>
    </row>
    <row r="29" spans="2:17" x14ac:dyDescent="0.25">
      <c r="B29" s="63" t="s">
        <v>14</v>
      </c>
      <c r="C29" s="63"/>
      <c r="D29" s="63"/>
      <c r="E29" s="59" t="str">
        <f t="shared" si="0"/>
        <v>24000 unidades</v>
      </c>
      <c r="F29" s="59"/>
      <c r="G29" s="61"/>
      <c r="H29" s="61"/>
      <c r="I29" s="61"/>
      <c r="J29" s="61"/>
      <c r="K29" s="59" t="str">
        <f t="shared" si="1"/>
        <v>24000 unidades</v>
      </c>
      <c r="L29" s="59"/>
    </row>
    <row r="30" spans="2:17" x14ac:dyDescent="0.25">
      <c r="B30" s="63" t="s">
        <v>15</v>
      </c>
      <c r="C30" s="63"/>
      <c r="D30" s="63"/>
      <c r="E30" s="59" t="str">
        <f t="shared" si="0"/>
        <v>24000 unidades</v>
      </c>
      <c r="F30" s="59"/>
      <c r="G30" s="61"/>
      <c r="H30" s="61"/>
      <c r="I30" s="61"/>
      <c r="J30" s="61"/>
      <c r="K30" s="59" t="str">
        <f t="shared" si="1"/>
        <v>24000 unidades</v>
      </c>
      <c r="L30" s="59"/>
    </row>
    <row r="31" spans="2:17" x14ac:dyDescent="0.25">
      <c r="B31" s="63" t="s">
        <v>16</v>
      </c>
      <c r="C31" s="63"/>
      <c r="D31" s="63"/>
      <c r="E31" s="59" t="str">
        <f t="shared" si="0"/>
        <v>24000 unidades</v>
      </c>
      <c r="F31" s="59"/>
      <c r="G31" s="61"/>
      <c r="H31" s="61"/>
      <c r="I31" s="61"/>
      <c r="J31" s="61"/>
      <c r="K31" s="59" t="str">
        <f t="shared" si="1"/>
        <v>24000 unidades</v>
      </c>
      <c r="L31" s="59"/>
    </row>
    <row r="32" spans="2:17" x14ac:dyDescent="0.25">
      <c r="B32" s="63" t="s">
        <v>17</v>
      </c>
      <c r="C32" s="63"/>
      <c r="D32" s="63"/>
      <c r="E32" s="59" t="str">
        <f t="shared" si="0"/>
        <v>24000 unidades</v>
      </c>
      <c r="F32" s="59"/>
      <c r="G32" s="61"/>
      <c r="H32" s="61"/>
      <c r="I32" s="61"/>
      <c r="J32" s="61"/>
      <c r="K32" s="59" t="str">
        <f t="shared" si="1"/>
        <v>24000 unidades</v>
      </c>
      <c r="L32" s="59"/>
    </row>
    <row r="33" spans="1:12" x14ac:dyDescent="0.25">
      <c r="B33" s="63" t="s">
        <v>32</v>
      </c>
      <c r="C33" s="63"/>
      <c r="D33" s="63"/>
      <c r="E33" s="59" t="str">
        <f t="shared" si="0"/>
        <v>24000 unidades</v>
      </c>
      <c r="F33" s="59"/>
      <c r="G33" s="61"/>
      <c r="H33" s="61"/>
      <c r="I33" s="61"/>
      <c r="J33" s="61"/>
      <c r="K33" s="59" t="str">
        <f t="shared" si="1"/>
        <v>24000 unidades</v>
      </c>
      <c r="L33" s="59"/>
    </row>
    <row r="34" spans="1:12" x14ac:dyDescent="0.25">
      <c r="B34" s="63" t="s">
        <v>18</v>
      </c>
      <c r="C34" s="63"/>
      <c r="D34" s="63"/>
      <c r="E34" s="59" t="str">
        <f t="shared" si="0"/>
        <v>24000 unidades</v>
      </c>
      <c r="F34" s="59"/>
      <c r="G34" s="61"/>
      <c r="H34" s="61"/>
      <c r="I34" s="61"/>
      <c r="J34" s="61"/>
      <c r="K34" s="59" t="str">
        <f t="shared" si="1"/>
        <v>24000 unidades</v>
      </c>
      <c r="L34" s="59"/>
    </row>
    <row r="35" spans="1:12" x14ac:dyDescent="0.25">
      <c r="B35" s="64" t="s">
        <v>29</v>
      </c>
      <c r="C35" s="64"/>
      <c r="D35" s="64"/>
      <c r="E35" s="59" t="str">
        <f t="shared" si="0"/>
        <v>24000 unidades</v>
      </c>
      <c r="F35" s="59"/>
      <c r="G35" s="61"/>
      <c r="H35" s="61"/>
      <c r="I35" s="61"/>
      <c r="J35" s="61"/>
      <c r="K35" s="59" t="str">
        <f t="shared" si="1"/>
        <v>24000 unidades</v>
      </c>
      <c r="L35" s="59"/>
    </row>
    <row r="36" spans="1:12" x14ac:dyDescent="0.25">
      <c r="B36" s="64" t="s">
        <v>19</v>
      </c>
      <c r="C36" s="64"/>
      <c r="D36" s="64"/>
      <c r="E36" s="59" t="str">
        <f t="shared" si="0"/>
        <v>24000 unidades</v>
      </c>
      <c r="F36" s="59"/>
      <c r="G36" s="61"/>
      <c r="H36" s="61"/>
      <c r="I36" s="61"/>
      <c r="J36" s="61"/>
      <c r="K36" s="59" t="str">
        <f t="shared" si="1"/>
        <v>24000 unidades</v>
      </c>
      <c r="L36" s="59"/>
    </row>
    <row r="37" spans="1:12" x14ac:dyDescent="0.25">
      <c r="B37" s="64" t="s">
        <v>20</v>
      </c>
      <c r="C37" s="64"/>
      <c r="D37" s="64"/>
      <c r="E37" s="59" t="str">
        <f>CONCATENATE(792, " litros")</f>
        <v>792 litros</v>
      </c>
      <c r="F37" s="59"/>
      <c r="G37" s="61"/>
      <c r="H37" s="61"/>
      <c r="I37" s="61"/>
      <c r="J37" s="61"/>
      <c r="K37" s="59" t="str">
        <f t="shared" si="1"/>
        <v>24000 unidades</v>
      </c>
      <c r="L37" s="59"/>
    </row>
    <row r="38" spans="1:12" x14ac:dyDescent="0.25">
      <c r="B38" s="64" t="s">
        <v>21</v>
      </c>
      <c r="C38" s="64"/>
      <c r="D38" s="64"/>
      <c r="E38" s="59" t="str">
        <f>CONCATENATE(120000," kg")</f>
        <v>120000 kg</v>
      </c>
      <c r="F38" s="59"/>
      <c r="G38" s="61"/>
      <c r="H38" s="61"/>
      <c r="I38" s="61"/>
      <c r="J38" s="61"/>
      <c r="K38" s="59" t="str">
        <f t="shared" si="1"/>
        <v>24000 unidades</v>
      </c>
      <c r="L38" s="59"/>
    </row>
    <row r="39" spans="1:12" x14ac:dyDescent="0.25">
      <c r="B39" s="64" t="s">
        <v>22</v>
      </c>
      <c r="C39" s="64"/>
      <c r="D39" s="64"/>
      <c r="E39" s="59" t="str">
        <f t="shared" si="0"/>
        <v>24000 unidades</v>
      </c>
      <c r="F39" s="59"/>
      <c r="G39" s="61"/>
      <c r="H39" s="61"/>
      <c r="I39" s="61"/>
      <c r="J39" s="61"/>
      <c r="K39" s="59" t="str">
        <f t="shared" si="1"/>
        <v>24000 unidades</v>
      </c>
      <c r="L39" s="59"/>
    </row>
    <row r="40" spans="1:12" x14ac:dyDescent="0.25">
      <c r="B40" s="64" t="s">
        <v>27</v>
      </c>
      <c r="C40" s="64"/>
      <c r="D40" s="64"/>
      <c r="E40" s="59" t="str">
        <f t="shared" si="0"/>
        <v>24000 unidades</v>
      </c>
      <c r="F40" s="59"/>
      <c r="G40" s="61"/>
      <c r="H40" s="61"/>
      <c r="I40" s="61"/>
      <c r="J40" s="61"/>
      <c r="K40" s="59" t="str">
        <f t="shared" si="1"/>
        <v>24000 unidades</v>
      </c>
      <c r="L40" s="59"/>
    </row>
    <row r="41" spans="1:12" x14ac:dyDescent="0.25">
      <c r="B41" s="63" t="s">
        <v>23</v>
      </c>
      <c r="C41" s="63"/>
      <c r="D41" s="63"/>
      <c r="E41" s="59" t="str">
        <f t="shared" si="0"/>
        <v>24000 unidades</v>
      </c>
      <c r="F41" s="59"/>
      <c r="G41" s="61"/>
      <c r="H41" s="61"/>
      <c r="I41" s="61"/>
      <c r="J41" s="61"/>
      <c r="K41" s="59" t="str">
        <f t="shared" si="1"/>
        <v>24000 unidades</v>
      </c>
      <c r="L41" s="59"/>
    </row>
    <row r="44" spans="1:12" x14ac:dyDescent="0.25">
      <c r="A44" s="15"/>
      <c r="B44" s="15"/>
      <c r="C44" s="15"/>
      <c r="D44" s="15"/>
      <c r="E44" s="15"/>
      <c r="F44" s="15"/>
    </row>
    <row r="45" spans="1:12" x14ac:dyDescent="0.25">
      <c r="A45" s="15"/>
      <c r="B45" s="62"/>
      <c r="C45" s="62"/>
      <c r="D45" s="62"/>
      <c r="E45" s="62"/>
      <c r="F45" s="15"/>
    </row>
    <row r="46" spans="1:12" x14ac:dyDescent="0.25">
      <c r="A46" s="15"/>
      <c r="B46" s="15"/>
      <c r="C46" s="15"/>
      <c r="D46" s="15"/>
      <c r="E46" s="15"/>
      <c r="F46" s="15"/>
    </row>
  </sheetData>
  <mergeCells count="106">
    <mergeCell ref="B32:D32"/>
    <mergeCell ref="B23:D24"/>
    <mergeCell ref="B25:D25"/>
    <mergeCell ref="B26:D26"/>
    <mergeCell ref="B27:D27"/>
    <mergeCell ref="E25:F25"/>
    <mergeCell ref="G25:H25"/>
    <mergeCell ref="I25:J25"/>
    <mergeCell ref="K25:L25"/>
    <mergeCell ref="E26:F26"/>
    <mergeCell ref="G26:H26"/>
    <mergeCell ref="G27:H27"/>
    <mergeCell ref="B30:D30"/>
    <mergeCell ref="B31:D31"/>
    <mergeCell ref="E35:F35"/>
    <mergeCell ref="E36:F36"/>
    <mergeCell ref="B34:D34"/>
    <mergeCell ref="B36:D36"/>
    <mergeCell ref="O3:P3"/>
    <mergeCell ref="O9:P9"/>
    <mergeCell ref="B15:B16"/>
    <mergeCell ref="C15:D16"/>
    <mergeCell ref="E15:H15"/>
    <mergeCell ref="I15:J16"/>
    <mergeCell ref="E16:F16"/>
    <mergeCell ref="G16:H16"/>
    <mergeCell ref="C17:D17"/>
    <mergeCell ref="E17:F17"/>
    <mergeCell ref="G17:H17"/>
    <mergeCell ref="I17:J17"/>
    <mergeCell ref="D10:E10"/>
    <mergeCell ref="E23:F24"/>
    <mergeCell ref="G23:J23"/>
    <mergeCell ref="K23:L24"/>
    <mergeCell ref="G24:H24"/>
    <mergeCell ref="I24:J24"/>
    <mergeCell ref="E27:F27"/>
    <mergeCell ref="K26:L26"/>
    <mergeCell ref="G31:H31"/>
    <mergeCell ref="G32:H32"/>
    <mergeCell ref="B45:E45"/>
    <mergeCell ref="B29:D29"/>
    <mergeCell ref="B37:D37"/>
    <mergeCell ref="B39:D39"/>
    <mergeCell ref="B40:D40"/>
    <mergeCell ref="B28:D28"/>
    <mergeCell ref="B41:D41"/>
    <mergeCell ref="B35:D35"/>
    <mergeCell ref="B33:D33"/>
    <mergeCell ref="E28:F28"/>
    <mergeCell ref="E29:F29"/>
    <mergeCell ref="E30:F30"/>
    <mergeCell ref="E31:F31"/>
    <mergeCell ref="E32:F32"/>
    <mergeCell ref="E40:F40"/>
    <mergeCell ref="E41:F41"/>
    <mergeCell ref="E37:F37"/>
    <mergeCell ref="E38:F38"/>
    <mergeCell ref="E39:F39"/>
    <mergeCell ref="B38:D38"/>
    <mergeCell ref="E33:F33"/>
    <mergeCell ref="E34:F34"/>
    <mergeCell ref="G38:H38"/>
    <mergeCell ref="G39:H39"/>
    <mergeCell ref="G40:H40"/>
    <mergeCell ref="G41:H41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G33:H33"/>
    <mergeCell ref="G34:H34"/>
    <mergeCell ref="G35:H35"/>
    <mergeCell ref="G36:H36"/>
    <mergeCell ref="G37:H37"/>
    <mergeCell ref="G28:H28"/>
    <mergeCell ref="G29:H29"/>
    <mergeCell ref="G30:H30"/>
    <mergeCell ref="K40:L40"/>
    <mergeCell ref="K41:L41"/>
    <mergeCell ref="P20:Q20"/>
    <mergeCell ref="I38:J38"/>
    <mergeCell ref="I39:J39"/>
    <mergeCell ref="I40:J40"/>
    <mergeCell ref="I41:J41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27:L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G14" sqref="G14"/>
    </sheetView>
  </sheetViews>
  <sheetFormatPr baseColWidth="10" defaultRowHeight="15" x14ac:dyDescent="0.25"/>
  <sheetData>
    <row r="2" spans="2:9" ht="21" x14ac:dyDescent="0.35">
      <c r="B2" s="69" t="s">
        <v>0</v>
      </c>
      <c r="C2" s="69"/>
    </row>
    <row r="4" spans="2:9" x14ac:dyDescent="0.25">
      <c r="B4" s="70" t="s">
        <v>1</v>
      </c>
      <c r="C4" s="70"/>
    </row>
    <row r="5" spans="2:9" x14ac:dyDescent="0.25">
      <c r="D5">
        <v>1</v>
      </c>
      <c r="E5" t="s">
        <v>10</v>
      </c>
      <c r="G5">
        <v>365</v>
      </c>
      <c r="H5" t="s">
        <v>4</v>
      </c>
    </row>
    <row r="6" spans="2:9" x14ac:dyDescent="0.25">
      <c r="D6">
        <v>8</v>
      </c>
      <c r="E6" t="s">
        <v>2</v>
      </c>
      <c r="F6" s="2"/>
      <c r="G6">
        <v>15</v>
      </c>
      <c r="H6" s="68" t="s">
        <v>5</v>
      </c>
      <c r="I6" s="68"/>
    </row>
    <row r="7" spans="2:9" x14ac:dyDescent="0.25">
      <c r="D7">
        <v>6</v>
      </c>
      <c r="E7" s="4" t="s">
        <v>3</v>
      </c>
      <c r="F7" s="4"/>
      <c r="G7">
        <v>10</v>
      </c>
      <c r="H7" s="68" t="s">
        <v>6</v>
      </c>
      <c r="I7" s="68"/>
    </row>
    <row r="8" spans="2:9" x14ac:dyDescent="0.25">
      <c r="G8">
        <v>50</v>
      </c>
      <c r="H8" t="s">
        <v>9</v>
      </c>
    </row>
    <row r="10" spans="2:9" x14ac:dyDescent="0.25">
      <c r="C10" s="1"/>
      <c r="D10" s="20"/>
      <c r="E10" s="20" t="s">
        <v>8</v>
      </c>
      <c r="F10" s="15">
        <f>D5*D6*(G5-G6-G7-G8)</f>
        <v>2320</v>
      </c>
      <c r="G10" s="15" t="s">
        <v>7</v>
      </c>
    </row>
    <row r="16" spans="2:9" x14ac:dyDescent="0.25">
      <c r="B16" s="4"/>
      <c r="C16" s="4"/>
      <c r="D16" s="4"/>
      <c r="E16" s="4"/>
    </row>
  </sheetData>
  <mergeCells count="4">
    <mergeCell ref="H6:I6"/>
    <mergeCell ref="H7:I7"/>
    <mergeCell ref="B2:C2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showGridLines="0" workbookViewId="0">
      <selection activeCell="D36" sqref="D36"/>
    </sheetView>
  </sheetViews>
  <sheetFormatPr baseColWidth="10" defaultRowHeight="15" x14ac:dyDescent="0.25"/>
  <cols>
    <col min="6" max="6" width="12" bestFit="1" customWidth="1"/>
    <col min="7" max="7" width="13.42578125" bestFit="1" customWidth="1"/>
    <col min="8" max="8" width="14.7109375" bestFit="1" customWidth="1"/>
    <col min="9" max="9" width="16.5703125" style="7" customWidth="1"/>
    <col min="11" max="11" width="5.5703125" customWidth="1"/>
  </cols>
  <sheetData>
    <row r="2" spans="2:9" ht="21.75" thickBot="1" x14ac:dyDescent="0.4">
      <c r="B2" s="14" t="s">
        <v>38</v>
      </c>
    </row>
    <row r="3" spans="2:9" ht="30" customHeight="1" thickBot="1" x14ac:dyDescent="0.3">
      <c r="B3" s="82" t="s">
        <v>40</v>
      </c>
      <c r="C3" s="83"/>
      <c r="D3" s="83"/>
      <c r="E3" s="84"/>
      <c r="F3" s="25" t="s">
        <v>34</v>
      </c>
      <c r="G3" s="25" t="s">
        <v>35</v>
      </c>
      <c r="H3" s="26" t="s">
        <v>36</v>
      </c>
      <c r="I3" s="27" t="s">
        <v>37</v>
      </c>
    </row>
    <row r="4" spans="2:9" x14ac:dyDescent="0.25">
      <c r="B4" s="73" t="s">
        <v>13</v>
      </c>
      <c r="C4" s="74"/>
      <c r="D4" s="74"/>
      <c r="E4" s="75"/>
      <c r="F4" s="22">
        <v>78</v>
      </c>
      <c r="G4" s="23">
        <f>F4*'Ritmo trabajo'!$F$10</f>
        <v>180960</v>
      </c>
      <c r="H4" s="22">
        <v>24000</v>
      </c>
      <c r="I4" s="24">
        <f>H4/G4</f>
        <v>0.13262599469496023</v>
      </c>
    </row>
    <row r="5" spans="2:9" x14ac:dyDescent="0.25">
      <c r="B5" s="76" t="s">
        <v>11</v>
      </c>
      <c r="C5" s="77"/>
      <c r="D5" s="77"/>
      <c r="E5" s="78"/>
      <c r="F5" s="11">
        <v>144</v>
      </c>
      <c r="G5" s="11">
        <f>F5*'Ritmo trabajo'!$F$10</f>
        <v>334080</v>
      </c>
      <c r="H5" s="11">
        <v>24000</v>
      </c>
      <c r="I5" s="16">
        <f t="shared" ref="I5:I26" si="0">H5/G5</f>
        <v>7.183908045977011E-2</v>
      </c>
    </row>
    <row r="6" spans="2:9" x14ac:dyDescent="0.25">
      <c r="B6" s="76" t="s">
        <v>12</v>
      </c>
      <c r="C6" s="77"/>
      <c r="D6" s="77"/>
      <c r="E6" s="78"/>
      <c r="F6" s="11">
        <v>48</v>
      </c>
      <c r="G6" s="11">
        <f>F6*'Ritmo trabajo'!$F$10</f>
        <v>111360</v>
      </c>
      <c r="H6" s="11">
        <v>24000</v>
      </c>
      <c r="I6" s="16">
        <f t="shared" si="0"/>
        <v>0.21551724137931033</v>
      </c>
    </row>
    <row r="7" spans="2:9" x14ac:dyDescent="0.25">
      <c r="B7" s="76" t="s">
        <v>14</v>
      </c>
      <c r="C7" s="77"/>
      <c r="D7" s="77"/>
      <c r="E7" s="78"/>
      <c r="F7" s="11">
        <v>225</v>
      </c>
      <c r="G7" s="11">
        <f>F7*'Ritmo trabajo'!$F$10</f>
        <v>522000</v>
      </c>
      <c r="H7" s="11">
        <v>24000</v>
      </c>
      <c r="I7" s="16">
        <f t="shared" si="0"/>
        <v>4.5977011494252873E-2</v>
      </c>
    </row>
    <row r="8" spans="2:9" x14ac:dyDescent="0.25">
      <c r="B8" s="76" t="s">
        <v>15</v>
      </c>
      <c r="C8" s="77"/>
      <c r="D8" s="77"/>
      <c r="E8" s="78"/>
      <c r="F8" s="11">
        <v>144</v>
      </c>
      <c r="G8" s="11">
        <f>F8*'Ritmo trabajo'!$F$10</f>
        <v>334080</v>
      </c>
      <c r="H8" s="11">
        <v>24000</v>
      </c>
      <c r="I8" s="16">
        <f t="shared" si="0"/>
        <v>7.183908045977011E-2</v>
      </c>
    </row>
    <row r="9" spans="2:9" x14ac:dyDescent="0.25">
      <c r="B9" s="76" t="s">
        <v>16</v>
      </c>
      <c r="C9" s="77"/>
      <c r="D9" s="77"/>
      <c r="E9" s="78"/>
      <c r="F9" s="11">
        <v>120</v>
      </c>
      <c r="G9" s="11">
        <f>F9*'Ritmo trabajo'!$F$10</f>
        <v>278400</v>
      </c>
      <c r="H9" s="11">
        <v>24000</v>
      </c>
      <c r="I9" s="16">
        <f t="shared" si="0"/>
        <v>8.6206896551724144E-2</v>
      </c>
    </row>
    <row r="10" spans="2:9" x14ac:dyDescent="0.25">
      <c r="B10" s="76" t="s">
        <v>17</v>
      </c>
      <c r="C10" s="77"/>
      <c r="D10" s="77"/>
      <c r="E10" s="78"/>
      <c r="F10" s="11">
        <v>72</v>
      </c>
      <c r="G10" s="11">
        <f>F10*'Ritmo trabajo'!$F$10</f>
        <v>167040</v>
      </c>
      <c r="H10" s="11">
        <v>24000</v>
      </c>
      <c r="I10" s="16">
        <f t="shared" si="0"/>
        <v>0.14367816091954022</v>
      </c>
    </row>
    <row r="11" spans="2:9" x14ac:dyDescent="0.25">
      <c r="B11" s="76" t="s">
        <v>18</v>
      </c>
      <c r="C11" s="77"/>
      <c r="D11" s="77"/>
      <c r="E11" s="78"/>
      <c r="F11" s="11">
        <v>40</v>
      </c>
      <c r="G11" s="11">
        <f>F11*'Ritmo trabajo'!$F$10</f>
        <v>92800</v>
      </c>
      <c r="H11" s="11">
        <v>24000</v>
      </c>
      <c r="I11" s="16">
        <f t="shared" si="0"/>
        <v>0.25862068965517243</v>
      </c>
    </row>
    <row r="12" spans="2:9" x14ac:dyDescent="0.25">
      <c r="B12" s="76" t="s">
        <v>19</v>
      </c>
      <c r="C12" s="77"/>
      <c r="D12" s="77"/>
      <c r="E12" s="78"/>
      <c r="F12" s="11">
        <v>300</v>
      </c>
      <c r="G12" s="11">
        <f>F12*'Ritmo trabajo'!$F$10</f>
        <v>696000</v>
      </c>
      <c r="H12" s="11">
        <v>24000</v>
      </c>
      <c r="I12" s="16">
        <f t="shared" si="0"/>
        <v>3.4482758620689655E-2</v>
      </c>
    </row>
    <row r="13" spans="2:9" x14ac:dyDescent="0.25">
      <c r="B13" s="76" t="s">
        <v>20</v>
      </c>
      <c r="C13" s="77"/>
      <c r="D13" s="77"/>
      <c r="E13" s="78"/>
      <c r="F13" s="11">
        <v>120</v>
      </c>
      <c r="G13" s="11">
        <f>F13*'Ritmo trabajo'!$F$10</f>
        <v>278400</v>
      </c>
      <c r="H13" s="11">
        <v>24000</v>
      </c>
      <c r="I13" s="16">
        <f t="shared" si="0"/>
        <v>8.6206896551724144E-2</v>
      </c>
    </row>
    <row r="14" spans="2:9" x14ac:dyDescent="0.25">
      <c r="B14" s="76" t="s">
        <v>21</v>
      </c>
      <c r="C14" s="77"/>
      <c r="D14" s="77"/>
      <c r="E14" s="78"/>
      <c r="F14" s="11">
        <v>120</v>
      </c>
      <c r="G14" s="11">
        <f>F14*'Ritmo trabajo'!$F$10</f>
        <v>278400</v>
      </c>
      <c r="H14" s="11">
        <v>24000</v>
      </c>
      <c r="I14" s="16">
        <f t="shared" si="0"/>
        <v>8.6206896551724144E-2</v>
      </c>
    </row>
    <row r="15" spans="2:9" x14ac:dyDescent="0.25">
      <c r="B15" s="76" t="s">
        <v>22</v>
      </c>
      <c r="C15" s="77"/>
      <c r="D15" s="77"/>
      <c r="E15" s="78"/>
      <c r="F15" s="11">
        <v>103</v>
      </c>
      <c r="G15" s="11">
        <f>F15*'Ritmo trabajo'!$F$10</f>
        <v>238960</v>
      </c>
      <c r="H15" s="11">
        <v>24000</v>
      </c>
      <c r="I15" s="16">
        <f t="shared" si="0"/>
        <v>0.1004352192835621</v>
      </c>
    </row>
    <row r="16" spans="2:9" x14ac:dyDescent="0.25">
      <c r="B16" s="76" t="s">
        <v>23</v>
      </c>
      <c r="C16" s="77"/>
      <c r="D16" s="77"/>
      <c r="E16" s="78"/>
      <c r="F16" s="11">
        <v>87</v>
      </c>
      <c r="G16" s="11">
        <f>F16*'Ritmo trabajo'!$F$10</f>
        <v>201840</v>
      </c>
      <c r="H16" s="11">
        <v>24000</v>
      </c>
      <c r="I16" s="16">
        <f t="shared" si="0"/>
        <v>0.11890606420927467</v>
      </c>
    </row>
    <row r="17" spans="2:11" x14ac:dyDescent="0.25">
      <c r="B17" s="76" t="s">
        <v>24</v>
      </c>
      <c r="C17" s="77"/>
      <c r="D17" s="77"/>
      <c r="E17" s="78"/>
      <c r="F17" s="11">
        <v>156</v>
      </c>
      <c r="G17" s="11">
        <f>F17*'Ritmo trabajo'!$F$10</f>
        <v>361920</v>
      </c>
      <c r="H17" s="11">
        <v>24000</v>
      </c>
      <c r="I17" s="16">
        <f t="shared" si="0"/>
        <v>6.6312997347480113E-2</v>
      </c>
      <c r="J17" s="3"/>
      <c r="K17" s="3"/>
    </row>
    <row r="18" spans="2:11" x14ac:dyDescent="0.25">
      <c r="B18" s="76" t="s">
        <v>25</v>
      </c>
      <c r="C18" s="77"/>
      <c r="D18" s="77"/>
      <c r="E18" s="78"/>
      <c r="F18" s="11">
        <v>75</v>
      </c>
      <c r="G18" s="11">
        <f>F18*'Ritmo trabajo'!$F$10</f>
        <v>174000</v>
      </c>
      <c r="H18" s="11">
        <v>24000</v>
      </c>
      <c r="I18" s="16">
        <f t="shared" si="0"/>
        <v>0.13793103448275862</v>
      </c>
      <c r="J18" s="3"/>
      <c r="K18" s="3"/>
    </row>
    <row r="19" spans="2:11" x14ac:dyDescent="0.25">
      <c r="B19" s="76" t="s">
        <v>26</v>
      </c>
      <c r="C19" s="77"/>
      <c r="D19" s="77"/>
      <c r="E19" s="78"/>
      <c r="F19" s="11">
        <v>87</v>
      </c>
      <c r="G19" s="11">
        <f>F19*'Ritmo trabajo'!$F$10</f>
        <v>201840</v>
      </c>
      <c r="H19" s="11">
        <v>24000</v>
      </c>
      <c r="I19" s="16">
        <f t="shared" si="0"/>
        <v>0.11890606420927467</v>
      </c>
      <c r="J19" s="3"/>
      <c r="K19" s="3"/>
    </row>
    <row r="20" spans="2:11" x14ac:dyDescent="0.25">
      <c r="B20" s="76" t="s">
        <v>27</v>
      </c>
      <c r="C20" s="77"/>
      <c r="D20" s="77"/>
      <c r="E20" s="78"/>
      <c r="F20" s="11">
        <v>257</v>
      </c>
      <c r="G20" s="11">
        <f>F20*'Ritmo trabajo'!$F$10</f>
        <v>596240</v>
      </c>
      <c r="H20" s="11">
        <v>24000</v>
      </c>
      <c r="I20" s="16">
        <f t="shared" si="0"/>
        <v>4.025224741714746E-2</v>
      </c>
      <c r="J20" s="3"/>
      <c r="K20" s="3"/>
    </row>
    <row r="21" spans="2:11" ht="15.75" thickBot="1" x14ac:dyDescent="0.3">
      <c r="B21" s="76" t="s">
        <v>28</v>
      </c>
      <c r="C21" s="77"/>
      <c r="D21" s="77"/>
      <c r="E21" s="78"/>
      <c r="F21" s="11">
        <v>33</v>
      </c>
      <c r="G21" s="11">
        <f>F21*'Ritmo trabajo'!$F$10</f>
        <v>76560</v>
      </c>
      <c r="H21" s="11">
        <v>24000</v>
      </c>
      <c r="I21" s="16">
        <f t="shared" si="0"/>
        <v>0.31347962382445144</v>
      </c>
      <c r="J21" s="3"/>
      <c r="K21" s="3"/>
    </row>
    <row r="22" spans="2:11" ht="15.75" thickBot="1" x14ac:dyDescent="0.3">
      <c r="B22" s="85" t="s">
        <v>29</v>
      </c>
      <c r="C22" s="86"/>
      <c r="D22" s="86"/>
      <c r="E22" s="87"/>
      <c r="F22" s="12">
        <v>30</v>
      </c>
      <c r="G22" s="12">
        <f>F22*'Ritmo trabajo'!$F$10</f>
        <v>69600</v>
      </c>
      <c r="H22" s="21">
        <v>24000</v>
      </c>
      <c r="I22" s="17">
        <f t="shared" si="0"/>
        <v>0.34482758620689657</v>
      </c>
      <c r="J22" s="71" t="s">
        <v>39</v>
      </c>
      <c r="K22" s="72"/>
    </row>
    <row r="23" spans="2:11" x14ac:dyDescent="0.25">
      <c r="B23" s="76" t="s">
        <v>30</v>
      </c>
      <c r="C23" s="77"/>
      <c r="D23" s="77"/>
      <c r="E23" s="78"/>
      <c r="F23" s="11">
        <v>200</v>
      </c>
      <c r="G23" s="11">
        <f>F23*'Ritmo trabajo'!$F$10</f>
        <v>464000</v>
      </c>
      <c r="H23" s="11">
        <v>24000</v>
      </c>
      <c r="I23" s="16">
        <f t="shared" si="0"/>
        <v>5.1724137931034482E-2</v>
      </c>
      <c r="J23" s="3"/>
      <c r="K23" s="3"/>
    </row>
    <row r="24" spans="2:11" x14ac:dyDescent="0.25">
      <c r="B24" s="76" t="s">
        <v>31</v>
      </c>
      <c r="C24" s="77"/>
      <c r="D24" s="77"/>
      <c r="E24" s="78"/>
      <c r="F24" s="11">
        <v>40</v>
      </c>
      <c r="G24" s="11">
        <f>F24*'Ritmo trabajo'!$F$10</f>
        <v>92800</v>
      </c>
      <c r="H24" s="11">
        <v>24000</v>
      </c>
      <c r="I24" s="16">
        <f t="shared" si="0"/>
        <v>0.25862068965517243</v>
      </c>
      <c r="J24" s="3"/>
      <c r="K24" s="3"/>
    </row>
    <row r="25" spans="2:11" x14ac:dyDescent="0.25">
      <c r="B25" s="76" t="s">
        <v>32</v>
      </c>
      <c r="C25" s="77"/>
      <c r="D25" s="77"/>
      <c r="E25" s="78"/>
      <c r="F25" s="11">
        <v>60</v>
      </c>
      <c r="G25" s="11">
        <f>F25*'Ritmo trabajo'!$F$10</f>
        <v>139200</v>
      </c>
      <c r="H25" s="11">
        <v>24000</v>
      </c>
      <c r="I25" s="16">
        <f t="shared" si="0"/>
        <v>0.17241379310344829</v>
      </c>
      <c r="J25" s="3"/>
      <c r="K25" s="3"/>
    </row>
    <row r="26" spans="2:11" ht="15.75" thickBot="1" x14ac:dyDescent="0.3">
      <c r="B26" s="79" t="s">
        <v>33</v>
      </c>
      <c r="C26" s="80"/>
      <c r="D26" s="80"/>
      <c r="E26" s="81"/>
      <c r="F26" s="18">
        <v>29</v>
      </c>
      <c r="G26" s="18">
        <f>F26*'Ritmo trabajo'!$F$10</f>
        <v>67280</v>
      </c>
      <c r="H26" s="18">
        <v>24000</v>
      </c>
      <c r="I26" s="19">
        <f t="shared" si="0"/>
        <v>0.356718192627824</v>
      </c>
      <c r="J26" s="3"/>
      <c r="K26" s="3"/>
    </row>
  </sheetData>
  <mergeCells count="25">
    <mergeCell ref="B25:E25"/>
    <mergeCell ref="B26:E26"/>
    <mergeCell ref="B3:E3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J22:K2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showGridLines="0" workbookViewId="0">
      <selection activeCell="D10" sqref="D10"/>
    </sheetView>
  </sheetViews>
  <sheetFormatPr baseColWidth="10" defaultRowHeight="15" x14ac:dyDescent="0.25"/>
  <sheetData>
    <row r="2" spans="2:5" ht="18.75" x14ac:dyDescent="0.3">
      <c r="B2" s="10" t="s">
        <v>57</v>
      </c>
    </row>
    <row r="4" spans="2:5" x14ac:dyDescent="0.25">
      <c r="B4" t="s">
        <v>58</v>
      </c>
    </row>
    <row r="6" spans="2:5" x14ac:dyDescent="0.25">
      <c r="B6">
        <v>50</v>
      </c>
      <c r="C6" t="s">
        <v>59</v>
      </c>
    </row>
    <row r="7" spans="2:5" x14ac:dyDescent="0.25">
      <c r="B7">
        <v>24000</v>
      </c>
      <c r="C7" t="s">
        <v>60</v>
      </c>
    </row>
    <row r="8" spans="2:5" x14ac:dyDescent="0.25">
      <c r="B8">
        <f>B7/B6</f>
        <v>480</v>
      </c>
      <c r="C8" t="s">
        <v>61</v>
      </c>
    </row>
    <row r="10" spans="2:5" x14ac:dyDescent="0.25">
      <c r="C10" s="1" t="s">
        <v>62</v>
      </c>
      <c r="D10">
        <f>B8/2</f>
        <v>240</v>
      </c>
      <c r="E10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workbookViewId="0">
      <selection activeCell="I11" sqref="I11:J11"/>
    </sheetView>
  </sheetViews>
  <sheetFormatPr baseColWidth="10" defaultRowHeight="15" x14ac:dyDescent="0.25"/>
  <sheetData>
    <row r="2" spans="2:12" ht="18.75" x14ac:dyDescent="0.3">
      <c r="B2" s="10" t="s">
        <v>41</v>
      </c>
    </row>
    <row r="4" spans="2:12" x14ac:dyDescent="0.25">
      <c r="C4" s="1" t="s">
        <v>42</v>
      </c>
      <c r="D4">
        <v>24000</v>
      </c>
      <c r="E4" t="s">
        <v>43</v>
      </c>
    </row>
    <row r="5" spans="2:12" x14ac:dyDescent="0.25">
      <c r="C5" s="1" t="s">
        <v>44</v>
      </c>
      <c r="D5">
        <v>2000</v>
      </c>
      <c r="E5" t="s">
        <v>43</v>
      </c>
    </row>
    <row r="6" spans="2:12" x14ac:dyDescent="0.25">
      <c r="C6" s="1" t="s">
        <v>45</v>
      </c>
      <c r="D6">
        <v>3</v>
      </c>
      <c r="E6" t="s">
        <v>46</v>
      </c>
    </row>
    <row r="9" spans="2:12" ht="30" customHeight="1" x14ac:dyDescent="0.25">
      <c r="B9" s="30" t="s">
        <v>47</v>
      </c>
      <c r="C9" s="88" t="s">
        <v>52</v>
      </c>
      <c r="D9" s="88"/>
      <c r="E9" s="88" t="s">
        <v>55</v>
      </c>
      <c r="F9" s="88"/>
      <c r="G9" s="88" t="s">
        <v>56</v>
      </c>
      <c r="H9" s="88"/>
      <c r="I9" s="88" t="s">
        <v>53</v>
      </c>
      <c r="J9" s="88"/>
      <c r="K9" s="88" t="s">
        <v>54</v>
      </c>
      <c r="L9" s="88"/>
    </row>
    <row r="10" spans="2:12" x14ac:dyDescent="0.25">
      <c r="B10" s="31">
        <v>1</v>
      </c>
      <c r="C10" s="89">
        <v>0</v>
      </c>
      <c r="D10" s="89"/>
      <c r="E10" s="89">
        <f>1/3</f>
        <v>0.33333333333333331</v>
      </c>
      <c r="F10" s="89"/>
      <c r="G10" s="89">
        <f>AVERAGE(C10:F10)</f>
        <v>0.16666666666666666</v>
      </c>
      <c r="H10" s="89"/>
      <c r="I10" s="67">
        <f>24000/11.5</f>
        <v>2086.9565217391305</v>
      </c>
      <c r="J10" s="67"/>
      <c r="K10" s="67">
        <f>G10*I10</f>
        <v>347.82608695652175</v>
      </c>
      <c r="L10" s="67"/>
    </row>
    <row r="11" spans="2:12" x14ac:dyDescent="0.25">
      <c r="B11" s="31">
        <v>2</v>
      </c>
      <c r="C11" s="89">
        <f>E10</f>
        <v>0.33333333333333331</v>
      </c>
      <c r="D11" s="89"/>
      <c r="E11" s="89">
        <f>C11+E10</f>
        <v>0.66666666666666663</v>
      </c>
      <c r="F11" s="89"/>
      <c r="G11" s="89">
        <f t="shared" ref="G11:G12" si="0">AVERAGE(C11:F11)</f>
        <v>0.5</v>
      </c>
      <c r="H11" s="89"/>
      <c r="I11" s="67">
        <f t="shared" ref="I11:I12" si="1">24000/11.5</f>
        <v>2086.9565217391305</v>
      </c>
      <c r="J11" s="67"/>
      <c r="K11" s="67">
        <f t="shared" ref="K11:K12" si="2">G11*I11</f>
        <v>1043.4782608695652</v>
      </c>
      <c r="L11" s="67"/>
    </row>
    <row r="12" spans="2:12" x14ac:dyDescent="0.25">
      <c r="B12" s="31">
        <v>3</v>
      </c>
      <c r="C12" s="89">
        <f>E11</f>
        <v>0.66666666666666663</v>
      </c>
      <c r="D12" s="89"/>
      <c r="E12" s="89">
        <f>C12+E10</f>
        <v>1</v>
      </c>
      <c r="F12" s="89"/>
      <c r="G12" s="89">
        <f t="shared" si="0"/>
        <v>0.83333333333333326</v>
      </c>
      <c r="H12" s="89"/>
      <c r="I12" s="67">
        <f t="shared" si="1"/>
        <v>2086.9565217391305</v>
      </c>
      <c r="J12" s="67"/>
      <c r="K12" s="67">
        <f t="shared" si="2"/>
        <v>1739.1304347826085</v>
      </c>
      <c r="L12" s="67"/>
    </row>
    <row r="13" spans="2:12" x14ac:dyDescent="0.25">
      <c r="J13" s="32" t="s">
        <v>51</v>
      </c>
      <c r="K13" s="67">
        <f>SUM(K10:L12)</f>
        <v>3130.4347826086955</v>
      </c>
      <c r="L13" s="59"/>
    </row>
    <row r="16" spans="2:12" x14ac:dyDescent="0.25">
      <c r="E16" s="1" t="s">
        <v>48</v>
      </c>
      <c r="F16" s="29">
        <f>2000*9</f>
        <v>18000</v>
      </c>
    </row>
    <row r="17" spans="5:6" x14ac:dyDescent="0.25">
      <c r="E17" s="1" t="s">
        <v>49</v>
      </c>
      <c r="F17" s="29">
        <f>F16+K13</f>
        <v>21130.434782608696</v>
      </c>
    </row>
    <row r="18" spans="5:6" x14ac:dyDescent="0.25">
      <c r="E18" s="1" t="s">
        <v>50</v>
      </c>
      <c r="F18" s="29">
        <f>2000*12</f>
        <v>24000</v>
      </c>
    </row>
  </sheetData>
  <mergeCells count="21">
    <mergeCell ref="K13:L13"/>
    <mergeCell ref="C11:D11"/>
    <mergeCell ref="C12:D12"/>
    <mergeCell ref="E10:F10"/>
    <mergeCell ref="E11:F11"/>
    <mergeCell ref="E12:F12"/>
    <mergeCell ref="G10:H10"/>
    <mergeCell ref="G11:H11"/>
    <mergeCell ref="G12:H12"/>
    <mergeCell ref="C10:D10"/>
    <mergeCell ref="I10:J10"/>
    <mergeCell ref="I11:J11"/>
    <mergeCell ref="I12:J12"/>
    <mergeCell ref="K10:L10"/>
    <mergeCell ref="K11:L11"/>
    <mergeCell ref="K12:L12"/>
    <mergeCell ref="C9:D9"/>
    <mergeCell ref="E9:F9"/>
    <mergeCell ref="G9:H9"/>
    <mergeCell ref="I9:J9"/>
    <mergeCell ref="K9:L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showGridLines="0" workbookViewId="0">
      <selection activeCell="I39" sqref="I39"/>
    </sheetView>
  </sheetViews>
  <sheetFormatPr baseColWidth="10" defaultRowHeight="15" x14ac:dyDescent="0.25"/>
  <sheetData>
    <row r="2" spans="2:5" ht="18.75" x14ac:dyDescent="0.3">
      <c r="B2" s="10" t="s">
        <v>63</v>
      </c>
    </row>
    <row r="4" spans="2:5" x14ac:dyDescent="0.25">
      <c r="B4" s="1" t="s">
        <v>65</v>
      </c>
      <c r="C4" s="29">
        <f>'Ev.  Prod.'!$F$17-'Stock PT'!$D$10</f>
        <v>20890.434782608696</v>
      </c>
      <c r="D4" t="s">
        <v>64</v>
      </c>
      <c r="E4" t="s">
        <v>67</v>
      </c>
    </row>
    <row r="5" spans="2:5" x14ac:dyDescent="0.25">
      <c r="B5" s="1" t="s">
        <v>66</v>
      </c>
      <c r="C5">
        <v>24000</v>
      </c>
      <c r="D5" t="s">
        <v>64</v>
      </c>
      <c r="E5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showGridLines="0" workbookViewId="0">
      <selection activeCell="K36" sqref="K36"/>
    </sheetView>
  </sheetViews>
  <sheetFormatPr baseColWidth="10" defaultRowHeight="15" x14ac:dyDescent="0.25"/>
  <cols>
    <col min="8" max="8" width="14.5703125" customWidth="1"/>
  </cols>
  <sheetData>
    <row r="2" spans="2:16" ht="18.75" x14ac:dyDescent="0.3">
      <c r="B2" s="10" t="s">
        <v>69</v>
      </c>
    </row>
    <row r="3" spans="2:16" x14ac:dyDescent="0.25">
      <c r="I3" s="35" t="s">
        <v>65</v>
      </c>
    </row>
    <row r="4" spans="2:16" x14ac:dyDescent="0.25">
      <c r="K4" s="90" t="s">
        <v>87</v>
      </c>
      <c r="L4" s="90"/>
      <c r="M4" s="90"/>
      <c r="N4" s="90"/>
    </row>
    <row r="5" spans="2:16" ht="15.75" x14ac:dyDescent="0.25">
      <c r="D5" s="34" t="s">
        <v>86</v>
      </c>
      <c r="K5">
        <v>1</v>
      </c>
      <c r="L5">
        <v>2</v>
      </c>
      <c r="M5">
        <v>3</v>
      </c>
      <c r="N5" t="s">
        <v>89</v>
      </c>
      <c r="O5" t="s">
        <v>90</v>
      </c>
      <c r="P5" t="s">
        <v>88</v>
      </c>
    </row>
    <row r="6" spans="2:16" x14ac:dyDescent="0.25">
      <c r="D6" s="1" t="s">
        <v>71</v>
      </c>
      <c r="E6" s="33">
        <f>112/2000</f>
        <v>5.6000000000000001E-2</v>
      </c>
      <c r="F6" s="15" t="s">
        <v>70</v>
      </c>
      <c r="J6" s="1" t="s">
        <v>71</v>
      </c>
      <c r="K6" s="28">
        <f>$E6*'Ev.  Prod.'!$K$10</f>
        <v>19.478260869565219</v>
      </c>
      <c r="L6" s="28">
        <f>$E6*'Ev.  Prod.'!$K$11</f>
        <v>58.434782608695656</v>
      </c>
      <c r="M6" s="28">
        <f>$E6*'Ev.  Prod.'!$K$12</f>
        <v>97.391304347826079</v>
      </c>
      <c r="N6" s="28">
        <f>'Ev.  Prod.'!$I$10*E6</f>
        <v>116.86956521739131</v>
      </c>
      <c r="O6" s="28">
        <f>SUM(K6:M6)</f>
        <v>175.30434782608694</v>
      </c>
      <c r="P6" s="28">
        <f>N6+O6</f>
        <v>292.17391304347825</v>
      </c>
    </row>
    <row r="7" spans="2:16" x14ac:dyDescent="0.25">
      <c r="D7" s="1" t="s">
        <v>72</v>
      </c>
      <c r="E7" s="15">
        <v>5</v>
      </c>
      <c r="F7" s="15" t="s">
        <v>84</v>
      </c>
      <c r="J7" s="1" t="s">
        <v>72</v>
      </c>
      <c r="K7" s="28">
        <f>$E7*'Ev.  Prod.'!$K$10</f>
        <v>1739.1304347826087</v>
      </c>
      <c r="L7" s="28">
        <f>$E7*'Ev.  Prod.'!$K$11</f>
        <v>5217.391304347826</v>
      </c>
      <c r="M7" s="28">
        <f>$E7*'Ev.  Prod.'!$K$12</f>
        <v>8695.6521739130421</v>
      </c>
      <c r="N7" s="28">
        <f>'Ev.  Prod.'!$I$10*E7</f>
        <v>10434.782608695652</v>
      </c>
      <c r="O7" s="28">
        <f t="shared" ref="O7:O16" si="0">SUM(K7:M7)</f>
        <v>15652.173913043476</v>
      </c>
      <c r="P7" s="28">
        <f t="shared" ref="P7:P16" si="1">N7+O7</f>
        <v>26086.956521739128</v>
      </c>
    </row>
    <row r="8" spans="2:16" x14ac:dyDescent="0.25">
      <c r="D8" s="1" t="s">
        <v>73</v>
      </c>
      <c r="E8">
        <v>50</v>
      </c>
      <c r="F8" t="s">
        <v>85</v>
      </c>
      <c r="J8" s="1" t="s">
        <v>73</v>
      </c>
      <c r="K8" s="28">
        <f>$E8*'Ev.  Prod.'!$K$10</f>
        <v>17391.304347826088</v>
      </c>
      <c r="L8" s="28">
        <f>$E8*'Ev.  Prod.'!$K$11</f>
        <v>52173.913043478264</v>
      </c>
      <c r="M8" s="28">
        <f>$E8*'Ev.  Prod.'!$K$12</f>
        <v>86956.521739130432</v>
      </c>
      <c r="N8" s="28">
        <f>'Ev.  Prod.'!$I$10*E8</f>
        <v>104347.82608695653</v>
      </c>
      <c r="O8" s="28">
        <f t="shared" si="0"/>
        <v>156521.73913043478</v>
      </c>
      <c r="P8" s="28">
        <f t="shared" si="1"/>
        <v>260869.5652173913</v>
      </c>
    </row>
    <row r="9" spans="2:16" x14ac:dyDescent="0.25">
      <c r="D9" s="1" t="s">
        <v>74</v>
      </c>
      <c r="E9">
        <v>1</v>
      </c>
      <c r="J9" s="1" t="s">
        <v>74</v>
      </c>
      <c r="K9" s="28">
        <f>$E9*'Ev.  Prod.'!$K$10</f>
        <v>347.82608695652175</v>
      </c>
      <c r="L9" s="28">
        <f>$E9*'Ev.  Prod.'!$K$11</f>
        <v>1043.4782608695652</v>
      </c>
      <c r="M9" s="28">
        <f>$E9*'Ev.  Prod.'!$K$12</f>
        <v>1739.1304347826085</v>
      </c>
      <c r="N9" s="28">
        <f>'Ev.  Prod.'!$I$10*E9</f>
        <v>2086.9565217391305</v>
      </c>
      <c r="O9" s="28">
        <f t="shared" si="0"/>
        <v>3130.4347826086955</v>
      </c>
      <c r="P9" s="28">
        <f t="shared" si="1"/>
        <v>5217.391304347826</v>
      </c>
    </row>
    <row r="10" spans="2:16" x14ac:dyDescent="0.25">
      <c r="D10" s="1" t="s">
        <v>75</v>
      </c>
      <c r="E10">
        <v>1</v>
      </c>
      <c r="J10" s="1" t="s">
        <v>75</v>
      </c>
      <c r="K10" s="28">
        <f>$E10*'Ev.  Prod.'!$K$10</f>
        <v>347.82608695652175</v>
      </c>
      <c r="L10" s="28">
        <f>$E10*'Ev.  Prod.'!$K$11</f>
        <v>1043.4782608695652</v>
      </c>
      <c r="M10" s="28">
        <f>$E10*'Ev.  Prod.'!$K$12</f>
        <v>1739.1304347826085</v>
      </c>
      <c r="N10" s="28">
        <f>'Ev.  Prod.'!$I$10*E10</f>
        <v>2086.9565217391305</v>
      </c>
      <c r="O10" s="28">
        <f t="shared" si="0"/>
        <v>3130.4347826086955</v>
      </c>
      <c r="P10" s="28">
        <f t="shared" si="1"/>
        <v>5217.391304347826</v>
      </c>
    </row>
    <row r="11" spans="2:16" x14ac:dyDescent="0.25">
      <c r="D11" s="1" t="s">
        <v>76</v>
      </c>
      <c r="E11">
        <v>1</v>
      </c>
      <c r="J11" s="1" t="s">
        <v>76</v>
      </c>
      <c r="K11" s="28">
        <f>$E11*'Ev.  Prod.'!$K$10</f>
        <v>347.82608695652175</v>
      </c>
      <c r="L11" s="28">
        <f>$E11*'Ev.  Prod.'!$K$11</f>
        <v>1043.4782608695652</v>
      </c>
      <c r="M11" s="28">
        <f>$E11*'Ev.  Prod.'!$K$12</f>
        <v>1739.1304347826085</v>
      </c>
      <c r="N11" s="28">
        <f>'Ev.  Prod.'!$I$10*E11</f>
        <v>2086.9565217391305</v>
      </c>
      <c r="O11" s="28">
        <f t="shared" si="0"/>
        <v>3130.4347826086955</v>
      </c>
      <c r="P11" s="28">
        <f t="shared" si="1"/>
        <v>5217.391304347826</v>
      </c>
    </row>
    <row r="12" spans="2:16" x14ac:dyDescent="0.25">
      <c r="D12" s="1" t="s">
        <v>77</v>
      </c>
      <c r="E12">
        <v>1</v>
      </c>
      <c r="J12" s="1" t="s">
        <v>77</v>
      </c>
      <c r="K12" s="28">
        <f>$E12*'Ev.  Prod.'!$K$10</f>
        <v>347.82608695652175</v>
      </c>
      <c r="L12" s="28">
        <f>$E12*'Ev.  Prod.'!$K$11</f>
        <v>1043.4782608695652</v>
      </c>
      <c r="M12" s="28">
        <f>$E12*'Ev.  Prod.'!$K$12</f>
        <v>1739.1304347826085</v>
      </c>
      <c r="N12" s="28">
        <f>'Ev.  Prod.'!$I$10*E12</f>
        <v>2086.9565217391305</v>
      </c>
      <c r="O12" s="28">
        <f t="shared" si="0"/>
        <v>3130.4347826086955</v>
      </c>
      <c r="P12" s="28">
        <f t="shared" si="1"/>
        <v>5217.391304347826</v>
      </c>
    </row>
    <row r="13" spans="2:16" x14ac:dyDescent="0.25">
      <c r="D13" s="1" t="s">
        <v>78</v>
      </c>
      <c r="E13">
        <v>1</v>
      </c>
      <c r="J13" s="1" t="s">
        <v>78</v>
      </c>
      <c r="K13" s="28">
        <f>$E13*'Ev.  Prod.'!$K$10</f>
        <v>347.82608695652175</v>
      </c>
      <c r="L13" s="28">
        <f>$E13*'Ev.  Prod.'!$K$11</f>
        <v>1043.4782608695652</v>
      </c>
      <c r="M13" s="28">
        <f>$E13*'Ev.  Prod.'!$K$12</f>
        <v>1739.1304347826085</v>
      </c>
      <c r="N13" s="28">
        <f>'Ev.  Prod.'!$I$10*E13</f>
        <v>2086.9565217391305</v>
      </c>
      <c r="O13" s="28">
        <f t="shared" si="0"/>
        <v>3130.4347826086955</v>
      </c>
      <c r="P13" s="28">
        <f t="shared" si="1"/>
        <v>5217.391304347826</v>
      </c>
    </row>
    <row r="14" spans="2:16" x14ac:dyDescent="0.25">
      <c r="D14" s="1" t="s">
        <v>79</v>
      </c>
      <c r="E14">
        <v>1</v>
      </c>
      <c r="J14" s="1" t="s">
        <v>79</v>
      </c>
      <c r="K14" s="28">
        <f>$E14*'Ev.  Prod.'!$K$10</f>
        <v>347.82608695652175</v>
      </c>
      <c r="L14" s="28">
        <f>$E14*'Ev.  Prod.'!$K$11</f>
        <v>1043.4782608695652</v>
      </c>
      <c r="M14" s="28">
        <f>$E14*'Ev.  Prod.'!$K$12</f>
        <v>1739.1304347826085</v>
      </c>
      <c r="N14" s="28">
        <f>'Ev.  Prod.'!$I$10*E14</f>
        <v>2086.9565217391305</v>
      </c>
      <c r="O14" s="28">
        <f t="shared" si="0"/>
        <v>3130.4347826086955</v>
      </c>
      <c r="P14" s="28">
        <f t="shared" si="1"/>
        <v>5217.391304347826</v>
      </c>
    </row>
    <row r="15" spans="2:16" x14ac:dyDescent="0.25">
      <c r="D15" s="1" t="s">
        <v>83</v>
      </c>
      <c r="E15">
        <v>1</v>
      </c>
      <c r="J15" s="1" t="s">
        <v>83</v>
      </c>
      <c r="K15" s="28">
        <f>$E15*'Ev.  Prod.'!$K$10</f>
        <v>347.82608695652175</v>
      </c>
      <c r="L15" s="28">
        <f>$E15*'Ev.  Prod.'!$K$11</f>
        <v>1043.4782608695652</v>
      </c>
      <c r="M15" s="28">
        <f>$E15*'Ev.  Prod.'!$K$12</f>
        <v>1739.1304347826085</v>
      </c>
      <c r="N15" s="28">
        <f>'Ev.  Prod.'!$I$10*E15</f>
        <v>2086.9565217391305</v>
      </c>
      <c r="O15" s="28">
        <f t="shared" si="0"/>
        <v>3130.4347826086955</v>
      </c>
      <c r="P15" s="28">
        <f t="shared" si="1"/>
        <v>5217.391304347826</v>
      </c>
    </row>
    <row r="16" spans="2:16" x14ac:dyDescent="0.25">
      <c r="D16" s="1" t="s">
        <v>82</v>
      </c>
      <c r="E16">
        <v>3.3000000000000002E-2</v>
      </c>
      <c r="F16" t="s">
        <v>163</v>
      </c>
      <c r="J16" s="1" t="s">
        <v>82</v>
      </c>
      <c r="K16" s="28">
        <f>$E16*'Ev.  Prod.'!$K$10</f>
        <v>11.478260869565219</v>
      </c>
      <c r="L16" s="28">
        <f>$E16*'Ev.  Prod.'!$K$11</f>
        <v>34.434782608695656</v>
      </c>
      <c r="M16" s="28">
        <f>$E16*'Ev.  Prod.'!$K$12</f>
        <v>57.391304347826086</v>
      </c>
      <c r="N16" s="28">
        <f>'Ev.  Prod.'!$I$10*E16</f>
        <v>68.869565217391312</v>
      </c>
      <c r="O16" s="28">
        <f t="shared" si="0"/>
        <v>103.30434782608697</v>
      </c>
      <c r="P16" s="28">
        <f t="shared" si="1"/>
        <v>172.17391304347828</v>
      </c>
    </row>
    <row r="17" spans="4:16" x14ac:dyDescent="0.25">
      <c r="D17" s="1" t="s">
        <v>81</v>
      </c>
      <c r="J17" s="1" t="s">
        <v>81</v>
      </c>
      <c r="K17" s="28"/>
      <c r="L17" s="28"/>
      <c r="M17" s="28"/>
      <c r="N17" s="28"/>
      <c r="O17" s="28"/>
      <c r="P17" s="28"/>
    </row>
    <row r="18" spans="4:16" x14ac:dyDescent="0.25">
      <c r="D18" s="1" t="s">
        <v>80</v>
      </c>
      <c r="J18" s="1" t="s">
        <v>80</v>
      </c>
      <c r="K18" s="28"/>
      <c r="L18" s="28"/>
      <c r="M18" s="28"/>
      <c r="N18" s="28"/>
      <c r="O18" s="28"/>
      <c r="P18" s="28"/>
    </row>
    <row r="22" spans="4:16" x14ac:dyDescent="0.25">
      <c r="I22" s="35" t="s">
        <v>91</v>
      </c>
    </row>
    <row r="25" spans="4:16" x14ac:dyDescent="0.25">
      <c r="J25" s="1" t="s">
        <v>71</v>
      </c>
      <c r="K25">
        <f>N6*11.5</f>
        <v>1344</v>
      </c>
    </row>
    <row r="26" spans="4:16" x14ac:dyDescent="0.25">
      <c r="J26" s="1" t="s">
        <v>72</v>
      </c>
      <c r="K26" s="3">
        <f t="shared" ref="K26:K34" si="2">N7*11.5</f>
        <v>120000</v>
      </c>
    </row>
    <row r="27" spans="4:16" x14ac:dyDescent="0.25">
      <c r="J27" s="1" t="s">
        <v>73</v>
      </c>
      <c r="K27" s="3">
        <f t="shared" si="2"/>
        <v>1200000</v>
      </c>
    </row>
    <row r="28" spans="4:16" x14ac:dyDescent="0.25">
      <c r="J28" s="1" t="s">
        <v>74</v>
      </c>
      <c r="K28" s="3">
        <f t="shared" si="2"/>
        <v>24000</v>
      </c>
    </row>
    <row r="29" spans="4:16" x14ac:dyDescent="0.25">
      <c r="J29" s="1" t="s">
        <v>75</v>
      </c>
      <c r="K29" s="3">
        <f t="shared" si="2"/>
        <v>24000</v>
      </c>
    </row>
    <row r="30" spans="4:16" x14ac:dyDescent="0.25">
      <c r="J30" s="1" t="s">
        <v>76</v>
      </c>
      <c r="K30" s="3">
        <f t="shared" si="2"/>
        <v>24000</v>
      </c>
    </row>
    <row r="31" spans="4:16" x14ac:dyDescent="0.25">
      <c r="J31" s="1" t="s">
        <v>77</v>
      </c>
      <c r="K31" s="3">
        <f t="shared" si="2"/>
        <v>24000</v>
      </c>
    </row>
    <row r="32" spans="4:16" x14ac:dyDescent="0.25">
      <c r="J32" s="1" t="s">
        <v>78</v>
      </c>
      <c r="K32" s="3">
        <f t="shared" si="2"/>
        <v>24000</v>
      </c>
    </row>
    <row r="33" spans="10:11" x14ac:dyDescent="0.25">
      <c r="J33" s="1" t="s">
        <v>79</v>
      </c>
      <c r="K33" s="3">
        <f t="shared" si="2"/>
        <v>24000</v>
      </c>
    </row>
    <row r="34" spans="10:11" x14ac:dyDescent="0.25">
      <c r="J34" s="1" t="s">
        <v>83</v>
      </c>
      <c r="K34" s="3">
        <f t="shared" si="2"/>
        <v>24000</v>
      </c>
    </row>
    <row r="35" spans="10:11" x14ac:dyDescent="0.25">
      <c r="J35" s="1" t="s">
        <v>82</v>
      </c>
      <c r="K35">
        <v>792</v>
      </c>
    </row>
    <row r="36" spans="10:11" x14ac:dyDescent="0.25">
      <c r="J36" s="1" t="s">
        <v>81</v>
      </c>
    </row>
    <row r="37" spans="10:11" x14ac:dyDescent="0.25">
      <c r="J37" s="1" t="s">
        <v>80</v>
      </c>
    </row>
  </sheetData>
  <mergeCells count="1">
    <mergeCell ref="K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showGridLines="0" workbookViewId="0">
      <selection activeCell="I42" sqref="I42"/>
    </sheetView>
  </sheetViews>
  <sheetFormatPr baseColWidth="10" defaultRowHeight="15" x14ac:dyDescent="0.25"/>
  <cols>
    <col min="2" max="2" width="13" customWidth="1"/>
    <col min="7" max="7" width="13.42578125" customWidth="1"/>
    <col min="12" max="12" width="13.140625" customWidth="1"/>
  </cols>
  <sheetData>
    <row r="2" spans="2:14" ht="18.75" x14ac:dyDescent="0.3">
      <c r="B2" s="10" t="s">
        <v>149</v>
      </c>
    </row>
    <row r="3" spans="2:14" x14ac:dyDescent="0.25">
      <c r="B3" s="2" t="s">
        <v>115</v>
      </c>
    </row>
    <row r="4" spans="2:14" ht="15" customHeight="1" x14ac:dyDescent="0.25">
      <c r="C4" s="6"/>
      <c r="D4" s="6"/>
      <c r="E4" s="6"/>
      <c r="F4" s="6"/>
    </row>
    <row r="5" spans="2:14" ht="15.75" x14ac:dyDescent="0.25">
      <c r="B5" s="9" t="s">
        <v>114</v>
      </c>
      <c r="C5" s="6"/>
      <c r="D5" s="6"/>
      <c r="E5" s="6"/>
      <c r="G5" s="9" t="s">
        <v>132</v>
      </c>
      <c r="L5" s="9" t="s">
        <v>133</v>
      </c>
    </row>
    <row r="7" spans="2:14" ht="15.75" x14ac:dyDescent="0.25">
      <c r="B7" s="9" t="s">
        <v>65</v>
      </c>
      <c r="G7" s="9" t="s">
        <v>65</v>
      </c>
      <c r="L7" s="8" t="s">
        <v>65</v>
      </c>
    </row>
    <row r="8" spans="2:14" x14ac:dyDescent="0.25">
      <c r="B8" s="40" t="s">
        <v>116</v>
      </c>
      <c r="C8" s="40" t="s">
        <v>130</v>
      </c>
      <c r="D8" s="40" t="s">
        <v>131</v>
      </c>
      <c r="G8" s="40" t="s">
        <v>116</v>
      </c>
      <c r="H8" s="40" t="s">
        <v>130</v>
      </c>
      <c r="I8" s="40" t="s">
        <v>131</v>
      </c>
      <c r="L8" s="40" t="s">
        <v>116</v>
      </c>
      <c r="M8" s="40" t="s">
        <v>130</v>
      </c>
      <c r="N8" s="40" t="s">
        <v>131</v>
      </c>
    </row>
    <row r="9" spans="2:14" x14ac:dyDescent="0.25">
      <c r="B9" s="40" t="s">
        <v>129</v>
      </c>
      <c r="C9" s="38">
        <f>'Consmo MP'!$O$6</f>
        <v>175.30434782608694</v>
      </c>
      <c r="D9" s="38">
        <f>'Consmo MP'!$O$6</f>
        <v>175.30434782608694</v>
      </c>
      <c r="G9" s="40" t="s">
        <v>129</v>
      </c>
      <c r="H9" s="39">
        <f>I9</f>
        <v>15652.173913043476</v>
      </c>
      <c r="I9" s="39">
        <f>'Consmo MP'!O7</f>
        <v>15652.173913043476</v>
      </c>
      <c r="L9" s="40" t="s">
        <v>129</v>
      </c>
      <c r="M9" s="39">
        <f>'Consmo MP'!O8</f>
        <v>156521.73913043478</v>
      </c>
      <c r="N9" s="39">
        <f>M9</f>
        <v>156521.73913043478</v>
      </c>
    </row>
    <row r="10" spans="2:14" x14ac:dyDescent="0.25">
      <c r="B10" s="40" t="s">
        <v>117</v>
      </c>
      <c r="C10" s="38">
        <f>C9-'Consmo MP'!K6</f>
        <v>155.82608695652172</v>
      </c>
      <c r="D10" s="38">
        <v>0</v>
      </c>
      <c r="G10" s="40" t="s">
        <v>117</v>
      </c>
      <c r="H10" s="39">
        <f>H9-'Consmo MP'!K7</f>
        <v>13913.043478260868</v>
      </c>
      <c r="I10" s="11">
        <v>0</v>
      </c>
      <c r="L10" s="40" t="s">
        <v>117</v>
      </c>
      <c r="M10" s="39">
        <f>M9-'Consmo MP'!K8</f>
        <v>139130.4347826087</v>
      </c>
      <c r="N10" s="11">
        <v>0</v>
      </c>
    </row>
    <row r="11" spans="2:14" x14ac:dyDescent="0.25">
      <c r="B11" s="40" t="s">
        <v>118</v>
      </c>
      <c r="C11" s="38">
        <f>C10-'Consmo MP'!L6</f>
        <v>97.391304347826065</v>
      </c>
      <c r="D11" s="38">
        <v>0</v>
      </c>
      <c r="G11" s="40" t="s">
        <v>118</v>
      </c>
      <c r="H11" s="39">
        <f>H10-'Consmo MP'!L7</f>
        <v>8695.6521739130421</v>
      </c>
      <c r="I11" s="11">
        <v>0</v>
      </c>
      <c r="L11" s="40" t="s">
        <v>118</v>
      </c>
      <c r="M11" s="39">
        <f>M10-'Consmo MP'!L8</f>
        <v>86956.521739130432</v>
      </c>
      <c r="N11" s="11">
        <v>0</v>
      </c>
    </row>
    <row r="12" spans="2:14" x14ac:dyDescent="0.25">
      <c r="B12" s="40" t="s">
        <v>119</v>
      </c>
      <c r="C12" s="38">
        <f>C11-'Consmo MP'!M6+D12</f>
        <v>116.8695652173913</v>
      </c>
      <c r="D12" s="38">
        <f>'Consmo MP'!$N$6</f>
        <v>116.86956521739131</v>
      </c>
      <c r="G12" s="40" t="s">
        <v>119</v>
      </c>
      <c r="H12" s="39">
        <f>H11-'Consmo MP'!M7+I12</f>
        <v>10434.782608695652</v>
      </c>
      <c r="I12" s="39">
        <f>'Consmo MP'!$N$7</f>
        <v>10434.782608695652</v>
      </c>
      <c r="L12" s="40" t="s">
        <v>119</v>
      </c>
      <c r="M12" s="39">
        <f>M11-'Consmo MP'!M8+N12</f>
        <v>104347.82608695653</v>
      </c>
      <c r="N12" s="39">
        <f>'Consmo MP'!$N$8</f>
        <v>104347.82608695653</v>
      </c>
    </row>
    <row r="13" spans="2:14" x14ac:dyDescent="0.25">
      <c r="B13" s="40" t="s">
        <v>120</v>
      </c>
      <c r="C13" s="38">
        <f>D13</f>
        <v>116.86956521739131</v>
      </c>
      <c r="D13" s="38">
        <f>'Consmo MP'!$N$6</f>
        <v>116.86956521739131</v>
      </c>
      <c r="G13" s="40" t="s">
        <v>120</v>
      </c>
      <c r="H13" s="39">
        <f>I13</f>
        <v>10434.782608695652</v>
      </c>
      <c r="I13" s="39">
        <f>'Consmo MP'!$N$7</f>
        <v>10434.782608695652</v>
      </c>
      <c r="L13" s="40" t="s">
        <v>120</v>
      </c>
      <c r="M13" s="39">
        <f>N13</f>
        <v>104347.82608695653</v>
      </c>
      <c r="N13" s="39">
        <f>'Consmo MP'!$N$8</f>
        <v>104347.82608695653</v>
      </c>
    </row>
    <row r="14" spans="2:14" x14ac:dyDescent="0.25">
      <c r="B14" s="40" t="s">
        <v>121</v>
      </c>
      <c r="C14" s="38">
        <f t="shared" ref="C14:C21" si="0">D14</f>
        <v>116.86956521739131</v>
      </c>
      <c r="D14" s="38">
        <f>'Consmo MP'!$N$6</f>
        <v>116.86956521739131</v>
      </c>
      <c r="G14" s="40" t="s">
        <v>121</v>
      </c>
      <c r="H14" s="39">
        <f t="shared" ref="H14:H21" si="1">I14</f>
        <v>10434.782608695652</v>
      </c>
      <c r="I14" s="39">
        <f>'Consmo MP'!$N$7</f>
        <v>10434.782608695652</v>
      </c>
      <c r="L14" s="40" t="s">
        <v>121</v>
      </c>
      <c r="M14" s="39">
        <f t="shared" ref="M14:M21" si="2">N14</f>
        <v>104347.82608695653</v>
      </c>
      <c r="N14" s="39">
        <f>'Consmo MP'!$N$8</f>
        <v>104347.82608695653</v>
      </c>
    </row>
    <row r="15" spans="2:14" x14ac:dyDescent="0.25">
      <c r="B15" s="40" t="s">
        <v>122</v>
      </c>
      <c r="C15" s="38">
        <f t="shared" si="0"/>
        <v>116.86956521739131</v>
      </c>
      <c r="D15" s="38">
        <f>'Consmo MP'!$N$6</f>
        <v>116.86956521739131</v>
      </c>
      <c r="G15" s="40" t="s">
        <v>122</v>
      </c>
      <c r="H15" s="39">
        <f t="shared" si="1"/>
        <v>10434.782608695652</v>
      </c>
      <c r="I15" s="39">
        <f>'Consmo MP'!$N$7</f>
        <v>10434.782608695652</v>
      </c>
      <c r="L15" s="40" t="s">
        <v>122</v>
      </c>
      <c r="M15" s="39">
        <f t="shared" si="2"/>
        <v>104347.82608695653</v>
      </c>
      <c r="N15" s="39">
        <f>'Consmo MP'!$N$8</f>
        <v>104347.82608695653</v>
      </c>
    </row>
    <row r="16" spans="2:14" x14ac:dyDescent="0.25">
      <c r="B16" s="40" t="s">
        <v>123</v>
      </c>
      <c r="C16" s="38">
        <f t="shared" si="0"/>
        <v>116.86956521739131</v>
      </c>
      <c r="D16" s="38">
        <f>'Consmo MP'!$N$6</f>
        <v>116.86956521739131</v>
      </c>
      <c r="G16" s="40" t="s">
        <v>123</v>
      </c>
      <c r="H16" s="39">
        <f t="shared" si="1"/>
        <v>10434.782608695652</v>
      </c>
      <c r="I16" s="39">
        <f>'Consmo MP'!$N$7</f>
        <v>10434.782608695652</v>
      </c>
      <c r="L16" s="40" t="s">
        <v>123</v>
      </c>
      <c r="M16" s="39">
        <f t="shared" si="2"/>
        <v>104347.82608695653</v>
      </c>
      <c r="N16" s="39">
        <f>'Consmo MP'!$N$8</f>
        <v>104347.82608695653</v>
      </c>
    </row>
    <row r="17" spans="2:15" x14ac:dyDescent="0.25">
      <c r="B17" s="40" t="s">
        <v>124</v>
      </c>
      <c r="C17" s="38">
        <f t="shared" si="0"/>
        <v>116.86956521739131</v>
      </c>
      <c r="D17" s="38">
        <f>'Consmo MP'!$N$6</f>
        <v>116.86956521739131</v>
      </c>
      <c r="G17" s="40" t="s">
        <v>124</v>
      </c>
      <c r="H17" s="39">
        <f t="shared" si="1"/>
        <v>10434.782608695652</v>
      </c>
      <c r="I17" s="39">
        <f>'Consmo MP'!$N$7</f>
        <v>10434.782608695652</v>
      </c>
      <c r="L17" s="40" t="s">
        <v>124</v>
      </c>
      <c r="M17" s="39">
        <f t="shared" si="2"/>
        <v>104347.82608695653</v>
      </c>
      <c r="N17" s="39">
        <f>'Consmo MP'!$N$8</f>
        <v>104347.82608695653</v>
      </c>
    </row>
    <row r="18" spans="2:15" x14ac:dyDescent="0.25">
      <c r="B18" s="40" t="s">
        <v>125</v>
      </c>
      <c r="C18" s="38">
        <f t="shared" si="0"/>
        <v>116.86956521739131</v>
      </c>
      <c r="D18" s="38">
        <f>'Consmo MP'!$N$6</f>
        <v>116.86956521739131</v>
      </c>
      <c r="G18" s="40" t="s">
        <v>125</v>
      </c>
      <c r="H18" s="39">
        <f t="shared" si="1"/>
        <v>10434.782608695652</v>
      </c>
      <c r="I18" s="39">
        <f>'Consmo MP'!$N$7</f>
        <v>10434.782608695652</v>
      </c>
      <c r="L18" s="40" t="s">
        <v>125</v>
      </c>
      <c r="M18" s="39">
        <f t="shared" si="2"/>
        <v>104347.82608695653</v>
      </c>
      <c r="N18" s="39">
        <f>'Consmo MP'!$N$8</f>
        <v>104347.82608695653</v>
      </c>
    </row>
    <row r="19" spans="2:15" x14ac:dyDescent="0.25">
      <c r="B19" s="40" t="s">
        <v>126</v>
      </c>
      <c r="C19" s="38">
        <f t="shared" si="0"/>
        <v>116.86956521739131</v>
      </c>
      <c r="D19" s="38">
        <f>'Consmo MP'!$N$6</f>
        <v>116.86956521739131</v>
      </c>
      <c r="G19" s="40" t="s">
        <v>126</v>
      </c>
      <c r="H19" s="39">
        <f t="shared" si="1"/>
        <v>10434.782608695652</v>
      </c>
      <c r="I19" s="39">
        <f>'Consmo MP'!$N$7</f>
        <v>10434.782608695652</v>
      </c>
      <c r="L19" s="40" t="s">
        <v>126</v>
      </c>
      <c r="M19" s="39">
        <f t="shared" si="2"/>
        <v>104347.82608695653</v>
      </c>
      <c r="N19" s="39">
        <f>'Consmo MP'!$N$8</f>
        <v>104347.82608695653</v>
      </c>
    </row>
    <row r="20" spans="2:15" x14ac:dyDescent="0.25">
      <c r="B20" s="40" t="s">
        <v>127</v>
      </c>
      <c r="C20" s="38">
        <f t="shared" si="0"/>
        <v>116.86956521739131</v>
      </c>
      <c r="D20" s="38">
        <f>'Consmo MP'!$N$6</f>
        <v>116.86956521739131</v>
      </c>
      <c r="G20" s="40" t="s">
        <v>127</v>
      </c>
      <c r="H20" s="39">
        <f t="shared" si="1"/>
        <v>10434.782608695652</v>
      </c>
      <c r="I20" s="39">
        <f>'Consmo MP'!$N$7</f>
        <v>10434.782608695652</v>
      </c>
      <c r="L20" s="40" t="s">
        <v>127</v>
      </c>
      <c r="M20" s="39">
        <f t="shared" si="2"/>
        <v>104347.82608695653</v>
      </c>
      <c r="N20" s="39">
        <f>'Consmo MP'!$N$8</f>
        <v>104347.82608695653</v>
      </c>
    </row>
    <row r="21" spans="2:15" x14ac:dyDescent="0.25">
      <c r="B21" s="40" t="s">
        <v>128</v>
      </c>
      <c r="C21" s="38">
        <f t="shared" si="0"/>
        <v>116.86956521739131</v>
      </c>
      <c r="D21" s="38">
        <f>'Consmo MP'!$N$6</f>
        <v>116.86956521739131</v>
      </c>
      <c r="G21" s="40" t="s">
        <v>128</v>
      </c>
      <c r="H21" s="39">
        <f t="shared" si="1"/>
        <v>10434.782608695652</v>
      </c>
      <c r="I21" s="39">
        <f>'Consmo MP'!$N$7</f>
        <v>10434.782608695652</v>
      </c>
      <c r="L21" s="40" t="s">
        <v>128</v>
      </c>
      <c r="M21" s="39">
        <f t="shared" si="2"/>
        <v>104347.82608695653</v>
      </c>
      <c r="N21" s="39">
        <f>'Consmo MP'!$N$8</f>
        <v>104347.82608695653</v>
      </c>
    </row>
    <row r="22" spans="2:15" x14ac:dyDescent="0.25">
      <c r="B22" s="41" t="s">
        <v>144</v>
      </c>
      <c r="C22" s="38">
        <f>AVERAGE(C9:C21)</f>
        <v>122.86287625418056</v>
      </c>
      <c r="D22" s="38">
        <f>SUM(D10:D21)</f>
        <v>1168.6956521739128</v>
      </c>
      <c r="E22" s="8" t="s">
        <v>88</v>
      </c>
      <c r="G22" s="41" t="s">
        <v>144</v>
      </c>
      <c r="H22" s="39">
        <f>AVERAGE(H9:H21)</f>
        <v>10969.899665551839</v>
      </c>
      <c r="I22" s="39">
        <f>SUM(I10:I21)</f>
        <v>104347.8260869565</v>
      </c>
      <c r="J22" s="8" t="s">
        <v>88</v>
      </c>
      <c r="L22" s="41" t="s">
        <v>144</v>
      </c>
      <c r="M22" s="39">
        <f>AVERAGE(M9:M21)</f>
        <v>109698.99665551841</v>
      </c>
      <c r="N22" s="39">
        <f>SUM(N10:N21)</f>
        <v>1043478.2608695653</v>
      </c>
      <c r="O22" s="8" t="s">
        <v>88</v>
      </c>
    </row>
    <row r="26" spans="2:15" ht="15.75" x14ac:dyDescent="0.25">
      <c r="B26" s="9" t="s">
        <v>161</v>
      </c>
      <c r="K26" s="9" t="s">
        <v>164</v>
      </c>
      <c r="L26" s="56"/>
      <c r="M26" s="56"/>
      <c r="N26" s="56"/>
    </row>
    <row r="27" spans="2:15" x14ac:dyDescent="0.25">
      <c r="K27" s="56"/>
      <c r="L27" s="56"/>
      <c r="M27" s="56"/>
      <c r="N27" s="56"/>
    </row>
    <row r="28" spans="2:15" ht="15.75" x14ac:dyDescent="0.25">
      <c r="B28" s="9" t="s">
        <v>65</v>
      </c>
      <c r="K28" s="8" t="s">
        <v>65</v>
      </c>
      <c r="L28" s="56"/>
      <c r="M28" s="56"/>
      <c r="N28" s="56"/>
    </row>
    <row r="29" spans="2:15" x14ac:dyDescent="0.25">
      <c r="B29" s="45" t="s">
        <v>116</v>
      </c>
      <c r="C29" s="45" t="s">
        <v>130</v>
      </c>
      <c r="D29" s="45" t="s">
        <v>131</v>
      </c>
      <c r="K29" s="58" t="s">
        <v>116</v>
      </c>
      <c r="L29" s="58" t="s">
        <v>130</v>
      </c>
      <c r="M29" s="58" t="s">
        <v>131</v>
      </c>
      <c r="N29" s="56"/>
    </row>
    <row r="30" spans="2:15" x14ac:dyDescent="0.25">
      <c r="B30" s="45" t="s">
        <v>129</v>
      </c>
      <c r="C30" s="11">
        <v>3131</v>
      </c>
      <c r="D30" s="11">
        <v>3131</v>
      </c>
      <c r="K30" s="58" t="s">
        <v>129</v>
      </c>
      <c r="L30" s="39">
        <f>'Consmo MP'!O16</f>
        <v>103.30434782608697</v>
      </c>
      <c r="M30" s="39">
        <f>L30</f>
        <v>103.30434782608697</v>
      </c>
      <c r="N30" s="56"/>
    </row>
    <row r="31" spans="2:15" x14ac:dyDescent="0.25">
      <c r="B31" s="45" t="s">
        <v>117</v>
      </c>
      <c r="C31" s="11">
        <f>C30-348</f>
        <v>2783</v>
      </c>
      <c r="D31" s="11">
        <v>0</v>
      </c>
      <c r="K31" s="58" t="s">
        <v>117</v>
      </c>
      <c r="L31" s="39">
        <f>L30-'Consmo MP'!K16</f>
        <v>91.826086956521749</v>
      </c>
      <c r="M31" s="11">
        <v>0</v>
      </c>
      <c r="N31" s="56"/>
    </row>
    <row r="32" spans="2:15" x14ac:dyDescent="0.25">
      <c r="B32" s="45" t="s">
        <v>118</v>
      </c>
      <c r="C32" s="11">
        <f>C31-1044</f>
        <v>1739</v>
      </c>
      <c r="D32" s="11">
        <v>0</v>
      </c>
      <c r="K32" s="58" t="s">
        <v>118</v>
      </c>
      <c r="L32" s="39">
        <f>L31-'Consmo MP'!L16</f>
        <v>57.391304347826093</v>
      </c>
      <c r="M32" s="11">
        <v>0</v>
      </c>
      <c r="N32" s="56"/>
    </row>
    <row r="33" spans="2:14" x14ac:dyDescent="0.25">
      <c r="B33" s="45" t="s">
        <v>119</v>
      </c>
      <c r="C33" s="11">
        <v>2000</v>
      </c>
      <c r="D33" s="11">
        <v>2000</v>
      </c>
      <c r="K33" s="58" t="s">
        <v>119</v>
      </c>
      <c r="L33" s="39">
        <v>66</v>
      </c>
      <c r="M33" s="39">
        <v>66</v>
      </c>
      <c r="N33" s="56"/>
    </row>
    <row r="34" spans="2:14" x14ac:dyDescent="0.25">
      <c r="B34" s="45" t="s">
        <v>120</v>
      </c>
      <c r="C34" s="11">
        <v>2000</v>
      </c>
      <c r="D34" s="11">
        <v>2000</v>
      </c>
      <c r="K34" s="58" t="s">
        <v>120</v>
      </c>
      <c r="L34" s="39">
        <v>66</v>
      </c>
      <c r="M34" s="39">
        <v>66</v>
      </c>
      <c r="N34" s="56"/>
    </row>
    <row r="35" spans="2:14" x14ac:dyDescent="0.25">
      <c r="B35" s="45" t="s">
        <v>121</v>
      </c>
      <c r="C35" s="11">
        <v>2000</v>
      </c>
      <c r="D35" s="11">
        <v>2000</v>
      </c>
      <c r="K35" s="58" t="s">
        <v>121</v>
      </c>
      <c r="L35" s="39">
        <v>66</v>
      </c>
      <c r="M35" s="39">
        <v>66</v>
      </c>
      <c r="N35" s="56"/>
    </row>
    <row r="36" spans="2:14" x14ac:dyDescent="0.25">
      <c r="B36" s="45" t="s">
        <v>122</v>
      </c>
      <c r="C36" s="11">
        <v>2000</v>
      </c>
      <c r="D36" s="11">
        <v>2000</v>
      </c>
      <c r="K36" s="58" t="s">
        <v>122</v>
      </c>
      <c r="L36" s="39">
        <v>66</v>
      </c>
      <c r="M36" s="39">
        <v>66</v>
      </c>
      <c r="N36" s="56"/>
    </row>
    <row r="37" spans="2:14" x14ac:dyDescent="0.25">
      <c r="B37" s="45" t="s">
        <v>123</v>
      </c>
      <c r="C37" s="11">
        <v>2000</v>
      </c>
      <c r="D37" s="11">
        <v>2000</v>
      </c>
      <c r="K37" s="58" t="s">
        <v>123</v>
      </c>
      <c r="L37" s="39">
        <v>66</v>
      </c>
      <c r="M37" s="39">
        <v>66</v>
      </c>
      <c r="N37" s="56"/>
    </row>
    <row r="38" spans="2:14" x14ac:dyDescent="0.25">
      <c r="B38" s="45" t="s">
        <v>124</v>
      </c>
      <c r="C38" s="11">
        <v>2000</v>
      </c>
      <c r="D38" s="11">
        <v>2000</v>
      </c>
      <c r="K38" s="58" t="s">
        <v>124</v>
      </c>
      <c r="L38" s="39">
        <v>66</v>
      </c>
      <c r="M38" s="39">
        <v>66</v>
      </c>
      <c r="N38" s="56"/>
    </row>
    <row r="39" spans="2:14" x14ac:dyDescent="0.25">
      <c r="B39" s="45" t="s">
        <v>125</v>
      </c>
      <c r="C39" s="11">
        <v>2000</v>
      </c>
      <c r="D39" s="11">
        <v>2000</v>
      </c>
      <c r="K39" s="58" t="s">
        <v>125</v>
      </c>
      <c r="L39" s="39">
        <v>66</v>
      </c>
      <c r="M39" s="39">
        <v>66</v>
      </c>
      <c r="N39" s="56"/>
    </row>
    <row r="40" spans="2:14" x14ac:dyDescent="0.25">
      <c r="B40" s="45" t="s">
        <v>126</v>
      </c>
      <c r="C40" s="11">
        <v>2000</v>
      </c>
      <c r="D40" s="11">
        <v>2000</v>
      </c>
      <c r="K40" s="58" t="s">
        <v>126</v>
      </c>
      <c r="L40" s="39">
        <v>66</v>
      </c>
      <c r="M40" s="39">
        <v>66</v>
      </c>
      <c r="N40" s="56"/>
    </row>
    <row r="41" spans="2:14" x14ac:dyDescent="0.25">
      <c r="B41" s="45" t="s">
        <v>127</v>
      </c>
      <c r="C41" s="11">
        <v>2000</v>
      </c>
      <c r="D41" s="11">
        <v>2000</v>
      </c>
      <c r="K41" s="58" t="s">
        <v>127</v>
      </c>
      <c r="L41" s="39">
        <v>66</v>
      </c>
      <c r="M41" s="39">
        <v>66</v>
      </c>
      <c r="N41" s="56"/>
    </row>
    <row r="42" spans="2:14" x14ac:dyDescent="0.25">
      <c r="B42" s="45" t="s">
        <v>128</v>
      </c>
      <c r="C42" s="11">
        <v>2000</v>
      </c>
      <c r="D42" s="11">
        <v>2000</v>
      </c>
      <c r="K42" s="58" t="s">
        <v>128</v>
      </c>
      <c r="L42" s="39">
        <v>66</v>
      </c>
      <c r="M42" s="39">
        <v>66</v>
      </c>
      <c r="N42" s="56"/>
    </row>
    <row r="43" spans="2:14" x14ac:dyDescent="0.25">
      <c r="B43" s="41" t="s">
        <v>144</v>
      </c>
      <c r="C43" s="11">
        <f>AVERAGE(C30:C42)</f>
        <v>2127.1538461538462</v>
      </c>
      <c r="D43" s="11">
        <f>SUM(D30:D42)</f>
        <v>23131</v>
      </c>
      <c r="E43" s="8" t="s">
        <v>88</v>
      </c>
      <c r="K43" s="41" t="s">
        <v>144</v>
      </c>
      <c r="L43" s="39">
        <v>66</v>
      </c>
      <c r="M43" s="39">
        <v>66</v>
      </c>
      <c r="N43" s="8" t="s">
        <v>88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1"/>
  <sheetViews>
    <sheetView showGridLines="0" workbookViewId="0">
      <selection activeCell="H5" sqref="H5"/>
    </sheetView>
  </sheetViews>
  <sheetFormatPr baseColWidth="10" defaultRowHeight="15" x14ac:dyDescent="0.25"/>
  <cols>
    <col min="3" max="3" width="11.42578125" customWidth="1"/>
    <col min="5" max="5" width="12.85546875" bestFit="1" customWidth="1"/>
    <col min="6" max="6" width="11.42578125" customWidth="1"/>
  </cols>
  <sheetData>
    <row r="3" spans="3:8" x14ac:dyDescent="0.25">
      <c r="C3" s="42"/>
      <c r="D3" s="42"/>
      <c r="E3" s="43"/>
      <c r="F3" s="44" t="s">
        <v>142</v>
      </c>
      <c r="G3" s="40" t="s">
        <v>65</v>
      </c>
      <c r="H3" s="40" t="s">
        <v>143</v>
      </c>
    </row>
    <row r="4" spans="3:8" x14ac:dyDescent="0.25">
      <c r="C4" s="91" t="s">
        <v>134</v>
      </c>
      <c r="D4" s="91"/>
      <c r="E4" s="91"/>
      <c r="F4" s="11"/>
      <c r="G4" s="38">
        <f>Ventas!C4</f>
        <v>20890.434782608696</v>
      </c>
      <c r="H4" s="11">
        <f>Ventas!C5</f>
        <v>24000</v>
      </c>
    </row>
    <row r="5" spans="3:8" x14ac:dyDescent="0.25">
      <c r="C5" s="92" t="s">
        <v>135</v>
      </c>
      <c r="D5" s="92"/>
      <c r="E5" s="92"/>
      <c r="F5" s="11"/>
      <c r="G5" s="11">
        <f>'Stock PT'!D10</f>
        <v>240</v>
      </c>
      <c r="H5" s="11">
        <f>G5</f>
        <v>240</v>
      </c>
    </row>
    <row r="6" spans="3:8" x14ac:dyDescent="0.25">
      <c r="C6" s="92" t="s">
        <v>136</v>
      </c>
      <c r="D6" s="92"/>
      <c r="E6" s="92"/>
      <c r="F6" s="11"/>
      <c r="G6" s="38">
        <f>'Ev.  Prod.'!F17</f>
        <v>21130.434782608696</v>
      </c>
      <c r="H6" s="38">
        <f>'Ev.  Prod.'!F18</f>
        <v>24000</v>
      </c>
    </row>
    <row r="7" spans="3:8" ht="15" customHeight="1" x14ac:dyDescent="0.25">
      <c r="C7" s="93" t="s">
        <v>137</v>
      </c>
      <c r="D7" s="93"/>
      <c r="E7" s="40" t="s">
        <v>145</v>
      </c>
      <c r="F7" s="11"/>
      <c r="G7" s="39">
        <f>('Ev.  Prod.'!F17/'Ev.  Prod.'!F18)*H7</f>
        <v>732.62223715743801</v>
      </c>
      <c r="H7" s="39">
        <f>Desperdicios!G17</f>
        <v>832.11414590721347</v>
      </c>
    </row>
    <row r="8" spans="3:8" x14ac:dyDescent="0.25">
      <c r="C8" s="93"/>
      <c r="D8" s="93"/>
      <c r="E8" s="40" t="s">
        <v>146</v>
      </c>
      <c r="F8" s="11"/>
      <c r="G8" s="11">
        <v>0</v>
      </c>
      <c r="H8" s="11">
        <v>0</v>
      </c>
    </row>
    <row r="9" spans="3:8" x14ac:dyDescent="0.25">
      <c r="C9" s="93"/>
      <c r="D9" s="93"/>
      <c r="E9" s="40" t="s">
        <v>147</v>
      </c>
      <c r="F9" s="11"/>
      <c r="G9" s="11">
        <v>0</v>
      </c>
      <c r="H9" s="11">
        <v>0</v>
      </c>
    </row>
    <row r="10" spans="3:8" ht="15" customHeight="1" x14ac:dyDescent="0.25">
      <c r="C10" s="93" t="s">
        <v>138</v>
      </c>
      <c r="D10" s="93"/>
      <c r="E10" s="40" t="s">
        <v>148</v>
      </c>
      <c r="F10" s="11"/>
      <c r="G10" s="11">
        <f>'Consmo MP'!K25/50/2</f>
        <v>13.44</v>
      </c>
      <c r="H10" s="11">
        <f>G10</f>
        <v>13.44</v>
      </c>
    </row>
    <row r="11" spans="3:8" x14ac:dyDescent="0.25">
      <c r="C11" s="93"/>
      <c r="D11" s="93"/>
      <c r="E11" s="40" t="s">
        <v>146</v>
      </c>
      <c r="F11" s="11"/>
      <c r="G11" s="11">
        <f>'Consmo MP'!K26/2/2</f>
        <v>30000</v>
      </c>
      <c r="H11" s="11">
        <f t="shared" ref="H11:H12" si="0">G11</f>
        <v>30000</v>
      </c>
    </row>
    <row r="12" spans="3:8" x14ac:dyDescent="0.25">
      <c r="C12" s="93"/>
      <c r="D12" s="93"/>
      <c r="E12" s="40" t="s">
        <v>147</v>
      </c>
      <c r="F12" s="11"/>
      <c r="G12" s="11">
        <f>'Consmo MP'!K27/2/2</f>
        <v>300000</v>
      </c>
      <c r="H12" s="11">
        <f t="shared" si="0"/>
        <v>300000</v>
      </c>
    </row>
    <row r="13" spans="3:8" x14ac:dyDescent="0.25">
      <c r="C13" s="66" t="s">
        <v>140</v>
      </c>
      <c r="D13" s="66"/>
      <c r="E13" s="40" t="s">
        <v>148</v>
      </c>
      <c r="F13" s="11"/>
      <c r="G13" s="39">
        <v>292.17391304347825</v>
      </c>
      <c r="H13" s="11">
        <v>1344</v>
      </c>
    </row>
    <row r="14" spans="3:8" x14ac:dyDescent="0.25">
      <c r="C14" s="66"/>
      <c r="D14" s="66"/>
      <c r="E14" s="40" t="s">
        <v>146</v>
      </c>
      <c r="F14" s="11"/>
      <c r="G14" s="39">
        <v>26086.956521739128</v>
      </c>
      <c r="H14" s="11">
        <v>120000</v>
      </c>
    </row>
    <row r="15" spans="3:8" x14ac:dyDescent="0.25">
      <c r="C15" s="66"/>
      <c r="D15" s="66"/>
      <c r="E15" s="40" t="s">
        <v>147</v>
      </c>
      <c r="F15" s="11"/>
      <c r="G15" s="39">
        <v>260869.5652173913</v>
      </c>
      <c r="H15" s="11">
        <v>1200000</v>
      </c>
    </row>
    <row r="16" spans="3:8" x14ac:dyDescent="0.25">
      <c r="C16" s="66" t="s">
        <v>141</v>
      </c>
      <c r="D16" s="66"/>
      <c r="E16" s="40" t="s">
        <v>148</v>
      </c>
      <c r="F16" s="38">
        <f>F19</f>
        <v>175.30434782608694</v>
      </c>
      <c r="G16" s="38">
        <f>'Stock MP'!C22</f>
        <v>122.86287625418056</v>
      </c>
      <c r="H16" s="38">
        <f>G16</f>
        <v>122.86287625418056</v>
      </c>
    </row>
    <row r="17" spans="3:8" x14ac:dyDescent="0.25">
      <c r="C17" s="66"/>
      <c r="D17" s="66"/>
      <c r="E17" s="40" t="s">
        <v>146</v>
      </c>
      <c r="F17" s="38">
        <f t="shared" ref="F17:F18" si="1">F20</f>
        <v>15652.173913043476</v>
      </c>
      <c r="G17" s="39">
        <f>'Stock MP'!H22</f>
        <v>10969.899665551839</v>
      </c>
      <c r="H17" s="38">
        <f t="shared" ref="H17:H18" si="2">G17</f>
        <v>10969.899665551839</v>
      </c>
    </row>
    <row r="18" spans="3:8" x14ac:dyDescent="0.25">
      <c r="C18" s="66"/>
      <c r="D18" s="66"/>
      <c r="E18" s="40" t="s">
        <v>147</v>
      </c>
      <c r="F18" s="38">
        <f t="shared" si="1"/>
        <v>156521.73913043478</v>
      </c>
      <c r="G18" s="39">
        <f>'Stock MP'!M22</f>
        <v>109698.99665551841</v>
      </c>
      <c r="H18" s="38">
        <f t="shared" si="2"/>
        <v>109698.99665551841</v>
      </c>
    </row>
    <row r="19" spans="3:8" x14ac:dyDescent="0.25">
      <c r="C19" s="66" t="s">
        <v>139</v>
      </c>
      <c r="D19" s="66"/>
      <c r="E19" s="40" t="s">
        <v>148</v>
      </c>
      <c r="F19" s="38">
        <f>'Stock MP'!D9</f>
        <v>175.30434782608694</v>
      </c>
      <c r="G19" s="38">
        <f>'Stock MP'!D22</f>
        <v>1168.6956521739128</v>
      </c>
      <c r="H19" s="11">
        <f>'Consmo MP'!K25</f>
        <v>1344</v>
      </c>
    </row>
    <row r="20" spans="3:8" x14ac:dyDescent="0.25">
      <c r="C20" s="66"/>
      <c r="D20" s="66"/>
      <c r="E20" s="40" t="s">
        <v>146</v>
      </c>
      <c r="F20" s="39">
        <f>'Stock MP'!I9</f>
        <v>15652.173913043476</v>
      </c>
      <c r="G20" s="39">
        <f>'Stock MP'!I22</f>
        <v>104347.8260869565</v>
      </c>
      <c r="H20" s="11">
        <f>'Consmo MP'!K26</f>
        <v>120000</v>
      </c>
    </row>
    <row r="21" spans="3:8" x14ac:dyDescent="0.25">
      <c r="C21" s="66"/>
      <c r="D21" s="66"/>
      <c r="E21" s="40" t="s">
        <v>147</v>
      </c>
      <c r="F21" s="39">
        <f>'Stock MP'!N9</f>
        <v>156521.73913043478</v>
      </c>
      <c r="G21" s="39">
        <f>'Stock MP'!N22</f>
        <v>1043478.2608695653</v>
      </c>
      <c r="H21" s="11">
        <f>'Consmo MP'!K27</f>
        <v>1200000</v>
      </c>
    </row>
  </sheetData>
  <mergeCells count="8">
    <mergeCell ref="C4:E4"/>
    <mergeCell ref="C5:E5"/>
    <mergeCell ref="C6:E6"/>
    <mergeCell ref="C10:D12"/>
    <mergeCell ref="C19:D21"/>
    <mergeCell ref="C16:D18"/>
    <mergeCell ref="C7:D9"/>
    <mergeCell ref="C13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Desperdicios</vt:lpstr>
      <vt:lpstr>Ritmo trabajo</vt:lpstr>
      <vt:lpstr>Capacidades</vt:lpstr>
      <vt:lpstr>Stock PT</vt:lpstr>
      <vt:lpstr>Ev.  Prod.</vt:lpstr>
      <vt:lpstr>Ventas</vt:lpstr>
      <vt:lpstr>Consmo MP</vt:lpstr>
      <vt:lpstr>Stock MP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Usuario</cp:lastModifiedBy>
  <dcterms:created xsi:type="dcterms:W3CDTF">2016-06-27T20:12:58Z</dcterms:created>
  <dcterms:modified xsi:type="dcterms:W3CDTF">2016-09-15T18:29:36Z</dcterms:modified>
</cp:coreProperties>
</file>