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Ignacio\Documents\UTN FRBA\MATERIAS POR CURSAR\EVALUACION DE PROYECTOS\"/>
    </mc:Choice>
  </mc:AlternateContent>
  <bookViews>
    <workbookView xWindow="0" yWindow="0" windowWidth="19440" windowHeight="8745" tabRatio="868"/>
  </bookViews>
  <sheets>
    <sheet name="InfoInicial" sheetId="2" r:id="rId1"/>
    <sheet name="Hoja1" sheetId="67" r:id="rId2"/>
    <sheet name="Insumos" sheetId="59" r:id="rId3"/>
    <sheet name="PV" sheetId="16" r:id="rId4"/>
    <sheet name="Plan de Ventas " sheetId="30" state="hidden" r:id="rId5"/>
    <sheet name="ej 1" sheetId="20" r:id="rId6"/>
    <sheet name="ej 2" sheetId="21" r:id="rId7"/>
    <sheet name="ej 3" sheetId="22" r:id="rId8"/>
    <sheet name="ej 6" sheetId="24" r:id="rId9"/>
    <sheet name="ej 4" sheetId="23" r:id="rId10"/>
    <sheet name="ej 11" sheetId="29" r:id="rId11"/>
    <sheet name="Eje 10" sheetId="68" r:id="rId12"/>
  </sheets>
  <calcPr calcId="152511"/>
</workbook>
</file>

<file path=xl/calcChain.xml><?xml version="1.0" encoding="utf-8"?>
<calcChain xmlns="http://schemas.openxmlformats.org/spreadsheetml/2006/main">
  <c r="E4" i="29" l="1"/>
  <c r="E11" i="29" l="1"/>
  <c r="J3" i="24"/>
  <c r="I16" i="29"/>
  <c r="E9" i="29"/>
  <c r="C15" i="24"/>
  <c r="E14" i="24" s="1"/>
  <c r="M5" i="24"/>
  <c r="J6" i="24"/>
  <c r="J4" i="24"/>
  <c r="L4" i="24"/>
  <c r="L3" i="24"/>
  <c r="K27" i="20"/>
  <c r="H26" i="20"/>
  <c r="D26" i="20" s="1"/>
  <c r="N22" i="20"/>
  <c r="O19" i="20"/>
  <c r="N19" i="20"/>
  <c r="F5" i="29"/>
  <c r="J9" i="29" s="1"/>
  <c r="K9" i="29" s="1"/>
  <c r="O5" i="24"/>
  <c r="O6" i="24" s="1"/>
  <c r="N5" i="24"/>
  <c r="F4" i="29"/>
  <c r="F6" i="29" s="1"/>
  <c r="F9" i="29" s="1"/>
  <c r="F11" i="29" s="1"/>
  <c r="D8" i="22"/>
  <c r="O3" i="20"/>
  <c r="N3" i="20"/>
  <c r="D6" i="21"/>
  <c r="K11" i="20"/>
  <c r="N6" i="20"/>
  <c r="C7" i="59"/>
  <c r="C11" i="59"/>
  <c r="C10" i="59"/>
  <c r="N6" i="59"/>
  <c r="J8" i="29" l="1"/>
  <c r="K8" i="29" s="1"/>
  <c r="H25" i="20"/>
  <c r="D25" i="20"/>
  <c r="K24" i="20" s="1"/>
  <c r="H24" i="20" l="1"/>
  <c r="D24" i="20" s="1"/>
  <c r="K23" i="20" s="1"/>
  <c r="H23" i="20" l="1"/>
  <c r="D23" i="20" s="1"/>
  <c r="K22" i="20" s="1"/>
  <c r="H22" i="20" l="1"/>
  <c r="H27" i="20" l="1"/>
  <c r="D27" i="20" s="1"/>
  <c r="N21" i="20"/>
  <c r="D22" i="20"/>
  <c r="I29" i="20" s="1"/>
  <c r="I28" i="20" l="1"/>
  <c r="J27" i="20"/>
  <c r="J5" i="24" s="1"/>
  <c r="J31" i="20" l="1"/>
  <c r="J30" i="20" s="1"/>
  <c r="I30" i="20"/>
  <c r="I31" i="20" s="1"/>
  <c r="C9" i="59"/>
  <c r="C8" i="59"/>
  <c r="C6" i="59"/>
  <c r="C13" i="59" s="1"/>
  <c r="G6" i="16"/>
  <c r="G8" i="16" s="1"/>
  <c r="F6" i="16"/>
  <c r="F8" i="16" s="1"/>
  <c r="E6" i="16"/>
  <c r="E8" i="16" s="1"/>
  <c r="D6" i="16"/>
  <c r="D8" i="16" s="1"/>
  <c r="C6" i="16"/>
  <c r="C8" i="16" s="1"/>
  <c r="B18" i="2" l="1"/>
  <c r="I14" i="24"/>
  <c r="E6" i="24"/>
  <c r="E5" i="24"/>
  <c r="E4" i="24"/>
  <c r="E3" i="24"/>
  <c r="E7" i="21"/>
  <c r="E11" i="21" s="1"/>
  <c r="D10" i="21"/>
  <c r="L6" i="59"/>
  <c r="J3" i="59"/>
  <c r="J12" i="59" s="1"/>
  <c r="J16" i="59" s="1"/>
  <c r="I3" i="59"/>
  <c r="I12" i="59" s="1"/>
  <c r="I16" i="59" s="1"/>
  <c r="H3" i="59"/>
  <c r="G3" i="59"/>
  <c r="G12" i="59" s="1"/>
  <c r="G16" i="59" s="1"/>
  <c r="F3" i="59"/>
  <c r="E10" i="21"/>
  <c r="H12" i="59" l="1"/>
  <c r="H16" i="59" s="1"/>
  <c r="M9" i="59"/>
  <c r="N13" i="20"/>
  <c r="J13" i="29"/>
  <c r="K13" i="29" s="1"/>
  <c r="N29" i="20"/>
  <c r="D12" i="21"/>
  <c r="F3" i="24"/>
  <c r="F4" i="59"/>
  <c r="L4" i="59" s="1"/>
  <c r="F12" i="59"/>
  <c r="F16" i="59" s="1"/>
  <c r="F7" i="59"/>
  <c r="F5" i="59"/>
  <c r="H10" i="59"/>
  <c r="H11" i="59"/>
  <c r="I10" i="59"/>
  <c r="I11" i="59"/>
  <c r="G10" i="59"/>
  <c r="G11" i="59"/>
  <c r="F11" i="59"/>
  <c r="F10" i="59"/>
  <c r="J10" i="59"/>
  <c r="J11" i="59"/>
  <c r="L3" i="59"/>
  <c r="M3" i="59" s="1"/>
  <c r="L2" i="59"/>
  <c r="H7" i="59"/>
  <c r="H23" i="59" s="1"/>
  <c r="H8" i="59"/>
  <c r="H9" i="59"/>
  <c r="G6" i="59"/>
  <c r="G21" i="59" s="1"/>
  <c r="G9" i="59"/>
  <c r="G8" i="59"/>
  <c r="I5" i="59"/>
  <c r="I8" i="59"/>
  <c r="I9" i="59"/>
  <c r="F9" i="59"/>
  <c r="F8" i="59"/>
  <c r="J8" i="59"/>
  <c r="J9" i="59"/>
  <c r="I6" i="59"/>
  <c r="I21" i="59" s="1"/>
  <c r="D11" i="21"/>
  <c r="E14" i="21" s="1"/>
  <c r="G5" i="59"/>
  <c r="H6" i="59"/>
  <c r="H21" i="59" s="1"/>
  <c r="I4" i="59"/>
  <c r="I15" i="59" s="1"/>
  <c r="I7" i="59"/>
  <c r="I23" i="59" s="1"/>
  <c r="H4" i="59"/>
  <c r="H15" i="59" s="1"/>
  <c r="J5" i="59"/>
  <c r="F6" i="59"/>
  <c r="F21" i="59" s="1"/>
  <c r="H5" i="59"/>
  <c r="K14" i="24"/>
  <c r="G4" i="59"/>
  <c r="G15" i="59" s="1"/>
  <c r="G7" i="59"/>
  <c r="G23" i="59" s="1"/>
  <c r="J6" i="59"/>
  <c r="J21" i="59" s="1"/>
  <c r="J4" i="59"/>
  <c r="J15" i="59" s="1"/>
  <c r="J7" i="59"/>
  <c r="J23" i="59" s="1"/>
  <c r="L14" i="24"/>
  <c r="J14" i="24"/>
  <c r="Q3" i="59" l="1"/>
  <c r="P3" i="59"/>
  <c r="F10" i="22"/>
  <c r="G10" i="22" s="1"/>
  <c r="J10" i="22" s="1"/>
  <c r="F6" i="22"/>
  <c r="G6" i="22" s="1"/>
  <c r="J6" i="22" s="1"/>
  <c r="F9" i="22"/>
  <c r="G9" i="22" s="1"/>
  <c r="J9" i="22" s="1"/>
  <c r="F7" i="22"/>
  <c r="G7" i="22" s="1"/>
  <c r="J7" i="22" s="1"/>
  <c r="F8" i="22"/>
  <c r="G8" i="22" s="1"/>
  <c r="J8" i="22" s="1"/>
  <c r="F14" i="59"/>
  <c r="F15" i="59"/>
  <c r="F19" i="59"/>
  <c r="L8" i="59"/>
  <c r="F23" i="59"/>
  <c r="H14" i="59"/>
  <c r="I14" i="59"/>
  <c r="J14" i="59"/>
  <c r="G14" i="59"/>
  <c r="H18" i="59"/>
  <c r="H19" i="59"/>
  <c r="I18" i="59"/>
  <c r="I19" i="59"/>
  <c r="F18" i="59"/>
  <c r="J18" i="59"/>
  <c r="J19" i="59"/>
  <c r="G19" i="59"/>
  <c r="G18" i="59"/>
  <c r="P4" i="59" l="1"/>
  <c r="R3" i="59"/>
  <c r="G6" i="24"/>
  <c r="G5" i="24"/>
  <c r="K5" i="24" s="1"/>
  <c r="G4" i="24"/>
  <c r="G3" i="24"/>
  <c r="K7" i="24" l="1"/>
  <c r="G7" i="24"/>
  <c r="C14" i="24" l="1"/>
  <c r="D14" i="24" s="1"/>
  <c r="E10" i="23" l="1"/>
  <c r="E21" i="23" s="1"/>
  <c r="G21" i="23" s="1"/>
  <c r="I21" i="23" s="1"/>
  <c r="K21" i="23" s="1"/>
  <c r="E9" i="23" l="1"/>
  <c r="E20" i="23" s="1"/>
  <c r="G20" i="23" l="1"/>
  <c r="I20" i="23" s="1"/>
  <c r="K20" i="23" s="1"/>
  <c r="E8" i="23"/>
  <c r="E19" i="23" s="1"/>
  <c r="G19" i="23" s="1"/>
  <c r="I19" i="23" s="1"/>
  <c r="K19" i="23" s="1"/>
  <c r="E7" i="23" l="1"/>
  <c r="E18" i="23" s="1"/>
  <c r="G18" i="23" l="1"/>
  <c r="I18" i="23" s="1"/>
  <c r="K18" i="23" s="1"/>
  <c r="E6" i="23"/>
  <c r="E17" i="23" s="1"/>
  <c r="G17" i="23" s="1"/>
  <c r="I17" i="23" s="1"/>
  <c r="K17" i="23" l="1"/>
  <c r="M17" i="23"/>
  <c r="M19" i="23" s="1"/>
  <c r="G6" i="23" l="1"/>
  <c r="I6" i="23" s="1"/>
  <c r="K6" i="23" s="1"/>
  <c r="H10" i="20" l="1"/>
  <c r="D10" i="20" s="1"/>
  <c r="K9" i="20" s="1"/>
  <c r="H9" i="20" l="1"/>
  <c r="D9" i="20" s="1"/>
  <c r="K8" i="20" s="1"/>
  <c r="G10" i="23" l="1"/>
  <c r="I10" i="23" s="1"/>
  <c r="H8" i="20"/>
  <c r="D8" i="20" s="1"/>
  <c r="K7" i="20" s="1"/>
  <c r="K10" i="23" l="1"/>
  <c r="H7" i="20"/>
  <c r="D7" i="20"/>
  <c r="K6" i="20" s="1"/>
  <c r="G9" i="23"/>
  <c r="I9" i="23" s="1"/>
  <c r="K9" i="23" s="1"/>
  <c r="H6" i="20" l="1"/>
  <c r="G8" i="23"/>
  <c r="I8" i="23" s="1"/>
  <c r="K8" i="23" s="1"/>
  <c r="N5" i="20" l="1"/>
  <c r="H11" i="20"/>
  <c r="D11" i="20" s="1"/>
  <c r="D6" i="20"/>
  <c r="G7" i="23"/>
  <c r="I7" i="23" s="1"/>
  <c r="K7" i="23" s="1"/>
  <c r="I13" i="20" l="1"/>
  <c r="M15" i="20"/>
  <c r="M16" i="20" s="1"/>
  <c r="J11" i="20"/>
  <c r="I12" i="20"/>
  <c r="M6" i="24" l="1"/>
  <c r="J15" i="20"/>
  <c r="I14" i="20"/>
  <c r="J14" i="20"/>
  <c r="M7" i="24" l="1"/>
  <c r="M8" i="24" s="1"/>
  <c r="N6" i="24"/>
  <c r="I15" i="20"/>
</calcChain>
</file>

<file path=xl/sharedStrings.xml><?xml version="1.0" encoding="utf-8"?>
<sst xmlns="http://schemas.openxmlformats.org/spreadsheetml/2006/main" count="370" uniqueCount="182">
  <si>
    <t>Año 1</t>
  </si>
  <si>
    <t>Tasa de Cambio</t>
  </si>
  <si>
    <t>$ por cada</t>
  </si>
  <si>
    <t>U$S</t>
  </si>
  <si>
    <t>Tasa porcentual de IVA</t>
  </si>
  <si>
    <t>Tasa porcentual de Impuesto a las Ganancias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</si>
  <si>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</si>
  <si>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</si>
  <si>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</si>
  <si>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</si>
  <si>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</si>
  <si>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</si>
  <si>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</si>
  <si>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Se considera una depreciación lineal y un valor residual nulo</t>
  </si>
  <si>
    <t>Tiempo de Amortización Activos Fijos:</t>
  </si>
  <si>
    <t>Otros Activos y Cargos Diferidos</t>
  </si>
  <si>
    <t>Ventas Anuales Promedio</t>
  </si>
  <si>
    <t>Precio Promedio</t>
  </si>
  <si>
    <t>en Unidades</t>
  </si>
  <si>
    <t>en $</t>
  </si>
  <si>
    <t xml:space="preserve">Cantidad de personal total </t>
  </si>
  <si>
    <t>en Producción</t>
  </si>
  <si>
    <t>en Comercialización</t>
  </si>
  <si>
    <t>en Administración</t>
  </si>
  <si>
    <t>personas</t>
  </si>
  <si>
    <t>Nombre del Producto</t>
  </si>
  <si>
    <t>Tamaño de la planta en metros cuadrados</t>
  </si>
  <si>
    <t>m2</t>
  </si>
  <si>
    <t>Periodo de Instalación</t>
  </si>
  <si>
    <t>Período de Puesta en Marcha</t>
  </si>
  <si>
    <t>en meses</t>
  </si>
  <si>
    <t>Honorarios al Directorio</t>
  </si>
  <si>
    <t>Total</t>
  </si>
  <si>
    <t>Año</t>
  </si>
  <si>
    <t>Tasa de Credito Bancario</t>
  </si>
  <si>
    <t>% sobre el total del Rubro</t>
  </si>
  <si>
    <t>Dias de Financiación de Proveedores</t>
  </si>
  <si>
    <t>% sobre Compras</t>
  </si>
  <si>
    <t>Rubro a financiar</t>
  </si>
  <si>
    <t>Tasa de financiación</t>
  </si>
  <si>
    <t>anual</t>
  </si>
  <si>
    <t>ESTA PLANILLA PUEDE SER UTILIZADA SOLAMENTE PARA EL TRABAJO PRACTICO:</t>
  </si>
  <si>
    <t>Año 13</t>
  </si>
  <si>
    <t>Cantidad (miles m2)</t>
  </si>
  <si>
    <t>Cantidad de placas (unidades)</t>
  </si>
  <si>
    <t>Ingresos por Ventas (miles de $)</t>
  </si>
  <si>
    <t>Produccion</t>
  </si>
  <si>
    <t>Porcentaje desperdicio real en función de producción:</t>
  </si>
  <si>
    <t>Porcentaje desperdicio operativo en función de producción:</t>
  </si>
  <si>
    <t>kg/año</t>
  </si>
  <si>
    <t>Consumo real de MP:</t>
  </si>
  <si>
    <t>Volumen Total Ingresado (1ra sección operativa):</t>
  </si>
  <si>
    <t>TOTALES</t>
  </si>
  <si>
    <t>horaria</t>
  </si>
  <si>
    <t>No Recup.</t>
  </si>
  <si>
    <t>Recup.</t>
  </si>
  <si>
    <t>Teórica</t>
  </si>
  <si>
    <t>Producción</t>
  </si>
  <si>
    <t>Mermas y desperdicios</t>
  </si>
  <si>
    <t>Alimentación</t>
  </si>
  <si>
    <t>Sección  Operativa</t>
  </si>
  <si>
    <t>Capacidad Teórica horaria</t>
  </si>
  <si>
    <t>Hs. Activas al año</t>
  </si>
  <si>
    <t>Capacidad Teórica año</t>
  </si>
  <si>
    <t>Capacidad Real Anual</t>
  </si>
  <si>
    <t>al mes</t>
  </si>
  <si>
    <t>Programa Anual de Producción</t>
  </si>
  <si>
    <t>Cantidad de Máquinas necesarias</t>
  </si>
  <si>
    <t>Capacidad Real Secciones Operativas</t>
  </si>
  <si>
    <t>Día</t>
  </si>
  <si>
    <t>Ritmo de producción al inicio (%)</t>
  </si>
  <si>
    <t>Ritmo de producción al final (%)</t>
  </si>
  <si>
    <t>Producción promedio (%)</t>
  </si>
  <si>
    <t>Producción diaria promedio (un)</t>
  </si>
  <si>
    <t>Producción propuesta (un)</t>
  </si>
  <si>
    <t>Desperdicio no recuperable</t>
  </si>
  <si>
    <t>Desperdicio (%)</t>
  </si>
  <si>
    <t>Rendimiento Operativo</t>
  </si>
  <si>
    <t>Grado de Aprovechamiento</t>
  </si>
  <si>
    <t>-</t>
  </si>
  <si>
    <t>Ventas</t>
  </si>
  <si>
    <t>Stock Promedio</t>
  </si>
  <si>
    <t>En curso y semielaborado</t>
  </si>
  <si>
    <t>Compra de materia prima</t>
  </si>
  <si>
    <t>Unidad de medida</t>
  </si>
  <si>
    <t>Precios</t>
  </si>
  <si>
    <t>Dias de trabajo</t>
  </si>
  <si>
    <t>Año 2 y 4</t>
  </si>
  <si>
    <t>De lun a Vie en un año</t>
  </si>
  <si>
    <t>De lun a sab en un año</t>
  </si>
  <si>
    <t>(lun a vier)</t>
  </si>
  <si>
    <t>(lun a sab)</t>
  </si>
  <si>
    <t>Dias laborales</t>
  </si>
  <si>
    <t>Plan de Ventas</t>
  </si>
  <si>
    <t>Días/Año</t>
  </si>
  <si>
    <t>Feriados</t>
  </si>
  <si>
    <t>Dias de vacaciones</t>
  </si>
  <si>
    <t>Evolucion de la produccion</t>
  </si>
  <si>
    <t>Días 1 a 20</t>
  </si>
  <si>
    <t>Resto del año</t>
  </si>
  <si>
    <t>Stock de materia prima</t>
  </si>
  <si>
    <t>Se extrae de la fila: Producción (kg) (PV-INSUMOS)</t>
  </si>
  <si>
    <t>Esta última columna hace referencia a la diferencia entre las placas que debería producir según el programa de producción y las que se producen a causa de la puesta en marcha. Se suponen placas desperdiciadas y se las utilizará para calcular los gastos de la puesta en marcha.</t>
  </si>
  <si>
    <r>
      <t xml:space="preserve">Capacidad Real x Año </t>
    </r>
    <r>
      <rPr>
        <b/>
        <i/>
        <sz val="8"/>
        <rFont val="Arial"/>
        <family val="2"/>
      </rPr>
      <t>(por máquina)</t>
    </r>
  </si>
  <si>
    <t>Tamaño y Frecuencia de compra</t>
  </si>
  <si>
    <t>Cantidad compras almidon (mes)</t>
  </si>
  <si>
    <t>Tamaño de compra de almidon (kg)</t>
  </si>
  <si>
    <t>Cantidad compras espumante (mes)</t>
  </si>
  <si>
    <t>Tamaño de compra de espumante (kg)</t>
  </si>
  <si>
    <t>Total (en miles de kg)</t>
  </si>
  <si>
    <t xml:space="preserve">Total </t>
  </si>
  <si>
    <t>Semanas laborables</t>
  </si>
  <si>
    <t>Bioclean</t>
  </si>
  <si>
    <t>Shampoo</t>
  </si>
  <si>
    <t>Cantidad (miles lts)</t>
  </si>
  <si>
    <t>Cantidad envases de 400ml</t>
  </si>
  <si>
    <t>NGREDIENTES:</t>
  </si>
  <si>
    <t>Cantidad para 6 litros:</t>
  </si>
  <si>
    <t>1. Agua desmineralizada 6 litros</t>
  </si>
  <si>
    <t>2. Texapón N-70 600 gramos (o Texapon 40, 2.500 gramos)</t>
  </si>
  <si>
    <t>3. Comperland K-D 150 gramos</t>
  </si>
  <si>
    <t>4. Metil parabeno puro 3,5 gramos</t>
  </si>
  <si>
    <t>5. Metil parabeno sódico 3,5 gramos</t>
  </si>
  <si>
    <t>6. Cloruro de Sodio (sal) 250 gramos (o al gusto)</t>
  </si>
  <si>
    <t>7. Ácido cítrico 2.5 gramos</t>
  </si>
  <si>
    <t>8. Ácido Bórico 1.5 gramos</t>
  </si>
  <si>
    <t>Agua destilada</t>
  </si>
  <si>
    <t>kg/lt</t>
  </si>
  <si>
    <t>Cloruro de sodio</t>
  </si>
  <si>
    <t>Acido citrico</t>
  </si>
  <si>
    <t>Total (en miles de lts)</t>
  </si>
  <si>
    <t>Peso por lts</t>
  </si>
  <si>
    <t>Hexadecanol</t>
  </si>
  <si>
    <t>Sulfato de Sodio</t>
  </si>
  <si>
    <t>Diethanolamida de acido Graso</t>
  </si>
  <si>
    <t>Aceite esencial</t>
  </si>
  <si>
    <t>Colorante natural</t>
  </si>
  <si>
    <t>Envase Biodegradable 400ml</t>
  </si>
  <si>
    <t>Total (en miles de Un)</t>
  </si>
  <si>
    <t>Tamaño de compra de Texapon(kg)</t>
  </si>
  <si>
    <t>Cantidad compras sulfato de sodio (semana)</t>
  </si>
  <si>
    <t>Soft</t>
  </si>
  <si>
    <t>Strong</t>
  </si>
  <si>
    <t>Lts Base</t>
  </si>
  <si>
    <t>lts suavizante</t>
  </si>
  <si>
    <t>Lts/año</t>
  </si>
  <si>
    <t>Mezcladora Activo A</t>
  </si>
  <si>
    <t>Mezcladora Activo B</t>
  </si>
  <si>
    <t>Mezcladora Agua con A y B</t>
  </si>
  <si>
    <t>Envasado</t>
  </si>
  <si>
    <t>Empacado</t>
  </si>
  <si>
    <t>agregar colorante</t>
  </si>
  <si>
    <t>Año 1 al 5</t>
  </si>
  <si>
    <t>Horas Totales</t>
  </si>
  <si>
    <t>Lts/h</t>
  </si>
  <si>
    <t>Año 1al 5</t>
  </si>
  <si>
    <t>Año 2 al 5</t>
  </si>
  <si>
    <t>Litros</t>
  </si>
  <si>
    <t>Consumo de materia prima</t>
  </si>
  <si>
    <t>Ingreso al sistema</t>
  </si>
  <si>
    <t>Nuestro ciclo de elaboracion es de 2 dias es igual 1616x2</t>
  </si>
  <si>
    <t>Año 0 Perido instalación</t>
  </si>
  <si>
    <t>Consideraciones</t>
  </si>
  <si>
    <t>Componentes / Formulación</t>
  </si>
  <si>
    <t>Lt/lt</t>
  </si>
  <si>
    <t>Cant.</t>
  </si>
  <si>
    <t>UN</t>
  </si>
  <si>
    <t>Calculos auxiliares</t>
  </si>
  <si>
    <t>N de personas</t>
  </si>
  <si>
    <t>1 Jefe de turno</t>
  </si>
  <si>
    <t>Produccion / Superivsion</t>
  </si>
  <si>
    <t>1 Operario</t>
  </si>
  <si>
    <t>Produccion / Dosificacion</t>
  </si>
  <si>
    <t>2 Operarios</t>
  </si>
  <si>
    <t>Producción / Preparación de soluciones e ingredientes,</t>
  </si>
  <si>
    <t>Producción / Envasado</t>
  </si>
  <si>
    <t>1 Auxiliar</t>
  </si>
  <si>
    <t>Producción / Cerrado y empaque</t>
  </si>
  <si>
    <t>1 Almacenista</t>
  </si>
  <si>
    <t>Almacén</t>
  </si>
  <si>
    <t>Proceso / Funciones</t>
  </si>
  <si>
    <t>Dotación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</si>
</sst>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 &quot;$&quot;\ * #,##0.00_ ;_ &quot;$&quot;\ * \-#,##0.00_ ;_ &quot;$&quot;\ * &quot;-&quot;??_ ;_ @_ "/>
    <numFmt numFmtId="169" formatCode="0.000"/>
    <numFmt numFmtId="172" formatCode="0.000%"/>
    <numFmt numFmtId="174" formatCode="0.0000%"/>
    <numFmt numFmtId="177" formatCode="0.00000%"/>
    <numFmt numFmtId="185" formatCode="#,##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b/>
      <sz val="11"/>
      <color indexed="10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8"/>
      <name val="Arial"/>
      <family val="2"/>
    </font>
    <font>
      <sz val="10"/>
      <name val="Calibri"/>
      <family val="2"/>
    </font>
    <font>
      <sz val="10"/>
      <color indexed="63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9"/>
      <color indexed="63"/>
      <name val="Arial"/>
      <family val="2"/>
    </font>
    <font>
      <b/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666666"/>
      <name val="Segoe UI"/>
      <family val="2"/>
    </font>
    <font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7" fillId="0" borderId="0" applyFont="0" applyFill="0" applyBorder="0" applyAlignment="0" applyProtection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47"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0" fontId="9" fillId="2" borderId="1" xfId="0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9" fillId="0" borderId="0" xfId="0" applyFont="1" applyAlignment="1">
      <alignment horizontal="right"/>
    </xf>
    <xf numFmtId="9" fontId="9" fillId="2" borderId="1" xfId="8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1" fillId="0" borderId="0" xfId="0" applyFont="1"/>
    <xf numFmtId="0" fontId="13" fillId="0" borderId="0" xfId="0" applyFont="1"/>
    <xf numFmtId="0" fontId="9" fillId="0" borderId="1" xfId="0" applyFont="1" applyBorder="1"/>
    <xf numFmtId="1" fontId="0" fillId="0" borderId="0" xfId="0" applyNumberFormat="1"/>
    <xf numFmtId="0" fontId="30" fillId="0" borderId="0" xfId="2"/>
    <xf numFmtId="0" fontId="30" fillId="0" borderId="1" xfId="2" applyBorder="1" applyAlignment="1">
      <alignment horizontal="center" vertical="center"/>
    </xf>
    <xf numFmtId="0" fontId="30" fillId="0" borderId="0" xfId="4"/>
    <xf numFmtId="0" fontId="9" fillId="0" borderId="8" xfId="5" applyFont="1" applyBorder="1" applyAlignment="1">
      <alignment horizontal="center"/>
    </xf>
    <xf numFmtId="0" fontId="8" fillId="0" borderId="9" xfId="5" applyBorder="1" applyAlignment="1">
      <alignment horizontal="center" vertical="center"/>
    </xf>
    <xf numFmtId="0" fontId="30" fillId="0" borderId="1" xfId="4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4" fillId="0" borderId="0" xfId="6" applyFont="1"/>
    <xf numFmtId="0" fontId="8" fillId="0" borderId="0" xfId="6"/>
    <xf numFmtId="0" fontId="8" fillId="0" borderId="9" xfId="6" applyFont="1" applyBorder="1" applyAlignment="1">
      <alignment horizontal="center" vertical="center" wrapText="1"/>
    </xf>
    <xf numFmtId="0" fontId="16" fillId="0" borderId="0" xfId="6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30" fillId="0" borderId="0" xfId="2" applyAlignment="1">
      <alignment horizontal="center" vertical="center"/>
    </xf>
    <xf numFmtId="1" fontId="30" fillId="0" borderId="1" xfId="2" applyNumberFormat="1" applyBorder="1" applyAlignment="1">
      <alignment horizontal="center" vertical="center"/>
    </xf>
    <xf numFmtId="0" fontId="30" fillId="0" borderId="1" xfId="2" applyBorder="1" applyAlignment="1">
      <alignment horizontal="center" vertical="center" wrapText="1"/>
    </xf>
    <xf numFmtId="165" fontId="0" fillId="0" borderId="1" xfId="1" applyFont="1" applyBorder="1" applyAlignment="1">
      <alignment horizontal="center" vertical="center"/>
    </xf>
    <xf numFmtId="0" fontId="8" fillId="0" borderId="0" xfId="0" applyFont="1"/>
    <xf numFmtId="0" fontId="6" fillId="0" borderId="1" xfId="4" applyFont="1" applyBorder="1"/>
    <xf numFmtId="0" fontId="8" fillId="0" borderId="15" xfId="5" applyBorder="1" applyAlignment="1">
      <alignment horizontal="center" vertical="center"/>
    </xf>
    <xf numFmtId="174" fontId="8" fillId="0" borderId="15" xfId="8" applyNumberFormat="1" applyBorder="1" applyAlignment="1">
      <alignment horizontal="center" vertical="center"/>
    </xf>
    <xf numFmtId="9" fontId="8" fillId="0" borderId="1" xfId="8" applyFont="1" applyBorder="1" applyAlignment="1">
      <alignment horizontal="center" vertical="center" wrapText="1"/>
    </xf>
    <xf numFmtId="2" fontId="30" fillId="0" borderId="0" xfId="4" applyNumberFormat="1"/>
    <xf numFmtId="0" fontId="0" fillId="0" borderId="17" xfId="0" applyBorder="1" applyAlignment="1">
      <alignment horizontal="center" vertical="center"/>
    </xf>
    <xf numFmtId="165" fontId="0" fillId="3" borderId="1" xfId="0" applyNumberFormat="1" applyFill="1" applyBorder="1" applyProtection="1">
      <protection locked="0"/>
    </xf>
    <xf numFmtId="0" fontId="5" fillId="0" borderId="0" xfId="2" applyFont="1"/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0" fillId="0" borderId="2" xfId="4" applyBorder="1" applyAlignment="1">
      <alignment horizontal="center" vertical="center"/>
    </xf>
    <xf numFmtId="0" fontId="9" fillId="0" borderId="1" xfId="5" applyFont="1" applyBorder="1" applyAlignment="1">
      <alignment horizontal="center" wrapText="1"/>
    </xf>
    <xf numFmtId="0" fontId="9" fillId="0" borderId="9" xfId="5" applyFont="1" applyBorder="1" applyAlignment="1">
      <alignment horizontal="center" vertical="center"/>
    </xf>
    <xf numFmtId="1" fontId="8" fillId="0" borderId="8" xfId="5" applyNumberFormat="1" applyBorder="1" applyAlignment="1">
      <alignment horizontal="center" vertical="center"/>
    </xf>
    <xf numFmtId="1" fontId="9" fillId="0" borderId="8" xfId="5" applyNumberFormat="1" applyFont="1" applyBorder="1" applyAlignment="1">
      <alignment horizontal="center" vertical="center"/>
    </xf>
    <xf numFmtId="172" fontId="7" fillId="0" borderId="1" xfId="8" applyNumberFormat="1" applyFont="1" applyBorder="1" applyAlignment="1">
      <alignment horizontal="center" vertical="center"/>
    </xf>
    <xf numFmtId="3" fontId="8" fillId="0" borderId="8" xfId="5" applyNumberFormat="1" applyBorder="1" applyAlignment="1">
      <alignment horizontal="center" vertical="center"/>
    </xf>
    <xf numFmtId="3" fontId="8" fillId="0" borderId="19" xfId="5" applyNumberFormat="1" applyBorder="1" applyAlignment="1">
      <alignment horizontal="center" vertical="center"/>
    </xf>
    <xf numFmtId="3" fontId="9" fillId="0" borderId="8" xfId="5" applyNumberFormat="1" applyFont="1" applyBorder="1" applyAlignment="1">
      <alignment horizontal="center" vertical="center"/>
    </xf>
    <xf numFmtId="3" fontId="30" fillId="0" borderId="2" xfId="4" applyNumberFormat="1" applyBorder="1" applyAlignment="1">
      <alignment horizontal="center" vertical="center"/>
    </xf>
    <xf numFmtId="3" fontId="30" fillId="0" borderId="1" xfId="4" applyNumberFormat="1" applyBorder="1" applyAlignment="1">
      <alignment horizontal="center" vertical="center"/>
    </xf>
    <xf numFmtId="3" fontId="6" fillId="0" borderId="1" xfId="4" applyNumberFormat="1" applyFont="1" applyBorder="1" applyAlignment="1">
      <alignment horizontal="center" vertical="center"/>
    </xf>
    <xf numFmtId="172" fontId="9" fillId="0" borderId="8" xfId="8" applyNumberFormat="1" applyFont="1" applyBorder="1" applyAlignment="1">
      <alignment horizontal="center" vertical="center"/>
    </xf>
    <xf numFmtId="177" fontId="7" fillId="0" borderId="0" xfId="8" applyNumberFormat="1" applyFont="1"/>
    <xf numFmtId="1" fontId="30" fillId="0" borderId="0" xfId="2" applyNumberFormat="1"/>
    <xf numFmtId="3" fontId="30" fillId="0" borderId="0" xfId="2" applyNumberFormat="1"/>
    <xf numFmtId="3" fontId="7" fillId="0" borderId="1" xfId="2" applyNumberFormat="1" applyFont="1" applyBorder="1" applyAlignment="1">
      <alignment horizontal="center" vertical="center"/>
    </xf>
    <xf numFmtId="0" fontId="30" fillId="0" borderId="0" xfId="2" applyAlignment="1">
      <alignment horizontal="center"/>
    </xf>
    <xf numFmtId="3" fontId="8" fillId="0" borderId="8" xfId="6" applyNumberFormat="1" applyFont="1" applyBorder="1" applyAlignment="1">
      <alignment horizontal="center" vertical="center" wrapText="1"/>
    </xf>
    <xf numFmtId="0" fontId="4" fillId="0" borderId="0" xfId="2" applyFont="1"/>
    <xf numFmtId="9" fontId="7" fillId="0" borderId="1" xfId="8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3" fontId="30" fillId="0" borderId="18" xfId="2" applyNumberFormat="1" applyBorder="1" applyAlignment="1">
      <alignment horizontal="center" vertical="center"/>
    </xf>
    <xf numFmtId="0" fontId="30" fillId="0" borderId="0" xfId="4" applyAlignment="1">
      <alignment horizontal="left"/>
    </xf>
    <xf numFmtId="0" fontId="0" fillId="0" borderId="0" xfId="0" applyBorder="1" applyAlignment="1">
      <alignment vertical="center"/>
    </xf>
    <xf numFmtId="3" fontId="15" fillId="0" borderId="2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>
      <alignment horizontal="center" vertical="center"/>
    </xf>
    <xf numFmtId="2" fontId="8" fillId="0" borderId="4" xfId="6" applyNumberFormat="1" applyFont="1" applyBorder="1" applyAlignment="1">
      <alignment horizontal="center" vertical="center" wrapText="1"/>
    </xf>
    <xf numFmtId="0" fontId="20" fillId="0" borderId="0" xfId="2" applyFont="1"/>
    <xf numFmtId="0" fontId="20" fillId="0" borderId="1" xfId="2" applyFont="1" applyBorder="1" applyAlignment="1">
      <alignment horizontal="center"/>
    </xf>
    <xf numFmtId="0" fontId="21" fillId="0" borderId="0" xfId="2" applyFont="1"/>
    <xf numFmtId="0" fontId="13" fillId="0" borderId="1" xfId="6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1" xfId="2" applyFont="1" applyBorder="1"/>
    <xf numFmtId="0" fontId="20" fillId="0" borderId="13" xfId="2" applyFont="1" applyBorder="1"/>
    <xf numFmtId="0" fontId="23" fillId="0" borderId="0" xfId="0" applyFont="1"/>
    <xf numFmtId="0" fontId="25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3" fontId="26" fillId="0" borderId="1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0" fillId="0" borderId="17" xfId="0" applyBorder="1"/>
    <xf numFmtId="0" fontId="28" fillId="4" borderId="11" xfId="0" applyFont="1" applyFill="1" applyBorder="1" applyAlignment="1">
      <alignment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vertical="center" wrapText="1"/>
    </xf>
    <xf numFmtId="0" fontId="28" fillId="4" borderId="28" xfId="0" applyFont="1" applyFill="1" applyBorder="1" applyAlignment="1">
      <alignment vertical="center" wrapText="1"/>
    </xf>
    <xf numFmtId="0" fontId="28" fillId="4" borderId="29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vertical="center" wrapText="1"/>
    </xf>
    <xf numFmtId="1" fontId="0" fillId="0" borderId="18" xfId="0" applyNumberForma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27" fillId="0" borderId="26" xfId="0" applyNumberFormat="1" applyFont="1" applyBorder="1" applyAlignment="1">
      <alignment horizontal="center" vertical="center"/>
    </xf>
    <xf numFmtId="3" fontId="30" fillId="0" borderId="0" xfId="4" applyNumberFormat="1" applyAlignment="1">
      <alignment horizontal="center" vertical="center"/>
    </xf>
    <xf numFmtId="0" fontId="28" fillId="4" borderId="27" xfId="0" applyFont="1" applyFill="1" applyBorder="1" applyAlignment="1">
      <alignment vertical="center" wrapText="1"/>
    </xf>
    <xf numFmtId="0" fontId="28" fillId="4" borderId="20" xfId="0" applyFont="1" applyFill="1" applyBorder="1" applyAlignment="1">
      <alignment vertical="center" wrapText="1"/>
    </xf>
    <xf numFmtId="0" fontId="28" fillId="4" borderId="30" xfId="0" applyFont="1" applyFill="1" applyBorder="1" applyAlignment="1">
      <alignment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center" vertical="center" wrapText="1"/>
    </xf>
    <xf numFmtId="3" fontId="27" fillId="0" borderId="32" xfId="0" applyNumberFormat="1" applyFont="1" applyBorder="1" applyAlignment="1">
      <alignment horizontal="center" vertical="center"/>
    </xf>
    <xf numFmtId="3" fontId="27" fillId="4" borderId="26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3" fontId="30" fillId="0" borderId="0" xfId="2" applyNumberFormat="1" applyAlignment="1">
      <alignment horizontal="center" vertical="center"/>
    </xf>
    <xf numFmtId="3" fontId="30" fillId="0" borderId="12" xfId="2" applyNumberFormat="1" applyBorder="1" applyAlignment="1">
      <alignment horizontal="center" vertical="center"/>
    </xf>
    <xf numFmtId="3" fontId="30" fillId="0" borderId="14" xfId="2" applyNumberFormat="1" applyBorder="1" applyAlignment="1">
      <alignment horizontal="center" vertical="center"/>
    </xf>
    <xf numFmtId="0" fontId="3" fillId="0" borderId="0" xfId="2" applyFont="1"/>
    <xf numFmtId="3" fontId="0" fillId="3" borderId="1" xfId="0" applyNumberForma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9" fontId="9" fillId="2" borderId="1" xfId="8" applyNumberFormat="1" applyFont="1" applyFill="1" applyBorder="1"/>
    <xf numFmtId="0" fontId="20" fillId="0" borderId="1" xfId="2" applyFont="1" applyBorder="1" applyAlignment="1">
      <alignment horizontal="center" vertical="center"/>
    </xf>
    <xf numFmtId="3" fontId="30" fillId="0" borderId="1" xfId="2" applyNumberFormat="1" applyBorder="1" applyAlignment="1">
      <alignment horizontal="center" vertical="center"/>
    </xf>
    <xf numFmtId="0" fontId="31" fillId="0" borderId="0" xfId="0" applyFont="1"/>
    <xf numFmtId="177" fontId="3" fillId="0" borderId="0" xfId="8" applyNumberFormat="1" applyFont="1"/>
    <xf numFmtId="3" fontId="8" fillId="0" borderId="19" xfId="5" applyNumberFormat="1" applyBorder="1" applyAlignment="1">
      <alignment horizontal="left" vertical="center" indent="2"/>
    </xf>
    <xf numFmtId="0" fontId="2" fillId="6" borderId="0" xfId="2" applyFont="1" applyFill="1" applyAlignment="1">
      <alignment horizontal="center"/>
    </xf>
    <xf numFmtId="1" fontId="32" fillId="6" borderId="0" xfId="2" applyNumberFormat="1" applyFont="1" applyFill="1" applyAlignment="1">
      <alignment horizontal="center"/>
    </xf>
    <xf numFmtId="0" fontId="20" fillId="8" borderId="23" xfId="2" applyFont="1" applyFill="1" applyBorder="1" applyAlignment="1">
      <alignment horizontal="center"/>
    </xf>
    <xf numFmtId="0" fontId="20" fillId="8" borderId="5" xfId="2" applyFont="1" applyFill="1" applyBorder="1" applyAlignment="1">
      <alignment horizontal="center"/>
    </xf>
    <xf numFmtId="0" fontId="20" fillId="8" borderId="2" xfId="2" applyFont="1" applyFill="1" applyBorder="1" applyAlignment="1">
      <alignment horizontal="center" vertical="center"/>
    </xf>
    <xf numFmtId="0" fontId="20" fillId="8" borderId="7" xfId="2" applyFont="1" applyFill="1" applyBorder="1" applyAlignment="1">
      <alignment horizontal="center" vertical="center"/>
    </xf>
    <xf numFmtId="2" fontId="8" fillId="0" borderId="0" xfId="6" applyNumberFormat="1" applyFont="1" applyBorder="1" applyAlignment="1">
      <alignment horizontal="center" vertical="center" wrapText="1"/>
    </xf>
    <xf numFmtId="0" fontId="2" fillId="0" borderId="0" xfId="2" applyFont="1"/>
    <xf numFmtId="185" fontId="8" fillId="0" borderId="1" xfId="2" applyNumberFormat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2" fontId="30" fillId="0" borderId="0" xfId="2" applyNumberFormat="1"/>
    <xf numFmtId="1" fontId="30" fillId="0" borderId="0" xfId="4" applyNumberFormat="1"/>
    <xf numFmtId="169" fontId="30" fillId="0" borderId="0" xfId="2" applyNumberFormat="1" applyAlignment="1">
      <alignment horizontal="center" vertical="center"/>
    </xf>
    <xf numFmtId="1" fontId="30" fillId="0" borderId="0" xfId="2" applyNumberFormat="1" applyAlignment="1">
      <alignment horizontal="center" vertical="center"/>
    </xf>
    <xf numFmtId="3" fontId="32" fillId="0" borderId="0" xfId="2" applyNumberFormat="1" applyFont="1"/>
    <xf numFmtId="1" fontId="32" fillId="0" borderId="0" xfId="2" applyNumberFormat="1" applyFont="1"/>
    <xf numFmtId="0" fontId="3" fillId="0" borderId="18" xfId="2" applyFont="1" applyBorder="1" applyAlignment="1">
      <alignment horizontal="center" vertical="center"/>
    </xf>
    <xf numFmtId="0" fontId="20" fillId="7" borderId="24" xfId="2" applyFont="1" applyFill="1" applyBorder="1"/>
    <xf numFmtId="0" fontId="20" fillId="7" borderId="17" xfId="2" applyFont="1" applyFill="1" applyBorder="1" applyAlignment="1">
      <alignment horizontal="center" vertical="center" wrapText="1"/>
    </xf>
    <xf numFmtId="0" fontId="20" fillId="7" borderId="17" xfId="2" applyFont="1" applyFill="1" applyBorder="1" applyAlignment="1">
      <alignment horizontal="center" vertical="center"/>
    </xf>
    <xf numFmtId="0" fontId="20" fillId="7" borderId="10" xfId="2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5" xfId="0" applyBorder="1"/>
    <xf numFmtId="3" fontId="27" fillId="0" borderId="16" xfId="0" applyNumberFormat="1" applyFont="1" applyBorder="1" applyAlignment="1">
      <alignment horizontal="center" vertical="center"/>
    </xf>
    <xf numFmtId="3" fontId="24" fillId="4" borderId="15" xfId="0" applyNumberFormat="1" applyFont="1" applyFill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/>
    </xf>
    <xf numFmtId="0" fontId="28" fillId="4" borderId="3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protection locked="0"/>
    </xf>
    <xf numFmtId="0" fontId="0" fillId="0" borderId="15" xfId="0" applyBorder="1" applyAlignment="1"/>
    <xf numFmtId="0" fontId="0" fillId="0" borderId="9" xfId="0" applyBorder="1" applyAlignment="1"/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4" borderId="8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4" borderId="34" xfId="0" applyFont="1" applyFill="1" applyBorder="1" applyAlignment="1">
      <alignment horizontal="center" vertical="center" wrapText="1"/>
    </xf>
    <xf numFmtId="0" fontId="28" fillId="4" borderId="46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5" fillId="0" borderId="2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2" xfId="4" applyFont="1" applyBorder="1" applyAlignment="1">
      <alignment horizontal="left"/>
    </xf>
    <xf numFmtId="0" fontId="15" fillId="0" borderId="1" xfId="4" applyFont="1" applyBorder="1" applyAlignment="1">
      <alignment horizontal="left"/>
    </xf>
    <xf numFmtId="0" fontId="13" fillId="0" borderId="1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23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19" xfId="5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 wrapText="1"/>
    </xf>
    <xf numFmtId="0" fontId="13" fillId="0" borderId="37" xfId="5" applyFont="1" applyBorder="1" applyAlignment="1">
      <alignment horizontal="center" vertical="center" wrapText="1"/>
    </xf>
    <xf numFmtId="0" fontId="13" fillId="0" borderId="44" xfId="5" applyFont="1" applyBorder="1" applyAlignment="1">
      <alignment horizontal="center" vertical="center" wrapText="1"/>
    </xf>
    <xf numFmtId="0" fontId="13" fillId="0" borderId="43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9" fillId="0" borderId="0" xfId="4" applyFont="1" applyAlignment="1">
      <alignment horizontal="center"/>
    </xf>
    <xf numFmtId="0" fontId="15" fillId="0" borderId="1" xfId="4" applyFont="1" applyBorder="1" applyAlignment="1">
      <alignment horizontal="center"/>
    </xf>
    <xf numFmtId="0" fontId="13" fillId="0" borderId="19" xfId="5" applyFont="1" applyBorder="1" applyAlignment="1">
      <alignment horizontal="center" vertical="center"/>
    </xf>
    <xf numFmtId="0" fontId="13" fillId="0" borderId="4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43" xfId="5" applyFont="1" applyBorder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/>
    </xf>
    <xf numFmtId="0" fontId="20" fillId="8" borderId="1" xfId="2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30" fillId="0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2" applyFont="1"/>
    <xf numFmtId="0" fontId="18" fillId="0" borderId="0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3" fontId="26" fillId="0" borderId="17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center" vertical="center"/>
    </xf>
    <xf numFmtId="0" fontId="33" fillId="0" borderId="0" xfId="0" applyFont="1"/>
    <xf numFmtId="0" fontId="8" fillId="0" borderId="27" xfId="0" applyFont="1" applyBorder="1"/>
    <xf numFmtId="0" fontId="8" fillId="0" borderId="38" xfId="0" applyFont="1" applyBorder="1"/>
    <xf numFmtId="0" fontId="8" fillId="0" borderId="48" xfId="0" applyFont="1" applyBorder="1"/>
    <xf numFmtId="0" fontId="8" fillId="0" borderId="51" xfId="0" applyFont="1" applyBorder="1"/>
    <xf numFmtId="0" fontId="8" fillId="0" borderId="36" xfId="0" applyFont="1" applyBorder="1"/>
    <xf numFmtId="0" fontId="8" fillId="0" borderId="49" xfId="0" applyFont="1" applyBorder="1"/>
    <xf numFmtId="0" fontId="8" fillId="0" borderId="52" xfId="0" applyFont="1" applyBorder="1"/>
    <xf numFmtId="0" fontId="8" fillId="0" borderId="33" xfId="0" applyFont="1" applyBorder="1"/>
  </cellXfs>
  <cellStyles count="11">
    <cellStyle name="Moneda 2" xfId="1"/>
    <cellStyle name="Normal" xfId="0" builtinId="0"/>
    <cellStyle name="Normal 2" xfId="2"/>
    <cellStyle name="Normal 2 2" xfId="3"/>
    <cellStyle name="Normal 2 2 2" xfId="4"/>
    <cellStyle name="Normal 2 2 2 2" xfId="5"/>
    <cellStyle name="Normal 3" xfId="6"/>
    <cellStyle name="Porcentaje" xfId="8" builtinId="5"/>
    <cellStyle name="Porcentaje 2" xfId="7"/>
    <cellStyle name="Porcentual 2" xfId="9"/>
    <cellStyle name="Porcentual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90" workbookViewId="0">
      <selection activeCell="B32" sqref="B32"/>
    </sheetView>
  </sheetViews>
  <sheetFormatPr baseColWidth="10" defaultColWidth="11.42578125" defaultRowHeight="12.75" x14ac:dyDescent="0.2"/>
  <cols>
    <col min="1" max="1" width="42.28515625" bestFit="1" customWidth="1"/>
    <col min="4" max="4" width="17.42578125" customWidth="1"/>
  </cols>
  <sheetData>
    <row r="1" spans="1:7" x14ac:dyDescent="0.2">
      <c r="A1" s="10" t="s">
        <v>41</v>
      </c>
      <c r="E1" s="11" t="s">
        <v>112</v>
      </c>
    </row>
    <row r="3" spans="1:7" x14ac:dyDescent="0.2">
      <c r="A3" s="5" t="s">
        <v>4</v>
      </c>
      <c r="B3" s="6">
        <v>0.21</v>
      </c>
    </row>
    <row r="4" spans="1:7" x14ac:dyDescent="0.2">
      <c r="A4" s="5" t="s">
        <v>5</v>
      </c>
      <c r="B4" s="6">
        <v>0.35</v>
      </c>
    </row>
    <row r="5" spans="1:7" x14ac:dyDescent="0.2">
      <c r="A5" s="5" t="s">
        <v>31</v>
      </c>
      <c r="B5" s="119">
        <v>0.1</v>
      </c>
      <c r="C5" s="29"/>
      <c r="G5" s="9"/>
    </row>
    <row r="7" spans="1:7" x14ac:dyDescent="0.2">
      <c r="A7" s="5" t="s">
        <v>14</v>
      </c>
      <c r="B7" t="s">
        <v>13</v>
      </c>
    </row>
    <row r="8" spans="1:7" x14ac:dyDescent="0.2">
      <c r="A8" s="4" t="s">
        <v>6</v>
      </c>
      <c r="B8" s="3">
        <v>30</v>
      </c>
      <c r="C8" t="s">
        <v>7</v>
      </c>
    </row>
    <row r="9" spans="1:7" x14ac:dyDescent="0.2">
      <c r="A9" s="4" t="s">
        <v>8</v>
      </c>
      <c r="B9" s="3">
        <v>10</v>
      </c>
      <c r="C9" t="s">
        <v>7</v>
      </c>
    </row>
    <row r="10" spans="1:7" x14ac:dyDescent="0.2">
      <c r="A10" s="4" t="s">
        <v>9</v>
      </c>
      <c r="B10" s="3">
        <v>10</v>
      </c>
      <c r="C10" t="s">
        <v>7</v>
      </c>
    </row>
    <row r="11" spans="1:7" x14ac:dyDescent="0.2">
      <c r="A11" s="2" t="s">
        <v>10</v>
      </c>
      <c r="B11" s="3">
        <v>5</v>
      </c>
      <c r="C11" t="s">
        <v>7</v>
      </c>
    </row>
    <row r="12" spans="1:7" x14ac:dyDescent="0.2">
      <c r="A12" s="2" t="s">
        <v>11</v>
      </c>
      <c r="B12" s="3">
        <v>5</v>
      </c>
      <c r="C12" t="s">
        <v>7</v>
      </c>
    </row>
    <row r="13" spans="1:7" x14ac:dyDescent="0.2">
      <c r="A13" s="2" t="s">
        <v>12</v>
      </c>
      <c r="B13" s="3">
        <v>3</v>
      </c>
      <c r="C13" t="s">
        <v>7</v>
      </c>
    </row>
    <row r="14" spans="1:7" x14ac:dyDescent="0.2">
      <c r="A14" s="2" t="s">
        <v>15</v>
      </c>
      <c r="B14" s="3">
        <v>5</v>
      </c>
      <c r="C14" t="s">
        <v>7</v>
      </c>
    </row>
    <row r="16" spans="1:7" x14ac:dyDescent="0.2">
      <c r="A16" s="5" t="s">
        <v>25</v>
      </c>
      <c r="B16" s="156" t="s">
        <v>113</v>
      </c>
      <c r="C16" s="157"/>
      <c r="D16" s="157"/>
      <c r="E16" s="157"/>
      <c r="F16" s="157"/>
      <c r="G16" s="158"/>
    </row>
    <row r="18" spans="1:7" x14ac:dyDescent="0.2">
      <c r="A18" s="5" t="s">
        <v>16</v>
      </c>
      <c r="B18" s="117">
        <f>AVERAGE(PV!C6:G6)</f>
        <v>999445.5</v>
      </c>
      <c r="C18" t="s">
        <v>18</v>
      </c>
    </row>
    <row r="19" spans="1:7" x14ac:dyDescent="0.2">
      <c r="A19" s="5" t="s">
        <v>17</v>
      </c>
      <c r="B19" s="36">
        <v>41.67</v>
      </c>
      <c r="C19" t="s">
        <v>19</v>
      </c>
    </row>
    <row r="21" spans="1:7" x14ac:dyDescent="0.2">
      <c r="A21" s="5" t="s">
        <v>20</v>
      </c>
      <c r="B21" s="118">
        <v>56</v>
      </c>
    </row>
    <row r="22" spans="1:7" x14ac:dyDescent="0.2">
      <c r="A22" s="5" t="s">
        <v>21</v>
      </c>
      <c r="B22" s="118">
        <v>48</v>
      </c>
      <c r="C22" t="s">
        <v>24</v>
      </c>
    </row>
    <row r="23" spans="1:7" x14ac:dyDescent="0.2">
      <c r="A23" s="5" t="s">
        <v>22</v>
      </c>
      <c r="B23" s="118">
        <v>4</v>
      </c>
      <c r="C23" t="s">
        <v>24</v>
      </c>
      <c r="G23" s="9" t="s">
        <v>42</v>
      </c>
    </row>
    <row r="24" spans="1:7" x14ac:dyDescent="0.2">
      <c r="A24" s="5" t="s">
        <v>23</v>
      </c>
      <c r="B24" s="118">
        <v>4</v>
      </c>
      <c r="C24" t="s">
        <v>24</v>
      </c>
    </row>
    <row r="26" spans="1:7" x14ac:dyDescent="0.2">
      <c r="A26" s="5" t="s">
        <v>26</v>
      </c>
      <c r="B26" s="7">
        <v>8450</v>
      </c>
      <c r="C26" t="s">
        <v>27</v>
      </c>
    </row>
    <row r="27" spans="1:7" x14ac:dyDescent="0.2">
      <c r="A27" s="5" t="s">
        <v>28</v>
      </c>
      <c r="B27" s="7">
        <v>12</v>
      </c>
      <c r="C27" t="s">
        <v>30</v>
      </c>
    </row>
    <row r="28" spans="1:7" x14ac:dyDescent="0.2">
      <c r="A28" s="5" t="s">
        <v>29</v>
      </c>
      <c r="B28" s="7">
        <v>1</v>
      </c>
      <c r="C28" t="s">
        <v>30</v>
      </c>
    </row>
    <row r="31" spans="1:7" x14ac:dyDescent="0.2">
      <c r="A31" s="5" t="s">
        <v>1</v>
      </c>
      <c r="B31" s="7">
        <v>17.850000000000001</v>
      </c>
      <c r="C31" t="s">
        <v>2</v>
      </c>
      <c r="D31" s="7">
        <v>1</v>
      </c>
      <c r="E31" t="s">
        <v>3</v>
      </c>
    </row>
    <row r="32" spans="1:7" x14ac:dyDescent="0.2">
      <c r="A32" s="1"/>
    </row>
    <row r="33" spans="1:4" x14ac:dyDescent="0.2">
      <c r="A33" s="1"/>
    </row>
    <row r="34" spans="1:4" x14ac:dyDescent="0.2">
      <c r="A34" s="5" t="s">
        <v>34</v>
      </c>
      <c r="B34" s="7"/>
      <c r="C34" t="s">
        <v>40</v>
      </c>
    </row>
    <row r="35" spans="1:4" x14ac:dyDescent="0.2">
      <c r="A35" s="5" t="s">
        <v>38</v>
      </c>
      <c r="B35" s="153"/>
      <c r="C35" s="154"/>
      <c r="D35" s="155"/>
    </row>
    <row r="36" spans="1:4" x14ac:dyDescent="0.2">
      <c r="A36" s="5" t="s">
        <v>35</v>
      </c>
      <c r="B36" s="8"/>
    </row>
    <row r="37" spans="1:4" x14ac:dyDescent="0.2">
      <c r="A37" s="5"/>
    </row>
    <row r="38" spans="1:4" x14ac:dyDescent="0.2">
      <c r="A38" s="5" t="s">
        <v>36</v>
      </c>
      <c r="B38" s="7">
        <v>60</v>
      </c>
    </row>
    <row r="39" spans="1:4" x14ac:dyDescent="0.2">
      <c r="A39" s="5" t="s">
        <v>37</v>
      </c>
      <c r="B39" s="7">
        <v>50</v>
      </c>
    </row>
    <row r="40" spans="1:4" x14ac:dyDescent="0.2">
      <c r="A40" s="5" t="s">
        <v>39</v>
      </c>
      <c r="B40" s="7">
        <v>25</v>
      </c>
      <c r="C40" t="s">
        <v>40</v>
      </c>
    </row>
  </sheetData>
  <mergeCells count="2">
    <mergeCell ref="B35:D35"/>
    <mergeCell ref="B16:G16"/>
  </mergeCells>
  <phoneticPr fontId="12" type="noConversion"/>
  <pageMargins left="0.75" right="0.75" top="0.7" bottom="1" header="0" footer="0"/>
  <pageSetup paperSize="9"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1"/>
  <sheetViews>
    <sheetView zoomScale="85" zoomScaleNormal="85" workbookViewId="0">
      <selection activeCell="K22" sqref="K22"/>
    </sheetView>
  </sheetViews>
  <sheetFormatPr baseColWidth="10" defaultColWidth="11.42578125" defaultRowHeight="15" x14ac:dyDescent="0.25"/>
  <cols>
    <col min="1" max="1" width="11.42578125" style="13"/>
    <col min="2" max="2" width="21.42578125" style="13" customWidth="1"/>
    <col min="3" max="3" width="10.85546875" style="13" customWidth="1"/>
    <col min="4" max="4" width="10" style="13" customWidth="1"/>
    <col min="5" max="5" width="10.85546875" style="13" customWidth="1"/>
    <col min="6" max="6" width="9.5703125" style="13" customWidth="1"/>
    <col min="7" max="7" width="6.85546875" style="13" customWidth="1"/>
    <col min="8" max="8" width="4.85546875" style="13" customWidth="1"/>
    <col min="9" max="9" width="10.7109375" style="13" customWidth="1"/>
    <col min="10" max="10" width="9.42578125" style="13" customWidth="1"/>
    <col min="11" max="11" width="11.7109375" style="13" customWidth="1"/>
    <col min="12" max="12" width="11.42578125" style="13" customWidth="1"/>
    <col min="13" max="13" width="11" style="13" customWidth="1"/>
    <col min="14" max="14" width="25.7109375" style="13" bestFit="1" customWidth="1"/>
    <col min="15" max="18" width="11.42578125" style="13"/>
    <col min="19" max="19" width="5.5703125" style="13" customWidth="1"/>
    <col min="20" max="20" width="6.85546875" style="13" customWidth="1"/>
    <col min="21" max="16384" width="11.42578125" style="13"/>
  </cols>
  <sheetData>
    <row r="2" spans="2:26" x14ac:dyDescent="0.25">
      <c r="B2" s="220" t="s">
        <v>0</v>
      </c>
      <c r="C2" s="221"/>
      <c r="D2" s="70"/>
      <c r="E2" s="70"/>
      <c r="F2" s="70"/>
      <c r="G2" s="70"/>
      <c r="H2" s="70"/>
      <c r="I2" s="70"/>
      <c r="J2" s="70"/>
      <c r="K2" s="70"/>
    </row>
    <row r="3" spans="2:26" ht="15" customHeight="1" x14ac:dyDescent="0.25">
      <c r="B3" s="222" t="s">
        <v>60</v>
      </c>
      <c r="C3" s="222" t="s">
        <v>66</v>
      </c>
      <c r="D3" s="222"/>
      <c r="E3" s="211" t="s">
        <v>103</v>
      </c>
      <c r="F3" s="212"/>
      <c r="G3" s="222" t="s">
        <v>67</v>
      </c>
      <c r="H3" s="222"/>
      <c r="I3" s="211" t="s">
        <v>68</v>
      </c>
      <c r="J3" s="212"/>
      <c r="K3" s="217" t="s">
        <v>78</v>
      </c>
    </row>
    <row r="4" spans="2:26" x14ac:dyDescent="0.25">
      <c r="B4" s="222"/>
      <c r="C4" s="222" t="s">
        <v>56</v>
      </c>
      <c r="D4" s="222"/>
      <c r="E4" s="213" t="s">
        <v>65</v>
      </c>
      <c r="F4" s="214"/>
      <c r="G4" s="222"/>
      <c r="H4" s="222"/>
      <c r="I4" s="213" t="s">
        <v>65</v>
      </c>
      <c r="J4" s="214"/>
      <c r="K4" s="218"/>
    </row>
    <row r="5" spans="2:26" x14ac:dyDescent="0.25">
      <c r="B5" s="222"/>
      <c r="C5" s="222" t="s">
        <v>53</v>
      </c>
      <c r="D5" s="222"/>
      <c r="E5" s="215"/>
      <c r="F5" s="216"/>
      <c r="G5" s="222"/>
      <c r="H5" s="222"/>
      <c r="I5" s="215"/>
      <c r="J5" s="216"/>
      <c r="K5" s="219"/>
    </row>
    <row r="6" spans="2:26" x14ac:dyDescent="0.25">
      <c r="B6" s="74" t="s">
        <v>146</v>
      </c>
      <c r="C6" s="57">
        <v>409481.21934505319</v>
      </c>
      <c r="D6" s="19" t="s">
        <v>49</v>
      </c>
      <c r="E6" s="57">
        <f>'ej 3'!J6</f>
        <v>505856</v>
      </c>
      <c r="F6" s="19" t="s">
        <v>49</v>
      </c>
      <c r="G6" s="209">
        <f>ROUNDUP(C6/E6,0)</f>
        <v>1</v>
      </c>
      <c r="H6" s="210"/>
      <c r="I6" s="57">
        <f>E6*G6</f>
        <v>505856</v>
      </c>
      <c r="J6" s="19" t="s">
        <v>49</v>
      </c>
      <c r="K6" s="61">
        <f t="shared" ref="K6:K10" si="0">(C6/I6)</f>
        <v>0.80948178798917714</v>
      </c>
      <c r="Z6" s="13">
        <v>100</v>
      </c>
    </row>
    <row r="7" spans="2:26" x14ac:dyDescent="0.25">
      <c r="B7" s="74" t="s">
        <v>147</v>
      </c>
      <c r="C7" s="57">
        <v>407188.12451672088</v>
      </c>
      <c r="D7" s="19" t="s">
        <v>49</v>
      </c>
      <c r="E7" s="57">
        <f>'ej 3'!J7</f>
        <v>500531.19999999995</v>
      </c>
      <c r="F7" s="19" t="s">
        <v>49</v>
      </c>
      <c r="G7" s="209">
        <f t="shared" ref="G7:G10" si="1">ROUNDUP(C7/E7,0)</f>
        <v>1</v>
      </c>
      <c r="H7" s="210"/>
      <c r="I7" s="57">
        <f t="shared" ref="I7:I10" si="2">E7*G7</f>
        <v>500531.19999999995</v>
      </c>
      <c r="J7" s="19" t="s">
        <v>49</v>
      </c>
      <c r="K7" s="61">
        <f t="shared" si="0"/>
        <v>0.8135119739123573</v>
      </c>
    </row>
    <row r="8" spans="2:26" x14ac:dyDescent="0.25">
      <c r="B8" s="74" t="s">
        <v>148</v>
      </c>
      <c r="C8" s="57">
        <v>404907.8710194272</v>
      </c>
      <c r="D8" s="19" t="s">
        <v>49</v>
      </c>
      <c r="E8" s="57">
        <f>'ej 3'!J8</f>
        <v>1001062.3999999999</v>
      </c>
      <c r="F8" s="19" t="s">
        <v>49</v>
      </c>
      <c r="G8" s="209">
        <f t="shared" si="1"/>
        <v>1</v>
      </c>
      <c r="H8" s="210"/>
      <c r="I8" s="57">
        <f t="shared" si="2"/>
        <v>1001062.3999999999</v>
      </c>
      <c r="J8" s="19" t="s">
        <v>49</v>
      </c>
      <c r="K8" s="61">
        <f t="shared" si="0"/>
        <v>0.40447815342922405</v>
      </c>
    </row>
    <row r="9" spans="2:26" x14ac:dyDescent="0.25">
      <c r="B9" s="74" t="s">
        <v>149</v>
      </c>
      <c r="C9" s="57">
        <v>404341</v>
      </c>
      <c r="D9" s="19" t="s">
        <v>49</v>
      </c>
      <c r="E9" s="57">
        <f>'ej 3'!J9</f>
        <v>931840</v>
      </c>
      <c r="F9" s="19" t="s">
        <v>49</v>
      </c>
      <c r="G9" s="209">
        <f t="shared" si="1"/>
        <v>1</v>
      </c>
      <c r="H9" s="210"/>
      <c r="I9" s="57">
        <f t="shared" si="2"/>
        <v>931840</v>
      </c>
      <c r="J9" s="19" t="s">
        <v>49</v>
      </c>
      <c r="K9" s="61">
        <f t="shared" si="0"/>
        <v>0.43391676682692309</v>
      </c>
    </row>
    <row r="10" spans="2:26" x14ac:dyDescent="0.25">
      <c r="B10" s="74" t="s">
        <v>150</v>
      </c>
      <c r="C10" s="57">
        <v>404341</v>
      </c>
      <c r="D10" s="19" t="s">
        <v>49</v>
      </c>
      <c r="E10" s="57">
        <f>'ej 3'!J10</f>
        <v>1192755.2</v>
      </c>
      <c r="F10" s="19" t="s">
        <v>49</v>
      </c>
      <c r="G10" s="209">
        <f t="shared" si="1"/>
        <v>1</v>
      </c>
      <c r="H10" s="210"/>
      <c r="I10" s="57">
        <f t="shared" si="2"/>
        <v>1192755.2</v>
      </c>
      <c r="J10" s="19" t="s">
        <v>49</v>
      </c>
      <c r="K10" s="61">
        <f t="shared" si="0"/>
        <v>0.33899747408353365</v>
      </c>
    </row>
    <row r="13" spans="2:26" x14ac:dyDescent="0.25">
      <c r="B13" s="220" t="s">
        <v>156</v>
      </c>
      <c r="C13" s="221"/>
      <c r="D13" s="70"/>
      <c r="E13" s="70"/>
      <c r="F13" s="70"/>
      <c r="G13" s="70"/>
      <c r="H13" s="70"/>
      <c r="I13" s="70"/>
      <c r="J13" s="70"/>
      <c r="K13" s="70"/>
    </row>
    <row r="14" spans="2:26" x14ac:dyDescent="0.25">
      <c r="B14" s="222" t="s">
        <v>60</v>
      </c>
      <c r="C14" s="222" t="s">
        <v>66</v>
      </c>
      <c r="D14" s="222"/>
      <c r="E14" s="211" t="s">
        <v>103</v>
      </c>
      <c r="F14" s="212"/>
      <c r="G14" s="222" t="s">
        <v>67</v>
      </c>
      <c r="H14" s="222"/>
      <c r="I14" s="211" t="s">
        <v>68</v>
      </c>
      <c r="J14" s="212"/>
      <c r="K14" s="217" t="s">
        <v>78</v>
      </c>
    </row>
    <row r="15" spans="2:26" x14ac:dyDescent="0.25">
      <c r="B15" s="222"/>
      <c r="C15" s="222" t="s">
        <v>56</v>
      </c>
      <c r="D15" s="222"/>
      <c r="E15" s="213" t="s">
        <v>65</v>
      </c>
      <c r="F15" s="214"/>
      <c r="G15" s="222"/>
      <c r="H15" s="222"/>
      <c r="I15" s="213" t="s">
        <v>65</v>
      </c>
      <c r="J15" s="214"/>
      <c r="K15" s="218"/>
    </row>
    <row r="16" spans="2:26" x14ac:dyDescent="0.25">
      <c r="B16" s="222"/>
      <c r="C16" s="222" t="s">
        <v>53</v>
      </c>
      <c r="D16" s="222"/>
      <c r="E16" s="215"/>
      <c r="F16" s="216"/>
      <c r="G16" s="222"/>
      <c r="H16" s="222"/>
      <c r="I16" s="215"/>
      <c r="J16" s="216"/>
      <c r="K16" s="219"/>
    </row>
    <row r="17" spans="2:13" x14ac:dyDescent="0.25">
      <c r="B17" s="120" t="s">
        <v>146</v>
      </c>
      <c r="C17" s="57">
        <v>411787.22782084998</v>
      </c>
      <c r="D17" s="19" t="s">
        <v>49</v>
      </c>
      <c r="E17" s="57">
        <f>+E6</f>
        <v>505856</v>
      </c>
      <c r="F17" s="19" t="s">
        <v>49</v>
      </c>
      <c r="G17" s="209">
        <f>ROUNDUP(C17/E17,0)</f>
        <v>1</v>
      </c>
      <c r="H17" s="210"/>
      <c r="I17" s="57">
        <f>E17*G17</f>
        <v>505856</v>
      </c>
      <c r="J17" s="19" t="s">
        <v>49</v>
      </c>
      <c r="K17" s="61">
        <f t="shared" ref="K17:K21" si="3">(C17/I17)</f>
        <v>0.81404041430930929</v>
      </c>
      <c r="M17" s="57">
        <f>(I17*C21)/C17</f>
        <v>496708.75412625808</v>
      </c>
    </row>
    <row r="18" spans="2:13" x14ac:dyDescent="0.25">
      <c r="B18" s="120" t="s">
        <v>147</v>
      </c>
      <c r="C18" s="57">
        <v>409481.21934505319</v>
      </c>
      <c r="D18" s="19" t="s">
        <v>49</v>
      </c>
      <c r="E18" s="57">
        <f>+E7</f>
        <v>500531.19999999995</v>
      </c>
      <c r="F18" s="19" t="s">
        <v>49</v>
      </c>
      <c r="G18" s="209">
        <f t="shared" ref="G18:G21" si="4">ROUNDUP(C18/E18,0)</f>
        <v>1</v>
      </c>
      <c r="H18" s="210"/>
      <c r="I18" s="57">
        <f>E18*G18</f>
        <v>500531.19999999995</v>
      </c>
      <c r="J18" s="19" t="s">
        <v>49</v>
      </c>
      <c r="K18" s="61">
        <f t="shared" si="3"/>
        <v>0.81809329637204076</v>
      </c>
    </row>
    <row r="19" spans="2:13" x14ac:dyDescent="0.25">
      <c r="B19" s="120" t="s">
        <v>148</v>
      </c>
      <c r="C19" s="57">
        <v>407188.12451672088</v>
      </c>
      <c r="D19" s="19" t="s">
        <v>49</v>
      </c>
      <c r="E19" s="57">
        <f>+E8</f>
        <v>1001062.3999999999</v>
      </c>
      <c r="F19" s="19" t="s">
        <v>49</v>
      </c>
      <c r="G19" s="209">
        <f t="shared" si="4"/>
        <v>1</v>
      </c>
      <c r="H19" s="210"/>
      <c r="I19" s="57">
        <f t="shared" ref="I19:I21" si="5">E19*G19</f>
        <v>1001062.3999999999</v>
      </c>
      <c r="J19" s="19" t="s">
        <v>49</v>
      </c>
      <c r="K19" s="61">
        <f t="shared" si="3"/>
        <v>0.40675598695617865</v>
      </c>
      <c r="M19" s="13">
        <f>+M17/250</f>
        <v>1986.8350165050324</v>
      </c>
    </row>
    <row r="20" spans="2:13" x14ac:dyDescent="0.25">
      <c r="B20" s="120" t="s">
        <v>149</v>
      </c>
      <c r="C20" s="57">
        <v>404907.8710194272</v>
      </c>
      <c r="D20" s="19" t="s">
        <v>49</v>
      </c>
      <c r="E20" s="57">
        <f>+E9</f>
        <v>931840</v>
      </c>
      <c r="F20" s="19" t="s">
        <v>49</v>
      </c>
      <c r="G20" s="209">
        <f t="shared" si="4"/>
        <v>1</v>
      </c>
      <c r="H20" s="210"/>
      <c r="I20" s="57">
        <f t="shared" si="5"/>
        <v>931840</v>
      </c>
      <c r="J20" s="19" t="s">
        <v>49</v>
      </c>
      <c r="K20" s="61">
        <f t="shared" si="3"/>
        <v>0.43452510196968064</v>
      </c>
    </row>
    <row r="21" spans="2:13" x14ac:dyDescent="0.25">
      <c r="B21" s="120" t="s">
        <v>150</v>
      </c>
      <c r="C21" s="57">
        <v>404341</v>
      </c>
      <c r="D21" s="19" t="s">
        <v>49</v>
      </c>
      <c r="E21" s="57">
        <f>+E10</f>
        <v>1192755.2</v>
      </c>
      <c r="F21" s="19" t="s">
        <v>49</v>
      </c>
      <c r="G21" s="209">
        <f t="shared" si="4"/>
        <v>1</v>
      </c>
      <c r="H21" s="210"/>
      <c r="I21" s="57">
        <f t="shared" si="5"/>
        <v>1192755.2</v>
      </c>
      <c r="J21" s="19" t="s">
        <v>49</v>
      </c>
      <c r="K21" s="61">
        <f t="shared" si="3"/>
        <v>0.33899747408353365</v>
      </c>
    </row>
  </sheetData>
  <mergeCells count="24">
    <mergeCell ref="B2:C2"/>
    <mergeCell ref="I3:J5"/>
    <mergeCell ref="G6:H6"/>
    <mergeCell ref="G7:H7"/>
    <mergeCell ref="G8:H8"/>
    <mergeCell ref="G9:H9"/>
    <mergeCell ref="G10:H10"/>
    <mergeCell ref="K3:K5"/>
    <mergeCell ref="B3:B5"/>
    <mergeCell ref="C3:D5"/>
    <mergeCell ref="E3:F5"/>
    <mergeCell ref="G3:H5"/>
    <mergeCell ref="B13:C13"/>
    <mergeCell ref="B14:B16"/>
    <mergeCell ref="C14:D16"/>
    <mergeCell ref="E14:F16"/>
    <mergeCell ref="G14:H16"/>
    <mergeCell ref="G20:H20"/>
    <mergeCell ref="G21:H21"/>
    <mergeCell ref="I14:J16"/>
    <mergeCell ref="K14:K16"/>
    <mergeCell ref="G17:H17"/>
    <mergeCell ref="G18:H18"/>
    <mergeCell ref="G19:H19"/>
  </mergeCells>
  <phoneticPr fontId="0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zoomScale="85" zoomScaleNormal="85" workbookViewId="0">
      <selection activeCell="H12" sqref="H12"/>
    </sheetView>
  </sheetViews>
  <sheetFormatPr baseColWidth="10" defaultColWidth="11.42578125" defaultRowHeight="15" x14ac:dyDescent="0.25"/>
  <cols>
    <col min="1" max="1" width="11.42578125" style="13"/>
    <col min="2" max="2" width="25.7109375" style="13" bestFit="1" customWidth="1"/>
    <col min="3" max="3" width="11" style="25" customWidth="1"/>
    <col min="4" max="4" width="12.5703125" style="25" customWidth="1"/>
    <col min="5" max="5" width="11.5703125" style="25" customWidth="1"/>
    <col min="6" max="6" width="13" style="25" customWidth="1"/>
    <col min="7" max="16384" width="11.42578125" style="13"/>
  </cols>
  <sheetData>
    <row r="2" spans="2:11" ht="15.75" thickBot="1" x14ac:dyDescent="0.3"/>
    <row r="3" spans="2:11" ht="35.25" customHeight="1" x14ac:dyDescent="0.25">
      <c r="B3" s="142" t="s">
        <v>162</v>
      </c>
      <c r="C3" s="143" t="s">
        <v>84</v>
      </c>
      <c r="D3" s="143" t="s">
        <v>161</v>
      </c>
      <c r="E3" s="144" t="s">
        <v>0</v>
      </c>
      <c r="F3" s="145" t="s">
        <v>156</v>
      </c>
    </row>
    <row r="4" spans="2:11" x14ac:dyDescent="0.25">
      <c r="B4" s="79" t="s">
        <v>80</v>
      </c>
      <c r="C4" s="134" t="s">
        <v>157</v>
      </c>
      <c r="D4" s="121"/>
      <c r="E4" s="121">
        <f>+E6-E5</f>
        <v>381527.2</v>
      </c>
      <c r="F4" s="114">
        <f>+PV!D5</f>
        <v>404341</v>
      </c>
      <c r="I4" s="229" t="s">
        <v>167</v>
      </c>
    </row>
    <row r="5" spans="2:11" x14ac:dyDescent="0.25">
      <c r="B5" s="79" t="s">
        <v>81</v>
      </c>
      <c r="C5" s="134" t="s">
        <v>157</v>
      </c>
      <c r="D5" s="121"/>
      <c r="E5" s="121">
        <v>18548</v>
      </c>
      <c r="F5" s="114">
        <f>+E5</f>
        <v>18548</v>
      </c>
    </row>
    <row r="6" spans="2:11" x14ac:dyDescent="0.25">
      <c r="B6" s="79" t="s">
        <v>46</v>
      </c>
      <c r="C6" s="134" t="s">
        <v>157</v>
      </c>
      <c r="D6" s="121"/>
      <c r="E6" s="121">
        <v>400075.2</v>
      </c>
      <c r="F6" s="114">
        <f>+F4</f>
        <v>404341</v>
      </c>
      <c r="I6" s="121">
        <v>380061.10052884615</v>
      </c>
    </row>
    <row r="7" spans="2:11" x14ac:dyDescent="0.25">
      <c r="B7" s="79" t="s">
        <v>75</v>
      </c>
      <c r="C7" s="134" t="s">
        <v>157</v>
      </c>
      <c r="D7" s="121"/>
      <c r="E7" s="121">
        <v>7405.52</v>
      </c>
      <c r="F7" s="114">
        <v>7446.2278208499765</v>
      </c>
    </row>
    <row r="8" spans="2:11" x14ac:dyDescent="0.25">
      <c r="B8" s="79" t="s">
        <v>82</v>
      </c>
      <c r="C8" s="134" t="s">
        <v>157</v>
      </c>
      <c r="D8" s="121"/>
      <c r="E8" s="121">
        <v>3402</v>
      </c>
      <c r="F8" s="114">
        <v>3402</v>
      </c>
      <c r="I8" s="13">
        <v>10.9</v>
      </c>
      <c r="J8" s="121">
        <f>+(F4/I8)</f>
        <v>37095.504587155963</v>
      </c>
      <c r="K8" s="121">
        <f>+J8/2</f>
        <v>18547.752293577982</v>
      </c>
    </row>
    <row r="9" spans="2:11" x14ac:dyDescent="0.25">
      <c r="B9" s="79" t="s">
        <v>158</v>
      </c>
      <c r="C9" s="134" t="s">
        <v>157</v>
      </c>
      <c r="D9" s="121"/>
      <c r="E9" s="121">
        <f>+E8+E7+E6</f>
        <v>410882.72000000003</v>
      </c>
      <c r="F9" s="114">
        <f>+F7+F6</f>
        <v>411787.22782084998</v>
      </c>
      <c r="G9" s="56"/>
      <c r="I9" s="13">
        <v>10.9</v>
      </c>
      <c r="J9" s="121">
        <f>+(F5/I9)</f>
        <v>1701.6513761467888</v>
      </c>
      <c r="K9" s="121">
        <f>+J9/2</f>
        <v>850.82568807339442</v>
      </c>
    </row>
    <row r="10" spans="2:11" x14ac:dyDescent="0.25">
      <c r="B10" s="79" t="s">
        <v>100</v>
      </c>
      <c r="C10" s="134" t="s">
        <v>157</v>
      </c>
      <c r="D10" s="121">
        <v>2200</v>
      </c>
      <c r="E10" s="121">
        <v>51473</v>
      </c>
      <c r="F10" s="114">
        <v>51473</v>
      </c>
    </row>
    <row r="11" spans="2:11" ht="15.75" thickBot="1" x14ac:dyDescent="0.3">
      <c r="B11" s="80" t="s">
        <v>83</v>
      </c>
      <c r="C11" s="141" t="s">
        <v>157</v>
      </c>
      <c r="D11" s="64">
        <v>2200</v>
      </c>
      <c r="E11" s="64">
        <f>+E10-D10+E9</f>
        <v>460155.72000000003</v>
      </c>
      <c r="F11" s="115">
        <f>+F10-E10+F9</f>
        <v>411787.22782084998</v>
      </c>
    </row>
    <row r="13" spans="2:11" x14ac:dyDescent="0.25">
      <c r="D13" s="113"/>
      <c r="E13" s="113"/>
      <c r="F13" s="113"/>
      <c r="I13" s="13">
        <v>411787.22782084998</v>
      </c>
      <c r="J13" s="13">
        <f>+I13/'ej 2'!D10</f>
        <v>1732.2780016502102</v>
      </c>
      <c r="K13" s="13">
        <f>+J13*20</f>
        <v>34645.560033004207</v>
      </c>
    </row>
    <row r="14" spans="2:11" x14ac:dyDescent="0.25">
      <c r="D14" s="113"/>
      <c r="E14" s="113"/>
      <c r="F14" s="113"/>
    </row>
    <row r="15" spans="2:11" x14ac:dyDescent="0.25">
      <c r="B15" s="116"/>
      <c r="D15" s="113"/>
      <c r="E15" s="113"/>
      <c r="F15" s="113"/>
      <c r="I15" s="132" t="s">
        <v>160</v>
      </c>
    </row>
    <row r="16" spans="2:11" x14ac:dyDescent="0.25">
      <c r="B16" s="116"/>
      <c r="D16" s="113"/>
      <c r="E16" s="113"/>
      <c r="F16" s="113"/>
      <c r="I16" s="13">
        <f>1701*2</f>
        <v>3402</v>
      </c>
    </row>
    <row r="17" spans="2:6" x14ac:dyDescent="0.25">
      <c r="B17" s="116"/>
      <c r="D17" s="113"/>
      <c r="E17" s="113"/>
      <c r="F17" s="113"/>
    </row>
    <row r="18" spans="2:6" x14ac:dyDescent="0.25">
      <c r="B18" s="116"/>
      <c r="D18" s="113"/>
      <c r="E18" s="113"/>
    </row>
  </sheetData>
  <phoneticPr fontId="0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showGridLines="0" workbookViewId="0">
      <selection activeCell="F5" sqref="F5"/>
    </sheetView>
  </sheetViews>
  <sheetFormatPr baseColWidth="10" defaultRowHeight="12.75" x14ac:dyDescent="0.2"/>
  <cols>
    <col min="2" max="2" width="17.5703125" bestFit="1" customWidth="1"/>
    <col min="3" max="3" width="47.5703125" bestFit="1" customWidth="1"/>
  </cols>
  <sheetData>
    <row r="3" spans="2:3" x14ac:dyDescent="0.2">
      <c r="B3" s="238" t="s">
        <v>181</v>
      </c>
    </row>
    <row r="5" spans="2:3" ht="13.5" thickBot="1" x14ac:dyDescent="0.25"/>
    <row r="6" spans="2:3" ht="13.5" thickBot="1" x14ac:dyDescent="0.25">
      <c r="B6" s="239" t="s">
        <v>168</v>
      </c>
      <c r="C6" s="240" t="s">
        <v>180</v>
      </c>
    </row>
    <row r="7" spans="2:3" ht="4.5" customHeight="1" thickBot="1" x14ac:dyDescent="0.25"/>
    <row r="8" spans="2:3" x14ac:dyDescent="0.2">
      <c r="B8" s="244" t="s">
        <v>169</v>
      </c>
      <c r="C8" s="241" t="s">
        <v>170</v>
      </c>
    </row>
    <row r="9" spans="2:3" x14ac:dyDescent="0.2">
      <c r="B9" s="245" t="s">
        <v>171</v>
      </c>
      <c r="C9" s="242" t="s">
        <v>172</v>
      </c>
    </row>
    <row r="10" spans="2:3" x14ac:dyDescent="0.2">
      <c r="B10" s="245" t="s">
        <v>173</v>
      </c>
      <c r="C10" s="242" t="s">
        <v>174</v>
      </c>
    </row>
    <row r="11" spans="2:3" x14ac:dyDescent="0.2">
      <c r="B11" s="245" t="s">
        <v>171</v>
      </c>
      <c r="C11" s="242" t="s">
        <v>175</v>
      </c>
    </row>
    <row r="12" spans="2:3" x14ac:dyDescent="0.2">
      <c r="B12" s="245" t="s">
        <v>176</v>
      </c>
      <c r="C12" s="242" t="s">
        <v>177</v>
      </c>
    </row>
    <row r="13" spans="2:3" ht="13.5" thickBot="1" x14ac:dyDescent="0.25">
      <c r="B13" s="246" t="s">
        <v>178</v>
      </c>
      <c r="C13" s="243" t="s">
        <v>179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showGridLines="0" topLeftCell="A4" zoomScale="85" zoomScaleNormal="85" workbookViewId="0">
      <selection activeCell="B26" sqref="B26"/>
    </sheetView>
  </sheetViews>
  <sheetFormatPr baseColWidth="10" defaultColWidth="11.42578125" defaultRowHeight="12.75" x14ac:dyDescent="0.2"/>
  <cols>
    <col min="1" max="1" width="20.85546875" customWidth="1"/>
    <col min="2" max="2" width="26.42578125" customWidth="1"/>
    <col min="3" max="3" width="7.140625" customWidth="1"/>
    <col min="4" max="4" width="0.140625" customWidth="1"/>
    <col min="5" max="5" width="8.42578125" customWidth="1"/>
    <col min="11" max="11" width="10.7109375" customWidth="1"/>
  </cols>
  <sheetData>
    <row r="1" spans="2:18" ht="13.5" thickBot="1" x14ac:dyDescent="0.25"/>
    <row r="2" spans="2:18" x14ac:dyDescent="0.2">
      <c r="B2" s="175" t="s">
        <v>163</v>
      </c>
      <c r="C2" s="177" t="s">
        <v>165</v>
      </c>
      <c r="D2" s="146"/>
      <c r="E2" s="179" t="s">
        <v>166</v>
      </c>
      <c r="F2" s="148">
        <v>1</v>
      </c>
      <c r="G2" s="90">
        <v>2</v>
      </c>
      <c r="H2" s="90">
        <v>3</v>
      </c>
      <c r="I2" s="90">
        <v>4</v>
      </c>
      <c r="J2" s="90">
        <v>5</v>
      </c>
      <c r="L2">
        <f>+J3/0.4</f>
        <v>1010852.5</v>
      </c>
      <c r="P2" t="s">
        <v>141</v>
      </c>
      <c r="Q2" t="s">
        <v>142</v>
      </c>
    </row>
    <row r="3" spans="2:18" ht="13.5" thickBot="1" x14ac:dyDescent="0.25">
      <c r="B3" s="176"/>
      <c r="C3" s="178"/>
      <c r="D3" s="147"/>
      <c r="E3" s="180"/>
      <c r="F3" s="149">
        <f>PV!C5</f>
        <v>381527</v>
      </c>
      <c r="G3" s="99">
        <f>PV!D5</f>
        <v>404341</v>
      </c>
      <c r="H3" s="99">
        <f>PV!E5</f>
        <v>404341</v>
      </c>
      <c r="I3" s="99">
        <f>PV!F5</f>
        <v>404341</v>
      </c>
      <c r="J3" s="99">
        <f>PV!G5</f>
        <v>404341</v>
      </c>
      <c r="L3">
        <f>+J3/12</f>
        <v>33695.083333333336</v>
      </c>
      <c r="M3">
        <f>+L3/20</f>
        <v>1684.7541666666668</v>
      </c>
      <c r="O3" t="s">
        <v>143</v>
      </c>
      <c r="P3" s="12">
        <f>+M3*0.5*0.93</f>
        <v>783.41068750000011</v>
      </c>
      <c r="Q3" s="12">
        <f>+M3*0.5</f>
        <v>842.37708333333342</v>
      </c>
      <c r="R3" s="12">
        <f>+Q3+P3</f>
        <v>1625.7877708333335</v>
      </c>
    </row>
    <row r="4" spans="2:18" ht="19.5" customHeight="1" x14ac:dyDescent="0.2">
      <c r="B4" s="91" t="s">
        <v>126</v>
      </c>
      <c r="C4" s="92">
        <v>1</v>
      </c>
      <c r="D4" s="169" t="s">
        <v>164</v>
      </c>
      <c r="E4" s="170"/>
      <c r="F4" s="150">
        <f>$C$4*F3</f>
        <v>381527</v>
      </c>
      <c r="G4" s="100">
        <f>C4*$G$3</f>
        <v>404341</v>
      </c>
      <c r="H4" s="100">
        <f>C4*$H$3</f>
        <v>404341</v>
      </c>
      <c r="I4" s="100">
        <f>C4*$I$3</f>
        <v>404341</v>
      </c>
      <c r="J4" s="100">
        <f>C4*$J$3</f>
        <v>404341</v>
      </c>
      <c r="L4">
        <f>+F4/20</f>
        <v>19076.349999999999</v>
      </c>
      <c r="O4" t="s">
        <v>144</v>
      </c>
      <c r="P4" s="12">
        <f>+Q3-P3</f>
        <v>58.966395833333308</v>
      </c>
    </row>
    <row r="5" spans="2:18" ht="19.5" customHeight="1" x14ac:dyDescent="0.2">
      <c r="B5" s="91" t="s">
        <v>133</v>
      </c>
      <c r="C5" s="93">
        <v>0.1</v>
      </c>
      <c r="D5" s="167" t="s">
        <v>127</v>
      </c>
      <c r="E5" s="168"/>
      <c r="F5" s="151">
        <f>C5*$F$3</f>
        <v>38152.700000000004</v>
      </c>
      <c r="G5" s="101">
        <f>C5*$G$3</f>
        <v>40434.100000000006</v>
      </c>
      <c r="H5" s="101">
        <f>C5*$H$3</f>
        <v>40434.100000000006</v>
      </c>
      <c r="I5" s="101">
        <f>C5*$I$3</f>
        <v>40434.100000000006</v>
      </c>
      <c r="J5" s="101">
        <f>C5*$J$3</f>
        <v>40434.100000000006</v>
      </c>
      <c r="L5" s="111" t="s">
        <v>131</v>
      </c>
    </row>
    <row r="6" spans="2:18" ht="24" customHeight="1" x14ac:dyDescent="0.2">
      <c r="B6" s="91" t="s">
        <v>134</v>
      </c>
      <c r="C6" s="93">
        <f>0.15/6</f>
        <v>2.4999999999999998E-2</v>
      </c>
      <c r="D6" s="167" t="s">
        <v>127</v>
      </c>
      <c r="E6" s="168"/>
      <c r="F6" s="151">
        <f>C6*$F$3</f>
        <v>9538.1749999999993</v>
      </c>
      <c r="G6" s="101">
        <f>C6*$G$3</f>
        <v>10108.525</v>
      </c>
      <c r="H6" s="101">
        <f>C6*$H$3</f>
        <v>10108.525</v>
      </c>
      <c r="I6" s="101">
        <f>C6*$I$3</f>
        <v>10108.525</v>
      </c>
      <c r="J6" s="101">
        <f>C6*$J$3</f>
        <v>10108.525</v>
      </c>
      <c r="L6" s="89">
        <f>C13*2.88</f>
        <v>0.49775999999999998</v>
      </c>
      <c r="N6">
        <f>0.6/6</f>
        <v>9.9999999999999992E-2</v>
      </c>
    </row>
    <row r="7" spans="2:18" ht="19.5" customHeight="1" x14ac:dyDescent="0.2">
      <c r="B7" s="91" t="s">
        <v>132</v>
      </c>
      <c r="C7" s="93">
        <f>11.5/1000/2</f>
        <v>5.7499999999999999E-3</v>
      </c>
      <c r="D7" s="167" t="s">
        <v>127</v>
      </c>
      <c r="E7" s="168"/>
      <c r="F7" s="151">
        <f>C7*$F$3</f>
        <v>2193.7802499999998</v>
      </c>
      <c r="G7" s="101">
        <f>C7*$G$3</f>
        <v>2324.9607499999997</v>
      </c>
      <c r="H7" s="101">
        <f>C7*$H$3</f>
        <v>2324.9607499999997</v>
      </c>
      <c r="I7" s="101">
        <f>C7*$I$3</f>
        <v>2324.9607499999997</v>
      </c>
      <c r="J7" s="101">
        <f>C7*$J$3</f>
        <v>2324.9607499999997</v>
      </c>
      <c r="L7" s="81"/>
    </row>
    <row r="8" spans="2:18" ht="19.5" customHeight="1" x14ac:dyDescent="0.2">
      <c r="B8" s="91" t="s">
        <v>128</v>
      </c>
      <c r="C8" s="93">
        <f>0.25/6</f>
        <v>4.1666666666666664E-2</v>
      </c>
      <c r="D8" s="167" t="s">
        <v>127</v>
      </c>
      <c r="E8" s="168"/>
      <c r="F8" s="151">
        <f t="shared" ref="F8:F9" si="0">C8*$F$3</f>
        <v>15896.958333333332</v>
      </c>
      <c r="G8" s="101">
        <f t="shared" ref="G8:G9" si="1">C8*$G$3</f>
        <v>16847.541666666664</v>
      </c>
      <c r="H8" s="101">
        <f t="shared" ref="H8:H9" si="2">C8*$H$3</f>
        <v>16847.541666666664</v>
      </c>
      <c r="I8" s="101">
        <f t="shared" ref="I8:I9" si="3">C8*$I$3</f>
        <v>16847.541666666664</v>
      </c>
      <c r="J8" s="101">
        <f t="shared" ref="J8:J9" si="4">C8*$J$3</f>
        <v>16847.541666666664</v>
      </c>
      <c r="L8" s="81">
        <f>0.03*F4/1000</f>
        <v>11.44581</v>
      </c>
    </row>
    <row r="9" spans="2:18" ht="19.5" customHeight="1" x14ac:dyDescent="0.2">
      <c r="B9" s="91" t="s">
        <v>129</v>
      </c>
      <c r="C9" s="93">
        <f>2.5/1000/6</f>
        <v>4.1666666666666669E-4</v>
      </c>
      <c r="D9" s="167" t="s">
        <v>127</v>
      </c>
      <c r="E9" s="168"/>
      <c r="F9" s="151">
        <f t="shared" si="0"/>
        <v>158.96958333333333</v>
      </c>
      <c r="G9" s="101">
        <f t="shared" si="1"/>
        <v>168.47541666666669</v>
      </c>
      <c r="H9" s="101">
        <f t="shared" si="2"/>
        <v>168.47541666666669</v>
      </c>
      <c r="I9" s="101">
        <f t="shared" si="3"/>
        <v>168.47541666666669</v>
      </c>
      <c r="J9" s="101">
        <f t="shared" si="4"/>
        <v>168.47541666666669</v>
      </c>
      <c r="L9" s="81"/>
      <c r="M9">
        <f>+H3/4</f>
        <v>101085.25</v>
      </c>
    </row>
    <row r="10" spans="2:18" ht="19.5" customHeight="1" x14ac:dyDescent="0.2">
      <c r="B10" s="91" t="s">
        <v>135</v>
      </c>
      <c r="C10" s="93">
        <f>5/1000</f>
        <v>5.0000000000000001E-3</v>
      </c>
      <c r="D10" s="167" t="s">
        <v>127</v>
      </c>
      <c r="E10" s="168"/>
      <c r="F10" s="151">
        <f t="shared" ref="F10:F11" si="5">C10*$F$3</f>
        <v>1907.635</v>
      </c>
      <c r="G10" s="101">
        <f t="shared" ref="G10:G11" si="6">C10*$G$3</f>
        <v>2021.7050000000002</v>
      </c>
      <c r="H10" s="101">
        <f t="shared" ref="H10:H11" si="7">C10*$H$3</f>
        <v>2021.7050000000002</v>
      </c>
      <c r="I10" s="101">
        <f t="shared" ref="I10:I11" si="8">C10*$I$3</f>
        <v>2021.7050000000002</v>
      </c>
      <c r="J10" s="101">
        <f t="shared" ref="J10:J11" si="9">C10*$J$3</f>
        <v>2021.7050000000002</v>
      </c>
      <c r="L10" s="81"/>
    </row>
    <row r="11" spans="2:18" ht="19.5" customHeight="1" x14ac:dyDescent="0.2">
      <c r="B11" s="91" t="s">
        <v>136</v>
      </c>
      <c r="C11" s="93">
        <f>0.1/1000</f>
        <v>1E-4</v>
      </c>
      <c r="D11" s="167" t="s">
        <v>127</v>
      </c>
      <c r="E11" s="168"/>
      <c r="F11" s="151">
        <f t="shared" si="5"/>
        <v>38.152700000000003</v>
      </c>
      <c r="G11" s="101">
        <f t="shared" si="6"/>
        <v>40.434100000000001</v>
      </c>
      <c r="H11" s="101">
        <f t="shared" si="7"/>
        <v>40.434100000000001</v>
      </c>
      <c r="I11" s="101">
        <f t="shared" si="8"/>
        <v>40.434100000000001</v>
      </c>
      <c r="J11" s="101">
        <f t="shared" si="9"/>
        <v>40.434100000000001</v>
      </c>
      <c r="L11" s="81"/>
    </row>
    <row r="12" spans="2:18" ht="19.5" customHeight="1" thickBot="1" x14ac:dyDescent="0.25">
      <c r="B12" s="94" t="s">
        <v>137</v>
      </c>
      <c r="C12" s="112">
        <v>0.4</v>
      </c>
      <c r="D12" s="173" t="s">
        <v>127</v>
      </c>
      <c r="E12" s="174"/>
      <c r="F12" s="151">
        <f>$F$3/C12</f>
        <v>953817.5</v>
      </c>
      <c r="G12" s="101">
        <f>$G$3/C12</f>
        <v>1010852.5</v>
      </c>
      <c r="H12" s="101">
        <f>$H$3/C12</f>
        <v>1010852.5</v>
      </c>
      <c r="I12" s="101">
        <f>$I$3/C12</f>
        <v>1010852.5</v>
      </c>
      <c r="J12" s="101">
        <f>$J$3/C12</f>
        <v>1010852.5</v>
      </c>
      <c r="L12" s="81"/>
    </row>
    <row r="13" spans="2:18" ht="19.5" customHeight="1" thickBot="1" x14ac:dyDescent="0.25">
      <c r="B13" s="95" t="s">
        <v>110</v>
      </c>
      <c r="C13" s="152">
        <f>SUM(C5:C9)</f>
        <v>0.17283333333333334</v>
      </c>
      <c r="D13" s="96"/>
      <c r="E13" s="108"/>
      <c r="F13" s="109"/>
      <c r="G13" s="109"/>
      <c r="H13" s="109"/>
      <c r="I13" s="109"/>
      <c r="J13" s="109"/>
      <c r="K13" s="165"/>
      <c r="L13" s="166"/>
      <c r="M13" s="166"/>
      <c r="N13" s="166"/>
      <c r="O13" s="166"/>
    </row>
    <row r="14" spans="2:18" ht="19.5" customHeight="1" thickBot="1" x14ac:dyDescent="0.25">
      <c r="B14" s="104" t="s">
        <v>109</v>
      </c>
      <c r="C14" s="105"/>
      <c r="D14" s="105"/>
      <c r="E14" s="106"/>
      <c r="F14" s="110">
        <f>SUM(F5:F11)</f>
        <v>67886.370866666664</v>
      </c>
      <c r="G14" s="102">
        <f>SUM(G5:G9)</f>
        <v>69883.602833333338</v>
      </c>
      <c r="H14" s="102">
        <f>SUM(H5:H9)</f>
        <v>69883.602833333338</v>
      </c>
      <c r="I14" s="102">
        <f>SUM(I5:I9)</f>
        <v>69883.602833333338</v>
      </c>
      <c r="J14" s="102">
        <f>SUM(J5:J9)</f>
        <v>69883.602833333338</v>
      </c>
      <c r="L14" s="107"/>
    </row>
    <row r="15" spans="2:18" ht="19.5" customHeight="1" thickBot="1" x14ac:dyDescent="0.25">
      <c r="B15" s="104" t="s">
        <v>130</v>
      </c>
      <c r="C15" s="105"/>
      <c r="D15" s="105"/>
      <c r="E15" s="106"/>
      <c r="F15" s="110">
        <f>SUM(F4)</f>
        <v>381527</v>
      </c>
      <c r="G15" s="110">
        <f>SUM(G4)</f>
        <v>404341</v>
      </c>
      <c r="H15" s="110">
        <f>SUM(H4)</f>
        <v>404341</v>
      </c>
      <c r="I15" s="110">
        <f>SUM(I4)</f>
        <v>404341</v>
      </c>
      <c r="J15" s="110">
        <f>SUM(J4)</f>
        <v>404341</v>
      </c>
      <c r="L15" s="107"/>
    </row>
    <row r="16" spans="2:18" ht="19.5" customHeight="1" thickBot="1" x14ac:dyDescent="0.25">
      <c r="B16" s="104" t="s">
        <v>138</v>
      </c>
      <c r="C16" s="105"/>
      <c r="D16" s="105"/>
      <c r="E16" s="106"/>
      <c r="F16" s="110">
        <f>+F12</f>
        <v>953817.5</v>
      </c>
      <c r="G16" s="110">
        <f t="shared" ref="G16:J16" si="10">+G12</f>
        <v>1010852.5</v>
      </c>
      <c r="H16" s="110">
        <f t="shared" si="10"/>
        <v>1010852.5</v>
      </c>
      <c r="I16" s="110">
        <f t="shared" si="10"/>
        <v>1010852.5</v>
      </c>
      <c r="J16" s="110">
        <f t="shared" si="10"/>
        <v>1010852.5</v>
      </c>
      <c r="L16" s="107"/>
    </row>
    <row r="17" spans="2:13" ht="19.5" customHeight="1" thickBot="1" x14ac:dyDescent="0.35">
      <c r="B17" s="171" t="s">
        <v>104</v>
      </c>
      <c r="C17" s="172"/>
      <c r="D17" s="172"/>
      <c r="E17" s="172"/>
      <c r="F17" s="172"/>
      <c r="G17" s="172"/>
      <c r="H17" s="172"/>
      <c r="I17" s="172"/>
      <c r="J17" s="172"/>
      <c r="L17" s="29"/>
      <c r="M17" s="122" t="s">
        <v>116</v>
      </c>
    </row>
    <row r="18" spans="2:13" ht="24.75" customHeight="1" x14ac:dyDescent="0.3">
      <c r="B18" s="97" t="s">
        <v>140</v>
      </c>
      <c r="C18" s="159"/>
      <c r="D18" s="160"/>
      <c r="E18" s="161"/>
      <c r="F18" s="35">
        <f>ROUNDUP(F4/40000/49,0)</f>
        <v>1</v>
      </c>
      <c r="G18" s="35">
        <f>ROUNDUP(G4/40000/49,0)</f>
        <v>1</v>
      </c>
      <c r="H18" s="35">
        <f>ROUNDUP(H4/40000/49,0)</f>
        <v>1</v>
      </c>
      <c r="I18" s="35">
        <f>ROUNDUP(I4/40000/49,0)</f>
        <v>1</v>
      </c>
      <c r="J18" s="35">
        <f>ROUNDUP(J4/40000/49,0)</f>
        <v>1</v>
      </c>
      <c r="M18" s="122" t="s">
        <v>117</v>
      </c>
    </row>
    <row r="19" spans="2:13" ht="24.75" customHeight="1" thickBot="1" x14ac:dyDescent="0.35">
      <c r="B19" s="94" t="s">
        <v>139</v>
      </c>
      <c r="C19" s="162"/>
      <c r="D19" s="163"/>
      <c r="E19" s="164"/>
      <c r="F19" s="98">
        <f>(F4/48/3)*1000</f>
        <v>2649493.0555555555</v>
      </c>
      <c r="G19" s="98">
        <f>(G4/48/3)*1000</f>
        <v>2807923.6111111115</v>
      </c>
      <c r="H19" s="98">
        <f>(H4/48/3)*1000</f>
        <v>2807923.6111111115</v>
      </c>
      <c r="I19" s="98">
        <f>(I4/48/3)*1000</f>
        <v>2807923.6111111115</v>
      </c>
      <c r="J19" s="98">
        <f>(J4/48/3)*1000</f>
        <v>2807923.6111111115</v>
      </c>
      <c r="M19" s="122" t="s">
        <v>118</v>
      </c>
    </row>
    <row r="20" spans="2:13" ht="24.75" customHeight="1" x14ac:dyDescent="0.3">
      <c r="B20" s="97" t="s">
        <v>105</v>
      </c>
      <c r="C20" s="159"/>
      <c r="D20" s="160"/>
      <c r="E20" s="161"/>
      <c r="F20" s="35">
        <v>1</v>
      </c>
      <c r="G20" s="35">
        <v>1</v>
      </c>
      <c r="H20" s="35">
        <v>1</v>
      </c>
      <c r="I20" s="35">
        <v>1</v>
      </c>
      <c r="J20" s="35">
        <v>1</v>
      </c>
      <c r="M20" s="122" t="s">
        <v>119</v>
      </c>
    </row>
    <row r="21" spans="2:13" ht="24.75" customHeight="1" thickBot="1" x14ac:dyDescent="0.35">
      <c r="B21" s="94" t="s">
        <v>106</v>
      </c>
      <c r="C21" s="162"/>
      <c r="D21" s="163"/>
      <c r="E21" s="164"/>
      <c r="F21" s="98">
        <f>(F6/12)*1000</f>
        <v>794847.91666666663</v>
      </c>
      <c r="G21" s="98">
        <f>(G6/12)*1000</f>
        <v>842377.08333333326</v>
      </c>
      <c r="H21" s="98">
        <f>(H6/12)*1000</f>
        <v>842377.08333333326</v>
      </c>
      <c r="I21" s="98">
        <f>(I6/12)*1000</f>
        <v>842377.08333333326</v>
      </c>
      <c r="J21" s="98">
        <f>(J6/12)*1000</f>
        <v>842377.08333333326</v>
      </c>
      <c r="M21" s="122" t="s">
        <v>120</v>
      </c>
    </row>
    <row r="22" spans="2:13" ht="24.75" customHeight="1" x14ac:dyDescent="0.3">
      <c r="B22" s="97" t="s">
        <v>107</v>
      </c>
      <c r="C22" s="159"/>
      <c r="D22" s="160"/>
      <c r="E22" s="161"/>
      <c r="F22" s="35">
        <v>1</v>
      </c>
      <c r="G22" s="35">
        <v>1</v>
      </c>
      <c r="H22" s="35">
        <v>1</v>
      </c>
      <c r="I22" s="35">
        <v>1</v>
      </c>
      <c r="J22" s="35">
        <v>1</v>
      </c>
      <c r="M22" s="122" t="s">
        <v>121</v>
      </c>
    </row>
    <row r="23" spans="2:13" ht="24.75" customHeight="1" thickBot="1" x14ac:dyDescent="0.35">
      <c r="B23" s="94" t="s">
        <v>108</v>
      </c>
      <c r="C23" s="162"/>
      <c r="D23" s="163"/>
      <c r="E23" s="164"/>
      <c r="F23" s="98">
        <f>(F7/12)*1000</f>
        <v>182815.02083333331</v>
      </c>
      <c r="G23" s="98">
        <f>(G7/12)*1000</f>
        <v>193746.72916666666</v>
      </c>
      <c r="H23" s="98">
        <f>(H7/12)*1000</f>
        <v>193746.72916666666</v>
      </c>
      <c r="I23" s="98">
        <f>(I7/12)*1000</f>
        <v>193746.72916666666</v>
      </c>
      <c r="J23" s="98">
        <f>(J7/12)*1000</f>
        <v>193746.72916666666</v>
      </c>
      <c r="M23" s="122" t="s">
        <v>122</v>
      </c>
    </row>
    <row r="24" spans="2:13" ht="35.25" customHeight="1" x14ac:dyDescent="0.3">
      <c r="M24" s="122" t="s">
        <v>123</v>
      </c>
    </row>
    <row r="25" spans="2:13" ht="35.25" customHeight="1" x14ac:dyDescent="0.3">
      <c r="M25" s="122" t="s">
        <v>124</v>
      </c>
    </row>
    <row r="26" spans="2:13" ht="35.25" customHeight="1" x14ac:dyDescent="0.2">
      <c r="M26" t="s">
        <v>125</v>
      </c>
    </row>
    <row r="27" spans="2:13" ht="35.25" customHeight="1" x14ac:dyDescent="0.2"/>
  </sheetData>
  <mergeCells count="17">
    <mergeCell ref="B2:B3"/>
    <mergeCell ref="C2:C3"/>
    <mergeCell ref="E2:E3"/>
    <mergeCell ref="D5:E5"/>
    <mergeCell ref="D4:E4"/>
    <mergeCell ref="B17:J17"/>
    <mergeCell ref="D6:E6"/>
    <mergeCell ref="D7:E7"/>
    <mergeCell ref="D8:E8"/>
    <mergeCell ref="D9:E9"/>
    <mergeCell ref="D10:E10"/>
    <mergeCell ref="D11:E11"/>
    <mergeCell ref="D12:E12"/>
    <mergeCell ref="C22:E23"/>
    <mergeCell ref="C18:E19"/>
    <mergeCell ref="K13:O13"/>
    <mergeCell ref="C20:E2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zoomScale="85" zoomScaleNormal="85" workbookViewId="0">
      <selection activeCell="H6" sqref="H6"/>
    </sheetView>
  </sheetViews>
  <sheetFormatPr baseColWidth="10" defaultColWidth="11.42578125" defaultRowHeight="12.75" x14ac:dyDescent="0.2"/>
  <cols>
    <col min="1" max="1" width="12.28515625" bestFit="1" customWidth="1"/>
    <col min="2" max="2" width="12.140625" customWidth="1"/>
    <col min="3" max="7" width="12" customWidth="1"/>
  </cols>
  <sheetData>
    <row r="1" spans="2:11" ht="13.5" thickBot="1" x14ac:dyDescent="0.25">
      <c r="B1" s="29"/>
    </row>
    <row r="2" spans="2:11" ht="15" x14ac:dyDescent="0.25">
      <c r="B2" s="181" t="s">
        <v>93</v>
      </c>
      <c r="C2" s="182"/>
      <c r="D2" s="182"/>
      <c r="E2" s="182"/>
      <c r="F2" s="182"/>
      <c r="G2" s="182"/>
    </row>
    <row r="3" spans="2:11" ht="15" x14ac:dyDescent="0.2">
      <c r="B3" s="82" t="s">
        <v>33</v>
      </c>
      <c r="C3" s="83">
        <v>2018</v>
      </c>
      <c r="D3" s="83">
        <v>2019</v>
      </c>
      <c r="E3" s="83">
        <v>2020</v>
      </c>
      <c r="F3" s="83">
        <v>2021</v>
      </c>
      <c r="G3" s="83">
        <v>2022</v>
      </c>
    </row>
    <row r="4" spans="2:11" ht="15.75" thickBot="1" x14ac:dyDescent="0.25">
      <c r="B4" s="231"/>
      <c r="C4" s="232">
        <v>1</v>
      </c>
      <c r="D4" s="232">
        <v>2</v>
      </c>
      <c r="E4" s="232">
        <v>3</v>
      </c>
      <c r="F4" s="232">
        <v>4</v>
      </c>
      <c r="G4" s="232">
        <v>5</v>
      </c>
    </row>
    <row r="5" spans="2:11" ht="35.25" customHeight="1" x14ac:dyDescent="0.2">
      <c r="B5" s="233" t="s">
        <v>114</v>
      </c>
      <c r="C5" s="234">
        <v>381527</v>
      </c>
      <c r="D5" s="234">
        <v>404341</v>
      </c>
      <c r="E5" s="234">
        <v>404341</v>
      </c>
      <c r="F5" s="234">
        <v>404341</v>
      </c>
      <c r="G5" s="235">
        <v>404341</v>
      </c>
    </row>
    <row r="6" spans="2:11" ht="45.75" customHeight="1" x14ac:dyDescent="0.2">
      <c r="B6" s="84" t="s">
        <v>115</v>
      </c>
      <c r="C6" s="85">
        <f>+C5/0.4</f>
        <v>953817.5</v>
      </c>
      <c r="D6" s="85">
        <f t="shared" ref="D6:G6" si="0">+D5/0.4</f>
        <v>1010852.5</v>
      </c>
      <c r="E6" s="85">
        <f t="shared" si="0"/>
        <v>1010852.5</v>
      </c>
      <c r="F6" s="85">
        <f t="shared" si="0"/>
        <v>1010852.5</v>
      </c>
      <c r="G6" s="236">
        <f t="shared" si="0"/>
        <v>1010852.5</v>
      </c>
      <c r="I6" s="12"/>
    </row>
    <row r="7" spans="2:11" ht="33.75" customHeight="1" x14ac:dyDescent="0.2">
      <c r="B7" s="84" t="s">
        <v>85</v>
      </c>
      <c r="C7" s="85">
        <v>41.67</v>
      </c>
      <c r="D7" s="85">
        <v>41.67</v>
      </c>
      <c r="E7" s="85">
        <v>41.67</v>
      </c>
      <c r="F7" s="85">
        <v>41.67</v>
      </c>
      <c r="G7" s="236">
        <v>41.67</v>
      </c>
      <c r="H7" s="230"/>
      <c r="I7" s="183"/>
      <c r="J7" s="183"/>
      <c r="K7" s="183"/>
    </row>
    <row r="8" spans="2:11" ht="46.5" customHeight="1" thickBot="1" x14ac:dyDescent="0.25">
      <c r="B8" s="86" t="s">
        <v>45</v>
      </c>
      <c r="C8" s="87">
        <f>+C7*C6/1000</f>
        <v>39745.575225000001</v>
      </c>
      <c r="D8" s="87">
        <f t="shared" ref="D8:G8" si="1">+D7*D6/1000</f>
        <v>42122.223675000001</v>
      </c>
      <c r="E8" s="87">
        <f t="shared" si="1"/>
        <v>42122.223675000001</v>
      </c>
      <c r="F8" s="87">
        <f t="shared" si="1"/>
        <v>42122.223675000001</v>
      </c>
      <c r="G8" s="237">
        <f t="shared" si="1"/>
        <v>42122.223675000001</v>
      </c>
    </row>
  </sheetData>
  <mergeCells count="2">
    <mergeCell ref="B2:G2"/>
    <mergeCell ref="H7:K7"/>
  </mergeCells>
  <phoneticPr fontId="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I12" sqref="I12"/>
    </sheetView>
  </sheetViews>
  <sheetFormatPr baseColWidth="10" defaultColWidth="11.42578125" defaultRowHeight="15" x14ac:dyDescent="0.25"/>
  <cols>
    <col min="1" max="1" width="11.42578125" style="13"/>
    <col min="2" max="12" width="12.5703125" style="13" customWidth="1"/>
    <col min="13" max="16384" width="11.42578125" style="13"/>
  </cols>
  <sheetData>
    <row r="3" spans="2:12" x14ac:dyDescent="0.25">
      <c r="B3" s="14" t="s">
        <v>33</v>
      </c>
      <c r="C3" s="14">
        <v>2016</v>
      </c>
      <c r="D3" s="14">
        <v>2017</v>
      </c>
      <c r="E3" s="14">
        <v>2018</v>
      </c>
      <c r="F3" s="14">
        <v>2019</v>
      </c>
      <c r="G3" s="14">
        <v>2020</v>
      </c>
      <c r="H3" s="14">
        <v>2021</v>
      </c>
      <c r="I3" s="14">
        <v>2022</v>
      </c>
      <c r="J3" s="14">
        <v>2023</v>
      </c>
      <c r="K3" s="14">
        <v>2024</v>
      </c>
      <c r="L3" s="14">
        <v>2025</v>
      </c>
    </row>
    <row r="4" spans="2:12" x14ac:dyDescent="0.25">
      <c r="B4" s="14"/>
      <c r="C4" s="14">
        <v>1</v>
      </c>
      <c r="D4" s="14">
        <v>2</v>
      </c>
      <c r="E4" s="14">
        <v>3</v>
      </c>
      <c r="F4" s="14">
        <v>4</v>
      </c>
      <c r="G4" s="14">
        <v>5</v>
      </c>
      <c r="H4" s="14">
        <v>6</v>
      </c>
      <c r="I4" s="14">
        <v>7</v>
      </c>
      <c r="J4" s="14">
        <v>8</v>
      </c>
      <c r="K4" s="14">
        <v>9</v>
      </c>
      <c r="L4" s="14">
        <v>10</v>
      </c>
    </row>
    <row r="5" spans="2:12" ht="30" x14ac:dyDescent="0.25">
      <c r="B5" s="27" t="s">
        <v>43</v>
      </c>
      <c r="C5" s="14">
        <v>801.04537050235842</v>
      </c>
      <c r="D5" s="14">
        <v>1869.1058645055032</v>
      </c>
      <c r="E5" s="14">
        <v>3115.1764408425056</v>
      </c>
      <c r="F5" s="14">
        <v>3893.9705510531317</v>
      </c>
      <c r="G5" s="14">
        <v>4326.6339456145906</v>
      </c>
      <c r="H5" s="14">
        <v>4554.3515216995693</v>
      </c>
      <c r="I5" s="14">
        <v>4554.3515216995693</v>
      </c>
      <c r="J5" s="14">
        <v>4554.3515216995693</v>
      </c>
      <c r="K5" s="14">
        <v>4554.3515216995693</v>
      </c>
      <c r="L5" s="14">
        <v>4554.3515216995693</v>
      </c>
    </row>
    <row r="6" spans="2:12" ht="45" x14ac:dyDescent="0.25">
      <c r="B6" s="27" t="s">
        <v>44</v>
      </c>
      <c r="C6" s="26">
        <v>278140.75364665221</v>
      </c>
      <c r="D6" s="26">
        <v>648995.09184218862</v>
      </c>
      <c r="E6" s="26">
        <v>1081658.4864036478</v>
      </c>
      <c r="F6" s="26">
        <v>1352073.1080045595</v>
      </c>
      <c r="G6" s="26">
        <v>1502303.4533383995</v>
      </c>
      <c r="H6" s="26">
        <v>1581372.0561456839</v>
      </c>
      <c r="I6" s="26">
        <v>1581372.0561456839</v>
      </c>
      <c r="J6" s="26">
        <v>1581372.0561456839</v>
      </c>
      <c r="K6" s="26">
        <v>1581372.0561456839</v>
      </c>
      <c r="L6" s="26">
        <v>1581372.0561456839</v>
      </c>
    </row>
    <row r="7" spans="2:12" ht="45" x14ac:dyDescent="0.25">
      <c r="B7" s="27" t="s">
        <v>45</v>
      </c>
      <c r="C7" s="28">
        <v>20151.297601699953</v>
      </c>
      <c r="D7" s="28">
        <v>47019.694403966569</v>
      </c>
      <c r="E7" s="28">
        <v>78366.157339944286</v>
      </c>
      <c r="F7" s="28">
        <v>97957.696674930354</v>
      </c>
      <c r="G7" s="28">
        <v>108841.88519436705</v>
      </c>
      <c r="H7" s="28">
        <v>114570.4054677548</v>
      </c>
      <c r="I7" s="28">
        <v>114570.4054677548</v>
      </c>
      <c r="J7" s="28">
        <v>114570.4054677548</v>
      </c>
      <c r="K7" s="28">
        <v>114570.4054677548</v>
      </c>
      <c r="L7" s="28">
        <v>114570.4054677548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31"/>
  <sheetViews>
    <sheetView zoomScale="85" zoomScaleNormal="85" workbookViewId="0">
      <selection activeCell="C18" sqref="C18"/>
    </sheetView>
  </sheetViews>
  <sheetFormatPr baseColWidth="10" defaultColWidth="11.42578125" defaultRowHeight="15" x14ac:dyDescent="0.25"/>
  <cols>
    <col min="1" max="1" width="11.42578125" style="15"/>
    <col min="2" max="2" width="3.7109375" style="15" customWidth="1"/>
    <col min="3" max="3" width="24.28515625" style="15" customWidth="1"/>
    <col min="4" max="4" width="11.42578125" style="15" customWidth="1"/>
    <col min="5" max="5" width="7.140625" style="15" bestFit="1" customWidth="1"/>
    <col min="6" max="6" width="11.42578125" style="15"/>
    <col min="7" max="7" width="8" style="15" customWidth="1"/>
    <col min="8" max="8" width="16.28515625" style="15" customWidth="1"/>
    <col min="9" max="9" width="10.140625" style="15" bestFit="1" customWidth="1"/>
    <col min="10" max="10" width="10.5703125" style="15" customWidth="1"/>
    <col min="11" max="11" width="12.85546875" style="15" customWidth="1"/>
    <col min="12" max="12" width="7.140625" style="15" bestFit="1" customWidth="1"/>
    <col min="13" max="13" width="11.42578125" style="15"/>
    <col min="14" max="14" width="15.42578125" style="15" bestFit="1" customWidth="1"/>
    <col min="15" max="17" width="11.42578125" style="15"/>
    <col min="18" max="18" width="9.85546875" style="15" customWidth="1"/>
    <col min="19" max="19" width="14" style="15" customWidth="1"/>
    <col min="20" max="16384" width="11.42578125" style="15"/>
  </cols>
  <sheetData>
    <row r="2" spans="3:19" x14ac:dyDescent="0.25">
      <c r="F2" s="199" t="s">
        <v>156</v>
      </c>
      <c r="G2" s="199"/>
    </row>
    <row r="3" spans="3:19" ht="38.25" customHeight="1" x14ac:dyDescent="0.25">
      <c r="C3" s="186" t="s">
        <v>60</v>
      </c>
      <c r="D3" s="186" t="s">
        <v>59</v>
      </c>
      <c r="E3" s="186"/>
      <c r="F3" s="200" t="s">
        <v>58</v>
      </c>
      <c r="G3" s="201"/>
      <c r="H3" s="201"/>
      <c r="I3" s="202"/>
      <c r="J3" s="189" t="s">
        <v>76</v>
      </c>
      <c r="K3" s="192" t="s">
        <v>57</v>
      </c>
      <c r="L3" s="193"/>
      <c r="N3" s="15">
        <f>0.28*1.5</f>
        <v>0.42000000000000004</v>
      </c>
      <c r="O3" s="15">
        <f>0.28*2</f>
        <v>0.56000000000000005</v>
      </c>
    </row>
    <row r="4" spans="3:19" x14ac:dyDescent="0.25">
      <c r="C4" s="186"/>
      <c r="D4" s="186" t="s">
        <v>56</v>
      </c>
      <c r="E4" s="186"/>
      <c r="F4" s="203"/>
      <c r="G4" s="204"/>
      <c r="H4" s="204"/>
      <c r="I4" s="205"/>
      <c r="J4" s="190"/>
      <c r="K4" s="194"/>
      <c r="L4" s="195"/>
    </row>
    <row r="5" spans="3:19" x14ac:dyDescent="0.25">
      <c r="C5" s="186"/>
      <c r="D5" s="186" t="s">
        <v>53</v>
      </c>
      <c r="E5" s="186"/>
      <c r="F5" s="187" t="s">
        <v>55</v>
      </c>
      <c r="G5" s="188"/>
      <c r="H5" s="187" t="s">
        <v>54</v>
      </c>
      <c r="I5" s="188"/>
      <c r="J5" s="191"/>
      <c r="K5" s="196"/>
      <c r="L5" s="197"/>
      <c r="N5" s="15">
        <f>H6/250</f>
        <v>9.2240339031871414</v>
      </c>
    </row>
    <row r="6" spans="3:19" x14ac:dyDescent="0.25">
      <c r="C6" s="16" t="s">
        <v>146</v>
      </c>
      <c r="D6" s="48">
        <f t="shared" ref="D6:D10" si="0">K6+H6</f>
        <v>411787.22782084998</v>
      </c>
      <c r="E6" s="17" t="s">
        <v>145</v>
      </c>
      <c r="F6" s="44"/>
      <c r="G6" s="17" t="s">
        <v>145</v>
      </c>
      <c r="H6" s="124">
        <f t="shared" ref="H6:H10" si="1">(K6/(1-J6))-K6</f>
        <v>2306.0084757967852</v>
      </c>
      <c r="I6" s="17" t="s">
        <v>145</v>
      </c>
      <c r="J6" s="32">
        <v>5.5999999999999999E-3</v>
      </c>
      <c r="K6" s="47">
        <f t="shared" ref="K6:K9" si="2">D7</f>
        <v>409481.21934505319</v>
      </c>
      <c r="L6" s="17" t="s">
        <v>145</v>
      </c>
      <c r="N6" s="15">
        <f>4*250</f>
        <v>1000</v>
      </c>
    </row>
    <row r="7" spans="3:19" x14ac:dyDescent="0.25">
      <c r="C7" s="16" t="s">
        <v>147</v>
      </c>
      <c r="D7" s="48">
        <f t="shared" si="0"/>
        <v>409481.21934505319</v>
      </c>
      <c r="E7" s="17" t="s">
        <v>145</v>
      </c>
      <c r="F7" s="44"/>
      <c r="G7" s="17" t="s">
        <v>145</v>
      </c>
      <c r="H7" s="124">
        <f t="shared" si="1"/>
        <v>2293.0948283323087</v>
      </c>
      <c r="I7" s="17" t="s">
        <v>145</v>
      </c>
      <c r="J7" s="32">
        <v>5.5999999999999999E-3</v>
      </c>
      <c r="K7" s="47">
        <f>D8</f>
        <v>407188.12451672088</v>
      </c>
      <c r="L7" s="17" t="s">
        <v>145</v>
      </c>
      <c r="N7" s="123" t="s">
        <v>151</v>
      </c>
    </row>
    <row r="8" spans="3:19" x14ac:dyDescent="0.25">
      <c r="C8" s="16" t="s">
        <v>148</v>
      </c>
      <c r="D8" s="48">
        <f t="shared" si="0"/>
        <v>407188.12451672088</v>
      </c>
      <c r="E8" s="17" t="s">
        <v>145</v>
      </c>
      <c r="F8" s="44"/>
      <c r="G8" s="17" t="s">
        <v>145</v>
      </c>
      <c r="H8" s="124">
        <f t="shared" si="1"/>
        <v>2280.2534972936846</v>
      </c>
      <c r="I8" s="17" t="s">
        <v>145</v>
      </c>
      <c r="J8" s="32">
        <v>5.5999999999999999E-3</v>
      </c>
      <c r="K8" s="47">
        <f t="shared" si="2"/>
        <v>404907.8710194272</v>
      </c>
      <c r="L8" s="17" t="s">
        <v>145</v>
      </c>
      <c r="N8" s="54"/>
    </row>
    <row r="9" spans="3:19" x14ac:dyDescent="0.25">
      <c r="C9" s="16" t="s">
        <v>149</v>
      </c>
      <c r="D9" s="48">
        <f t="shared" si="0"/>
        <v>404907.8710194272</v>
      </c>
      <c r="E9" s="17" t="s">
        <v>145</v>
      </c>
      <c r="F9" s="44"/>
      <c r="G9" s="17" t="s">
        <v>145</v>
      </c>
      <c r="H9" s="124">
        <f t="shared" si="1"/>
        <v>566.87101942719892</v>
      </c>
      <c r="I9" s="17" t="s">
        <v>145</v>
      </c>
      <c r="J9" s="32">
        <v>1.4E-3</v>
      </c>
      <c r="K9" s="47">
        <f t="shared" si="2"/>
        <v>404341</v>
      </c>
      <c r="L9" s="17" t="s">
        <v>145</v>
      </c>
      <c r="N9" s="54"/>
    </row>
    <row r="10" spans="3:19" x14ac:dyDescent="0.25">
      <c r="C10" s="16" t="s">
        <v>150</v>
      </c>
      <c r="D10" s="48">
        <f t="shared" si="0"/>
        <v>404341</v>
      </c>
      <c r="E10" s="17" t="s">
        <v>145</v>
      </c>
      <c r="F10" s="44"/>
      <c r="G10" s="17" t="s">
        <v>145</v>
      </c>
      <c r="H10" s="124">
        <f t="shared" si="1"/>
        <v>0</v>
      </c>
      <c r="I10" s="17" t="s">
        <v>145</v>
      </c>
      <c r="J10" s="31">
        <v>0</v>
      </c>
      <c r="K10" s="47">
        <v>404341</v>
      </c>
      <c r="L10" s="17" t="s">
        <v>145</v>
      </c>
      <c r="N10" s="54"/>
    </row>
    <row r="11" spans="3:19" x14ac:dyDescent="0.25">
      <c r="C11" s="42" t="s">
        <v>52</v>
      </c>
      <c r="D11" s="49">
        <f>K11+H11</f>
        <v>411787.22782084998</v>
      </c>
      <c r="E11" s="43" t="s">
        <v>145</v>
      </c>
      <c r="F11" s="45">
        <v>0</v>
      </c>
      <c r="G11" s="43" t="s">
        <v>145</v>
      </c>
      <c r="H11" s="49">
        <f>SUM(H6:H10)</f>
        <v>7446.2278208499774</v>
      </c>
      <c r="I11" s="43" t="s">
        <v>145</v>
      </c>
      <c r="J11" s="53">
        <f>D11/K11-1</f>
        <v>1.8415713026504799E-2</v>
      </c>
      <c r="K11" s="49">
        <f>+PV!D5</f>
        <v>404341</v>
      </c>
      <c r="L11" s="43" t="s">
        <v>145</v>
      </c>
      <c r="N11" s="198" t="s">
        <v>101</v>
      </c>
      <c r="O11" s="198"/>
      <c r="P11" s="198"/>
      <c r="Q11" s="198"/>
      <c r="R11" s="65"/>
      <c r="S11" s="103"/>
    </row>
    <row r="12" spans="3:19" x14ac:dyDescent="0.25">
      <c r="D12" s="184" t="s">
        <v>51</v>
      </c>
      <c r="E12" s="184"/>
      <c r="F12" s="184"/>
      <c r="G12" s="184"/>
      <c r="H12" s="184"/>
      <c r="I12" s="50">
        <f>D11</f>
        <v>411787.22782084998</v>
      </c>
      <c r="J12" s="41" t="s">
        <v>145</v>
      </c>
      <c r="M12" s="34"/>
    </row>
    <row r="13" spans="3:19" x14ac:dyDescent="0.25">
      <c r="D13" s="185" t="s">
        <v>50</v>
      </c>
      <c r="E13" s="185"/>
      <c r="F13" s="185"/>
      <c r="G13" s="185"/>
      <c r="H13" s="185"/>
      <c r="I13" s="51">
        <f>+D6</f>
        <v>411787.22782084998</v>
      </c>
      <c r="J13" s="18" t="s">
        <v>145</v>
      </c>
      <c r="N13" s="136">
        <f>+K11/'ej 2'!D10</f>
        <v>1700.9537259615383</v>
      </c>
    </row>
    <row r="14" spans="3:19" x14ac:dyDescent="0.25">
      <c r="D14" s="185" t="s">
        <v>48</v>
      </c>
      <c r="E14" s="185"/>
      <c r="F14" s="185"/>
      <c r="G14" s="185"/>
      <c r="H14" s="185"/>
      <c r="I14" s="46">
        <f>J11</f>
        <v>1.8415713026504799E-2</v>
      </c>
      <c r="J14" s="52">
        <f>J15</f>
        <v>7446.2278208499765</v>
      </c>
      <c r="K14" s="30" t="s">
        <v>145</v>
      </c>
    </row>
    <row r="15" spans="3:19" x14ac:dyDescent="0.25">
      <c r="D15" s="185" t="s">
        <v>47</v>
      </c>
      <c r="E15" s="185"/>
      <c r="F15" s="185"/>
      <c r="G15" s="185"/>
      <c r="H15" s="185"/>
      <c r="I15" s="46">
        <f>I14</f>
        <v>1.8415713026504799E-2</v>
      </c>
      <c r="J15" s="51">
        <f>J11*K11</f>
        <v>7446.2278208499765</v>
      </c>
      <c r="K15" s="30" t="s">
        <v>145</v>
      </c>
      <c r="M15" s="15">
        <f>+D6/4</f>
        <v>102946.80695521249</v>
      </c>
    </row>
    <row r="16" spans="3:19" x14ac:dyDescent="0.25">
      <c r="M16" s="15">
        <f>+M15/2</f>
        <v>51473.403477606247</v>
      </c>
    </row>
    <row r="18" spans="3:19" x14ac:dyDescent="0.25">
      <c r="F18" s="199" t="s">
        <v>0</v>
      </c>
      <c r="G18" s="199"/>
    </row>
    <row r="19" spans="3:19" ht="38.25" customHeight="1" x14ac:dyDescent="0.25">
      <c r="C19" s="186" t="s">
        <v>60</v>
      </c>
      <c r="D19" s="186" t="s">
        <v>59</v>
      </c>
      <c r="E19" s="186"/>
      <c r="F19" s="200" t="s">
        <v>58</v>
      </c>
      <c r="G19" s="201"/>
      <c r="H19" s="201"/>
      <c r="I19" s="202"/>
      <c r="J19" s="189" t="s">
        <v>76</v>
      </c>
      <c r="K19" s="192" t="s">
        <v>57</v>
      </c>
      <c r="L19" s="193"/>
      <c r="N19" s="15">
        <f>0.28*1.5</f>
        <v>0.42000000000000004</v>
      </c>
      <c r="O19" s="15">
        <f>0.28*2</f>
        <v>0.56000000000000005</v>
      </c>
    </row>
    <row r="20" spans="3:19" x14ac:dyDescent="0.25">
      <c r="C20" s="186"/>
      <c r="D20" s="186" t="s">
        <v>56</v>
      </c>
      <c r="E20" s="186"/>
      <c r="F20" s="203"/>
      <c r="G20" s="204"/>
      <c r="H20" s="204"/>
      <c r="I20" s="205"/>
      <c r="J20" s="190"/>
      <c r="K20" s="194"/>
      <c r="L20" s="195"/>
    </row>
    <row r="21" spans="3:19" x14ac:dyDescent="0.25">
      <c r="C21" s="186"/>
      <c r="D21" s="186" t="s">
        <v>53</v>
      </c>
      <c r="E21" s="186"/>
      <c r="F21" s="187" t="s">
        <v>55</v>
      </c>
      <c r="G21" s="188"/>
      <c r="H21" s="187" t="s">
        <v>54</v>
      </c>
      <c r="I21" s="188"/>
      <c r="J21" s="191"/>
      <c r="K21" s="196"/>
      <c r="L21" s="197"/>
      <c r="N21" s="15">
        <f>H22/250</f>
        <v>8.7628322080278309</v>
      </c>
    </row>
    <row r="22" spans="3:19" x14ac:dyDescent="0.25">
      <c r="C22" s="16" t="s">
        <v>146</v>
      </c>
      <c r="D22" s="48">
        <f t="shared" ref="D22:D26" si="3">K22+H22</f>
        <v>391197.86642980739</v>
      </c>
      <c r="E22" s="17" t="s">
        <v>145</v>
      </c>
      <c r="F22" s="44"/>
      <c r="G22" s="17" t="s">
        <v>145</v>
      </c>
      <c r="H22" s="124">
        <f t="shared" ref="H22:H26" si="4">(K22/(1-J22))-K22</f>
        <v>2190.7080520069576</v>
      </c>
      <c r="I22" s="17" t="s">
        <v>145</v>
      </c>
      <c r="J22" s="32">
        <v>5.5999999999999999E-3</v>
      </c>
      <c r="K22" s="47">
        <f t="shared" ref="K22" si="5">D23</f>
        <v>389007.15837780043</v>
      </c>
      <c r="L22" s="17" t="s">
        <v>145</v>
      </c>
      <c r="N22" s="15">
        <f>4*250</f>
        <v>1000</v>
      </c>
    </row>
    <row r="23" spans="3:19" x14ac:dyDescent="0.25">
      <c r="C23" s="16" t="s">
        <v>147</v>
      </c>
      <c r="D23" s="48">
        <f t="shared" si="3"/>
        <v>389007.15837780043</v>
      </c>
      <c r="E23" s="17" t="s">
        <v>145</v>
      </c>
      <c r="F23" s="44"/>
      <c r="G23" s="17" t="s">
        <v>145</v>
      </c>
      <c r="H23" s="124">
        <f t="shared" si="4"/>
        <v>2178.4400869156816</v>
      </c>
      <c r="I23" s="17" t="s">
        <v>145</v>
      </c>
      <c r="J23" s="32">
        <v>5.5999999999999999E-3</v>
      </c>
      <c r="K23" s="47">
        <f>D24</f>
        <v>386828.71829088475</v>
      </c>
      <c r="L23" s="17" t="s">
        <v>145</v>
      </c>
      <c r="N23" s="123" t="s">
        <v>151</v>
      </c>
    </row>
    <row r="24" spans="3:19" x14ac:dyDescent="0.25">
      <c r="C24" s="16" t="s">
        <v>148</v>
      </c>
      <c r="D24" s="48">
        <f t="shared" si="3"/>
        <v>386828.71829088475</v>
      </c>
      <c r="E24" s="17" t="s">
        <v>145</v>
      </c>
      <c r="F24" s="44"/>
      <c r="G24" s="17" t="s">
        <v>145</v>
      </c>
      <c r="H24" s="124">
        <f t="shared" si="4"/>
        <v>2166.2408224289538</v>
      </c>
      <c r="I24" s="17" t="s">
        <v>145</v>
      </c>
      <c r="J24" s="32">
        <v>5.5999999999999999E-3</v>
      </c>
      <c r="K24" s="47">
        <f t="shared" ref="K24" si="6">D25</f>
        <v>384662.47746845579</v>
      </c>
      <c r="L24" s="17" t="s">
        <v>145</v>
      </c>
      <c r="N24" s="54"/>
    </row>
    <row r="25" spans="3:19" x14ac:dyDescent="0.25">
      <c r="C25" s="16" t="s">
        <v>149</v>
      </c>
      <c r="D25" s="48">
        <f t="shared" si="3"/>
        <v>384662.47746845579</v>
      </c>
      <c r="E25" s="17" t="s">
        <v>145</v>
      </c>
      <c r="F25" s="44"/>
      <c r="G25" s="17" t="s">
        <v>145</v>
      </c>
      <c r="H25" s="124">
        <f t="shared" si="4"/>
        <v>538.52746845583897</v>
      </c>
      <c r="I25" s="17" t="s">
        <v>145</v>
      </c>
      <c r="J25" s="32">
        <v>1.4E-3</v>
      </c>
      <c r="K25" s="47">
        <v>384123.94999999995</v>
      </c>
      <c r="L25" s="17" t="s">
        <v>145</v>
      </c>
      <c r="N25" s="54"/>
    </row>
    <row r="26" spans="3:19" x14ac:dyDescent="0.25">
      <c r="C26" s="16" t="s">
        <v>150</v>
      </c>
      <c r="D26" s="48">
        <f t="shared" si="3"/>
        <v>384123.94999999995</v>
      </c>
      <c r="E26" s="17" t="s">
        <v>145</v>
      </c>
      <c r="F26" s="44"/>
      <c r="G26" s="17" t="s">
        <v>145</v>
      </c>
      <c r="H26" s="124">
        <f t="shared" si="4"/>
        <v>0</v>
      </c>
      <c r="I26" s="17" t="s">
        <v>145</v>
      </c>
      <c r="J26" s="31">
        <v>0</v>
      </c>
      <c r="K26" s="47">
        <v>384123.94999999995</v>
      </c>
      <c r="L26" s="17" t="s">
        <v>145</v>
      </c>
      <c r="N26" s="54"/>
    </row>
    <row r="27" spans="3:19" x14ac:dyDescent="0.25">
      <c r="C27" s="42" t="s">
        <v>52</v>
      </c>
      <c r="D27" s="49">
        <f>K27+H27</f>
        <v>388600.91642980743</v>
      </c>
      <c r="E27" s="43" t="s">
        <v>145</v>
      </c>
      <c r="F27" s="45">
        <v>0</v>
      </c>
      <c r="G27" s="43" t="s">
        <v>145</v>
      </c>
      <c r="H27" s="49">
        <f>SUM(H22:H26)</f>
        <v>7073.916429807432</v>
      </c>
      <c r="I27" s="43" t="s">
        <v>145</v>
      </c>
      <c r="J27" s="53">
        <f>D27/K27-1</f>
        <v>1.8541063751208675E-2</v>
      </c>
      <c r="K27" s="49">
        <f>+PV!C5</f>
        <v>381527</v>
      </c>
      <c r="L27" s="43" t="s">
        <v>145</v>
      </c>
      <c r="N27" s="198" t="s">
        <v>101</v>
      </c>
      <c r="O27" s="198"/>
      <c r="P27" s="198"/>
      <c r="Q27" s="198"/>
      <c r="R27" s="65"/>
      <c r="S27" s="103"/>
    </row>
    <row r="28" spans="3:19" x14ac:dyDescent="0.25">
      <c r="D28" s="184" t="s">
        <v>51</v>
      </c>
      <c r="E28" s="184"/>
      <c r="F28" s="184"/>
      <c r="G28" s="184"/>
      <c r="H28" s="184"/>
      <c r="I28" s="50">
        <f>D27</f>
        <v>388600.91642980743</v>
      </c>
      <c r="J28" s="41" t="s">
        <v>145</v>
      </c>
      <c r="M28" s="34"/>
    </row>
    <row r="29" spans="3:19" x14ac:dyDescent="0.25">
      <c r="D29" s="185" t="s">
        <v>50</v>
      </c>
      <c r="E29" s="185"/>
      <c r="F29" s="185"/>
      <c r="G29" s="185"/>
      <c r="H29" s="185"/>
      <c r="I29" s="51">
        <f>+D22</f>
        <v>391197.86642980739</v>
      </c>
      <c r="J29" s="18" t="s">
        <v>145</v>
      </c>
      <c r="N29" s="15">
        <f>+K27/'ej 2'!D10</f>
        <v>1604.9813701923076</v>
      </c>
    </row>
    <row r="30" spans="3:19" x14ac:dyDescent="0.25">
      <c r="D30" s="185" t="s">
        <v>48</v>
      </c>
      <c r="E30" s="185"/>
      <c r="F30" s="185"/>
      <c r="G30" s="185"/>
      <c r="H30" s="185"/>
      <c r="I30" s="46">
        <f>J27</f>
        <v>1.8541063751208675E-2</v>
      </c>
      <c r="J30" s="52">
        <f>J31</f>
        <v>7073.916429807392</v>
      </c>
      <c r="K30" s="30" t="s">
        <v>145</v>
      </c>
    </row>
    <row r="31" spans="3:19" x14ac:dyDescent="0.25">
      <c r="D31" s="185" t="s">
        <v>47</v>
      </c>
      <c r="E31" s="185"/>
      <c r="F31" s="185"/>
      <c r="G31" s="185"/>
      <c r="H31" s="185"/>
      <c r="I31" s="46">
        <f>I30</f>
        <v>1.8541063751208675E-2</v>
      </c>
      <c r="J31" s="51">
        <f>J27*K27</f>
        <v>7073.916429807392</v>
      </c>
      <c r="K31" s="30" t="s">
        <v>145</v>
      </c>
    </row>
  </sheetData>
  <mergeCells count="26">
    <mergeCell ref="N11:Q11"/>
    <mergeCell ref="F19:I20"/>
    <mergeCell ref="F18:G18"/>
    <mergeCell ref="F21:G21"/>
    <mergeCell ref="K3:L5"/>
    <mergeCell ref="J3:J5"/>
    <mergeCell ref="C19:C21"/>
    <mergeCell ref="F2:G2"/>
    <mergeCell ref="C3:C5"/>
    <mergeCell ref="D3:E5"/>
    <mergeCell ref="F3:I4"/>
    <mergeCell ref="F5:G5"/>
    <mergeCell ref="H5:I5"/>
    <mergeCell ref="D12:H12"/>
    <mergeCell ref="D13:H13"/>
    <mergeCell ref="D14:H14"/>
    <mergeCell ref="D15:H15"/>
    <mergeCell ref="D30:H30"/>
    <mergeCell ref="D31:H31"/>
    <mergeCell ref="D19:E21"/>
    <mergeCell ref="H21:I21"/>
    <mergeCell ref="J19:J21"/>
    <mergeCell ref="K19:L21"/>
    <mergeCell ref="N27:Q27"/>
    <mergeCell ref="D28:H28"/>
    <mergeCell ref="D29:H29"/>
  </mergeCells>
  <phoneticPr fontId="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1"/>
  <sheetViews>
    <sheetView workbookViewId="0">
      <selection activeCell="I13" sqref="I13"/>
    </sheetView>
  </sheetViews>
  <sheetFormatPr baseColWidth="10" defaultColWidth="11.42578125" defaultRowHeight="15" x14ac:dyDescent="0.25"/>
  <cols>
    <col min="1" max="2" width="11.42578125" style="13"/>
    <col min="3" max="3" width="27.7109375" style="58" customWidth="1"/>
    <col min="4" max="4" width="18" style="13" customWidth="1"/>
    <col min="5" max="5" width="14.42578125" style="13" customWidth="1"/>
    <col min="6" max="16384" width="11.42578125" style="13"/>
  </cols>
  <sheetData>
    <row r="3" spans="2:5" ht="15" customHeight="1" x14ac:dyDescent="0.25">
      <c r="B3" s="37"/>
      <c r="C3" s="206" t="s">
        <v>86</v>
      </c>
      <c r="D3" s="127" t="s">
        <v>152</v>
      </c>
      <c r="E3" s="128" t="s">
        <v>87</v>
      </c>
    </row>
    <row r="4" spans="2:5" x14ac:dyDescent="0.25">
      <c r="C4" s="206"/>
      <c r="D4" s="129" t="s">
        <v>90</v>
      </c>
      <c r="E4" s="130" t="s">
        <v>91</v>
      </c>
    </row>
    <row r="5" spans="2:5" x14ac:dyDescent="0.25">
      <c r="C5" s="71" t="s">
        <v>94</v>
      </c>
      <c r="D5" s="14">
        <v>365</v>
      </c>
      <c r="E5" s="14">
        <v>365</v>
      </c>
    </row>
    <row r="6" spans="2:5" x14ac:dyDescent="0.25">
      <c r="C6" s="71" t="s">
        <v>88</v>
      </c>
      <c r="D6" s="26">
        <f>5*D5/7</f>
        <v>260.71428571428572</v>
      </c>
      <c r="E6" s="38" t="s">
        <v>79</v>
      </c>
    </row>
    <row r="7" spans="2:5" x14ac:dyDescent="0.25">
      <c r="C7" s="71" t="s">
        <v>89</v>
      </c>
      <c r="D7" s="38" t="s">
        <v>79</v>
      </c>
      <c r="E7" s="26">
        <f>6*E5/7</f>
        <v>312.85714285714283</v>
      </c>
    </row>
    <row r="8" spans="2:5" ht="15" customHeight="1" x14ac:dyDescent="0.25">
      <c r="C8" s="71" t="s">
        <v>95</v>
      </c>
      <c r="D8" s="38">
        <v>8</v>
      </c>
      <c r="E8" s="26">
        <v>8</v>
      </c>
    </row>
    <row r="9" spans="2:5" x14ac:dyDescent="0.25">
      <c r="C9" s="71" t="s">
        <v>96</v>
      </c>
      <c r="D9" s="14">
        <v>15</v>
      </c>
      <c r="E9" s="14">
        <v>15</v>
      </c>
    </row>
    <row r="10" spans="2:5" x14ac:dyDescent="0.25">
      <c r="C10" s="71" t="s">
        <v>92</v>
      </c>
      <c r="D10" s="68">
        <f>D6-D8-D9</f>
        <v>237.71428571428572</v>
      </c>
      <c r="E10" s="68">
        <f>E7-E8-E9</f>
        <v>289.85714285714283</v>
      </c>
    </row>
    <row r="11" spans="2:5" x14ac:dyDescent="0.25">
      <c r="C11" s="71" t="s">
        <v>111</v>
      </c>
      <c r="D11" s="68">
        <f>ROUNDDOWN((D6-D9)/5,0)</f>
        <v>49</v>
      </c>
      <c r="E11" s="68">
        <f>ROUNDDOWN((E7-E9)/6,0)</f>
        <v>49</v>
      </c>
    </row>
    <row r="12" spans="2:5" x14ac:dyDescent="0.25">
      <c r="C12" s="125" t="s">
        <v>153</v>
      </c>
      <c r="D12" s="126">
        <f>8*D10</f>
        <v>1901.7142857142858</v>
      </c>
      <c r="E12" s="55"/>
    </row>
    <row r="13" spans="2:5" ht="15" customHeight="1" x14ac:dyDescent="0.25">
      <c r="D13" s="55"/>
    </row>
    <row r="14" spans="2:5" x14ac:dyDescent="0.25">
      <c r="D14" s="135">
        <v>1.0612244897959184</v>
      </c>
      <c r="E14" s="13">
        <f>+D11/5</f>
        <v>9.8000000000000007</v>
      </c>
    </row>
    <row r="23" ht="15" customHeight="1" x14ac:dyDescent="0.25"/>
    <row r="32" ht="15" customHeight="1" x14ac:dyDescent="0.25"/>
    <row r="41" ht="15" customHeight="1" x14ac:dyDescent="0.25"/>
  </sheetData>
  <mergeCells count="1">
    <mergeCell ref="C3:C4"/>
  </mergeCells>
  <phoneticPr fontId="0" type="noConversion"/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2"/>
  <sheetViews>
    <sheetView topLeftCell="B1" zoomScale="80" zoomScaleNormal="80" workbookViewId="0">
      <selection activeCell="K20" sqref="K20"/>
    </sheetView>
  </sheetViews>
  <sheetFormatPr baseColWidth="10" defaultColWidth="11.42578125" defaultRowHeight="15" x14ac:dyDescent="0.25"/>
  <cols>
    <col min="1" max="1" width="11.42578125" style="13"/>
    <col min="2" max="2" width="3.7109375" style="13" customWidth="1"/>
    <col min="3" max="3" width="29" style="13" customWidth="1"/>
    <col min="4" max="4" width="9.42578125" style="13" customWidth="1"/>
    <col min="5" max="5" width="8.85546875" style="13" customWidth="1"/>
    <col min="6" max="6" width="10.85546875" style="13" customWidth="1"/>
    <col min="7" max="7" width="10.5703125" style="13" customWidth="1"/>
    <col min="8" max="8" width="8.5703125" style="13" customWidth="1"/>
    <col min="9" max="9" width="13.7109375" style="13" customWidth="1"/>
    <col min="10" max="10" width="11.28515625" style="13" customWidth="1"/>
    <col min="11" max="11" width="7.42578125" style="13" customWidth="1"/>
    <col min="12" max="12" width="11.42578125" style="13"/>
    <col min="13" max="14" width="11.42578125" style="13" customWidth="1"/>
    <col min="15" max="16384" width="11.42578125" style="13"/>
  </cols>
  <sheetData>
    <row r="1" spans="3:14" x14ac:dyDescent="0.25">
      <c r="C1" s="20"/>
      <c r="D1" s="21"/>
      <c r="E1" s="21"/>
      <c r="F1" s="21"/>
      <c r="G1" s="21"/>
      <c r="H1" s="21"/>
      <c r="I1" s="21"/>
      <c r="J1" s="21"/>
      <c r="K1" s="21"/>
    </row>
    <row r="2" spans="3:14" x14ac:dyDescent="0.25">
      <c r="C2" s="207" t="s">
        <v>155</v>
      </c>
      <c r="D2" s="207"/>
      <c r="E2" s="72"/>
      <c r="F2" s="72"/>
      <c r="G2" s="72"/>
      <c r="H2" s="72"/>
      <c r="I2" s="72"/>
      <c r="J2" s="72"/>
      <c r="K2" s="72"/>
    </row>
    <row r="3" spans="3:14" ht="15" customHeight="1" x14ac:dyDescent="0.25">
      <c r="C3" s="208" t="s">
        <v>60</v>
      </c>
      <c r="D3" s="208" t="s">
        <v>61</v>
      </c>
      <c r="E3" s="208"/>
      <c r="F3" s="208" t="s">
        <v>62</v>
      </c>
      <c r="G3" s="208" t="s">
        <v>63</v>
      </c>
      <c r="H3" s="208"/>
      <c r="I3" s="208" t="s">
        <v>77</v>
      </c>
      <c r="J3" s="208" t="s">
        <v>64</v>
      </c>
      <c r="K3" s="208"/>
    </row>
    <row r="4" spans="3:14" x14ac:dyDescent="0.25">
      <c r="C4" s="208"/>
      <c r="D4" s="208" t="s">
        <v>56</v>
      </c>
      <c r="E4" s="208"/>
      <c r="F4" s="208" t="s">
        <v>65</v>
      </c>
      <c r="G4" s="208" t="s">
        <v>56</v>
      </c>
      <c r="H4" s="208"/>
      <c r="I4" s="208"/>
      <c r="J4" s="208"/>
      <c r="K4" s="208"/>
    </row>
    <row r="5" spans="3:14" x14ac:dyDescent="0.25">
      <c r="C5" s="208"/>
      <c r="D5" s="208" t="s">
        <v>53</v>
      </c>
      <c r="E5" s="208"/>
      <c r="F5" s="208"/>
      <c r="G5" s="208" t="s">
        <v>53</v>
      </c>
      <c r="H5" s="208"/>
      <c r="I5" s="208"/>
      <c r="J5" s="208"/>
      <c r="K5" s="208"/>
    </row>
    <row r="6" spans="3:14" x14ac:dyDescent="0.25">
      <c r="C6" s="73" t="s">
        <v>146</v>
      </c>
      <c r="D6" s="59">
        <v>280</v>
      </c>
      <c r="E6" s="22" t="s">
        <v>154</v>
      </c>
      <c r="F6" s="59">
        <f>'ej 2'!$D$12</f>
        <v>1901.7142857142858</v>
      </c>
      <c r="G6" s="59">
        <f>+D6*F6</f>
        <v>532480</v>
      </c>
      <c r="H6" s="22" t="s">
        <v>145</v>
      </c>
      <c r="I6" s="33">
        <v>0.95</v>
      </c>
      <c r="J6" s="59">
        <f>+I6*G6</f>
        <v>505856</v>
      </c>
      <c r="K6" s="22" t="s">
        <v>145</v>
      </c>
    </row>
    <row r="7" spans="3:14" x14ac:dyDescent="0.25">
      <c r="C7" s="73" t="s">
        <v>147</v>
      </c>
      <c r="D7" s="59">
        <v>280</v>
      </c>
      <c r="E7" s="22" t="s">
        <v>154</v>
      </c>
      <c r="F7" s="59">
        <f>'ej 2'!$D$12</f>
        <v>1901.7142857142858</v>
      </c>
      <c r="G7" s="59">
        <f t="shared" ref="G7:G8" si="0">+D7*F7</f>
        <v>532480</v>
      </c>
      <c r="H7" s="22" t="s">
        <v>145</v>
      </c>
      <c r="I7" s="33">
        <v>0.94</v>
      </c>
      <c r="J7" s="59">
        <f t="shared" ref="J7:J10" si="1">+I7*G7</f>
        <v>500531.19999999995</v>
      </c>
      <c r="K7" s="22" t="s">
        <v>145</v>
      </c>
      <c r="N7" s="60"/>
    </row>
    <row r="8" spans="3:14" x14ac:dyDescent="0.25">
      <c r="C8" s="73" t="s">
        <v>148</v>
      </c>
      <c r="D8" s="59">
        <f>+D7*2</f>
        <v>560</v>
      </c>
      <c r="E8" s="22" t="s">
        <v>154</v>
      </c>
      <c r="F8" s="59">
        <f>'ej 2'!$D$12</f>
        <v>1901.7142857142858</v>
      </c>
      <c r="G8" s="59">
        <f t="shared" si="0"/>
        <v>1064960</v>
      </c>
      <c r="H8" s="22" t="s">
        <v>145</v>
      </c>
      <c r="I8" s="33">
        <v>0.94</v>
      </c>
      <c r="J8" s="59">
        <f t="shared" si="1"/>
        <v>1001062.3999999999</v>
      </c>
      <c r="K8" s="22" t="s">
        <v>145</v>
      </c>
    </row>
    <row r="9" spans="3:14" ht="15" customHeight="1" x14ac:dyDescent="0.25">
      <c r="C9" s="73" t="s">
        <v>149</v>
      </c>
      <c r="D9" s="59">
        <v>500</v>
      </c>
      <c r="E9" s="22" t="s">
        <v>154</v>
      </c>
      <c r="F9" s="59">
        <f>'ej 2'!$D$12</f>
        <v>1901.7142857142858</v>
      </c>
      <c r="G9" s="59">
        <f>+F9*D9</f>
        <v>950857.14285714284</v>
      </c>
      <c r="H9" s="22" t="s">
        <v>145</v>
      </c>
      <c r="I9" s="33">
        <v>0.98</v>
      </c>
      <c r="J9" s="59">
        <f t="shared" si="1"/>
        <v>931840</v>
      </c>
      <c r="K9" s="22" t="s">
        <v>145</v>
      </c>
    </row>
    <row r="10" spans="3:14" x14ac:dyDescent="0.25">
      <c r="C10" s="73" t="s">
        <v>150</v>
      </c>
      <c r="D10" s="59">
        <v>784</v>
      </c>
      <c r="E10" s="22" t="s">
        <v>154</v>
      </c>
      <c r="F10" s="59">
        <f>'ej 2'!$D$12</f>
        <v>1901.7142857142858</v>
      </c>
      <c r="G10" s="59">
        <f>+D10*F10</f>
        <v>1490944</v>
      </c>
      <c r="H10" s="22" t="s">
        <v>145</v>
      </c>
      <c r="I10" s="33">
        <v>0.8</v>
      </c>
      <c r="J10" s="59">
        <f t="shared" si="1"/>
        <v>1192755.2</v>
      </c>
      <c r="K10" s="22" t="s">
        <v>145</v>
      </c>
    </row>
    <row r="11" spans="3:14" x14ac:dyDescent="0.25">
      <c r="C11" s="23"/>
      <c r="D11" s="23"/>
      <c r="E11" s="23"/>
      <c r="F11" s="23"/>
      <c r="G11" s="23"/>
      <c r="H11" s="23"/>
      <c r="I11" s="23"/>
      <c r="J11" s="69"/>
      <c r="K11" s="23"/>
    </row>
    <row r="12" spans="3:14" x14ac:dyDescent="0.25">
      <c r="C12" s="23"/>
      <c r="D12" s="23"/>
      <c r="E12" s="23"/>
      <c r="F12" s="23"/>
      <c r="G12" s="23"/>
      <c r="H12" s="23"/>
      <c r="I12" s="23"/>
      <c r="J12" s="131"/>
      <c r="K12" s="23"/>
    </row>
  </sheetData>
  <mergeCells count="7">
    <mergeCell ref="C2:D2"/>
    <mergeCell ref="G3:H5"/>
    <mergeCell ref="C3:C5"/>
    <mergeCell ref="D3:E5"/>
    <mergeCell ref="F3:F5"/>
    <mergeCell ref="J3:K5"/>
    <mergeCell ref="I3:I5"/>
  </mergeCells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workbookViewId="0">
      <selection activeCell="G14" sqref="G14:G15"/>
    </sheetView>
  </sheetViews>
  <sheetFormatPr baseColWidth="10" defaultColWidth="11.42578125" defaultRowHeight="15" x14ac:dyDescent="0.25"/>
  <cols>
    <col min="1" max="2" width="11.42578125" style="13"/>
    <col min="3" max="4" width="7.85546875" style="13" customWidth="1"/>
    <col min="5" max="7" width="9.7109375" style="13" customWidth="1"/>
    <col min="8" max="10" width="9.7109375" style="25" customWidth="1"/>
    <col min="11" max="12" width="9.7109375" style="13" customWidth="1"/>
    <col min="13" max="14" width="11.42578125" style="13"/>
    <col min="15" max="15" width="22.5703125" style="13" customWidth="1"/>
    <col min="16" max="16" width="17.42578125" style="13" customWidth="1"/>
    <col min="17" max="16384" width="11.42578125" style="13"/>
  </cols>
  <sheetData>
    <row r="2" spans="2:16" ht="76.5" x14ac:dyDescent="0.25">
      <c r="B2" s="74" t="s">
        <v>69</v>
      </c>
      <c r="C2" s="75" t="s">
        <v>70</v>
      </c>
      <c r="D2" s="75" t="s">
        <v>71</v>
      </c>
      <c r="E2" s="75" t="s">
        <v>72</v>
      </c>
      <c r="F2" s="75" t="s">
        <v>73</v>
      </c>
      <c r="G2" s="76" t="s">
        <v>74</v>
      </c>
      <c r="H2" s="24"/>
    </row>
    <row r="3" spans="2:16" ht="15" customHeight="1" x14ac:dyDescent="0.25">
      <c r="B3" s="74">
        <v>1</v>
      </c>
      <c r="C3" s="63">
        <v>0</v>
      </c>
      <c r="D3" s="63">
        <v>0</v>
      </c>
      <c r="E3" s="133">
        <f>(D3+C3)/2</f>
        <v>0</v>
      </c>
      <c r="F3" s="63">
        <f>'ej 1'!K11/'ej 2'!$D$10</f>
        <v>1700.9537259615383</v>
      </c>
      <c r="G3" s="57">
        <f>(F3*E3)/100</f>
        <v>0</v>
      </c>
      <c r="J3" s="113">
        <f>+G5+G6</f>
        <v>2041.1444711538461</v>
      </c>
      <c r="L3" s="13">
        <f>4100/340</f>
        <v>12.058823529411764</v>
      </c>
      <c r="O3" s="132" t="s">
        <v>159</v>
      </c>
      <c r="P3" s="63">
        <v>411787.22782084998</v>
      </c>
    </row>
    <row r="4" spans="2:16" x14ac:dyDescent="0.25">
      <c r="B4" s="74">
        <v>2</v>
      </c>
      <c r="C4" s="63">
        <v>0</v>
      </c>
      <c r="D4" s="63">
        <v>0</v>
      </c>
      <c r="E4" s="133">
        <f t="shared" ref="E4:E6" si="0">(D4+C4)/2</f>
        <v>0</v>
      </c>
      <c r="F4" s="63">
        <v>1700.9537259615383</v>
      </c>
      <c r="G4" s="57">
        <f t="shared" ref="G4:G6" si="1">(F4*E4)/100</f>
        <v>0</v>
      </c>
      <c r="J4" s="138">
        <f>+F4*2</f>
        <v>3401.9074519230767</v>
      </c>
      <c r="L4" s="13">
        <f>+L3*5</f>
        <v>60.294117647058826</v>
      </c>
    </row>
    <row r="5" spans="2:16" x14ac:dyDescent="0.25">
      <c r="B5" s="74">
        <v>3</v>
      </c>
      <c r="C5" s="63">
        <v>0</v>
      </c>
      <c r="D5" s="63">
        <v>70</v>
      </c>
      <c r="E5" s="133">
        <f t="shared" si="0"/>
        <v>35</v>
      </c>
      <c r="F5" s="63">
        <v>1700.9537259615383</v>
      </c>
      <c r="G5" s="57">
        <f t="shared" si="1"/>
        <v>595.33380408653841</v>
      </c>
      <c r="J5" s="137">
        <f>+'ej 1'!J27*2</f>
        <v>3.708212750241735E-2</v>
      </c>
      <c r="K5" s="140">
        <f>+(J5+1)*J3</f>
        <v>2116.8344506840272</v>
      </c>
      <c r="M5" s="55">
        <f>(238-4)*F5</f>
        <v>398023.171875</v>
      </c>
      <c r="N5" s="13">
        <f>33000/0.4</f>
        <v>82500</v>
      </c>
      <c r="O5" s="13">
        <f>+N5/147</f>
        <v>561.22448979591832</v>
      </c>
    </row>
    <row r="6" spans="2:16" x14ac:dyDescent="0.25">
      <c r="B6" s="77">
        <v>4</v>
      </c>
      <c r="C6" s="63">
        <v>70</v>
      </c>
      <c r="D6" s="63">
        <v>100</v>
      </c>
      <c r="E6" s="133">
        <f t="shared" si="0"/>
        <v>85</v>
      </c>
      <c r="F6" s="63">
        <v>1700.9537259615383</v>
      </c>
      <c r="G6" s="57">
        <f t="shared" si="1"/>
        <v>1445.8106670673076</v>
      </c>
      <c r="J6" s="25">
        <f>+J3*0.037</f>
        <v>75.522345432692305</v>
      </c>
      <c r="K6" s="13">
        <v>378144</v>
      </c>
      <c r="M6" s="55">
        <f>+M5*'ej 1'!J11</f>
        <v>7329.8805111491956</v>
      </c>
      <c r="N6" s="55">
        <f>+M6+K5</f>
        <v>9446.7149618332223</v>
      </c>
      <c r="O6" s="13">
        <f>+O5/20</f>
        <v>28.061224489795915</v>
      </c>
    </row>
    <row r="7" spans="2:16" x14ac:dyDescent="0.25">
      <c r="C7" s="56"/>
      <c r="D7" s="56"/>
      <c r="E7" s="56"/>
      <c r="F7" s="67" t="s">
        <v>32</v>
      </c>
      <c r="G7" s="67">
        <f>SUM(G3:G6)</f>
        <v>2041.1444711538461</v>
      </c>
      <c r="K7" s="13">
        <f>+K6+K5</f>
        <v>380260.83445068402</v>
      </c>
      <c r="M7" s="139">
        <f>+M5+M6</f>
        <v>405353.05238614918</v>
      </c>
    </row>
    <row r="8" spans="2:16" x14ac:dyDescent="0.25">
      <c r="M8" s="139">
        <f>+M7+K5</f>
        <v>407469.8868368332</v>
      </c>
    </row>
    <row r="10" spans="2:16" x14ac:dyDescent="0.25">
      <c r="B10" s="225" t="s">
        <v>97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3" t="s">
        <v>102</v>
      </c>
      <c r="N10" s="224"/>
      <c r="O10" s="224"/>
      <c r="P10" s="224"/>
    </row>
    <row r="11" spans="2:16" x14ac:dyDescent="0.25">
      <c r="B11" s="225" t="s">
        <v>33</v>
      </c>
      <c r="C11" s="225">
        <v>2016</v>
      </c>
      <c r="D11" s="225"/>
      <c r="E11" s="78">
        <v>2017</v>
      </c>
      <c r="F11" s="78">
        <v>2018</v>
      </c>
      <c r="G11" s="78">
        <v>2019</v>
      </c>
      <c r="H11" s="78">
        <v>2021</v>
      </c>
      <c r="I11" s="78">
        <v>2022</v>
      </c>
      <c r="J11" s="78">
        <v>2023</v>
      </c>
      <c r="K11" s="78">
        <v>2024</v>
      </c>
      <c r="L11" s="78">
        <v>2025</v>
      </c>
      <c r="M11" s="224"/>
      <c r="N11" s="224"/>
      <c r="O11" s="224"/>
      <c r="P11" s="224"/>
    </row>
    <row r="12" spans="2:16" x14ac:dyDescent="0.25">
      <c r="B12" s="225"/>
      <c r="C12" s="225">
        <v>1</v>
      </c>
      <c r="D12" s="225"/>
      <c r="E12" s="78">
        <v>2</v>
      </c>
      <c r="F12" s="78">
        <v>3</v>
      </c>
      <c r="G12" s="78">
        <v>4</v>
      </c>
      <c r="H12" s="78">
        <v>6</v>
      </c>
      <c r="I12" s="78">
        <v>7</v>
      </c>
      <c r="J12" s="78">
        <v>8</v>
      </c>
      <c r="K12" s="78">
        <v>9</v>
      </c>
      <c r="L12" s="78">
        <v>5</v>
      </c>
      <c r="M12" s="224"/>
      <c r="N12" s="224"/>
      <c r="O12" s="224"/>
      <c r="P12" s="224"/>
    </row>
    <row r="13" spans="2:16" ht="29.25" customHeight="1" x14ac:dyDescent="0.25">
      <c r="B13" s="39"/>
      <c r="C13" s="88" t="s">
        <v>98</v>
      </c>
      <c r="D13" s="88" t="s">
        <v>99</v>
      </c>
      <c r="E13" s="228"/>
      <c r="F13" s="228"/>
      <c r="G13" s="228"/>
      <c r="H13" s="228"/>
      <c r="I13" s="228"/>
      <c r="J13" s="228"/>
      <c r="K13" s="228"/>
      <c r="L13" s="228"/>
      <c r="M13" s="224"/>
      <c r="N13" s="224"/>
      <c r="O13" s="224"/>
      <c r="P13" s="224"/>
    </row>
    <row r="14" spans="2:16" ht="18.75" customHeight="1" x14ac:dyDescent="0.25">
      <c r="B14" s="226" t="s">
        <v>44</v>
      </c>
      <c r="C14" s="62">
        <f>G7</f>
        <v>2041.1444711538461</v>
      </c>
      <c r="D14" s="40">
        <f>C15-C14</f>
        <v>402299.85552884615</v>
      </c>
      <c r="E14" s="227">
        <f>+C15</f>
        <v>404341</v>
      </c>
      <c r="F14" s="227">
        <v>404341</v>
      </c>
      <c r="G14" s="227">
        <v>404341</v>
      </c>
      <c r="H14" s="227">
        <v>404341</v>
      </c>
      <c r="I14" s="227" t="e">
        <f>PV!#REF!</f>
        <v>#REF!</v>
      </c>
      <c r="J14" s="227" t="e">
        <f>PV!#REF!</f>
        <v>#REF!</v>
      </c>
      <c r="K14" s="227" t="e">
        <f>PV!#REF!</f>
        <v>#REF!</v>
      </c>
      <c r="L14" s="227" t="e">
        <f>PV!#REF!</f>
        <v>#REF!</v>
      </c>
      <c r="M14" s="224"/>
      <c r="N14" s="224"/>
      <c r="O14" s="224"/>
      <c r="P14" s="224"/>
    </row>
    <row r="15" spans="2:16" ht="19.5" customHeight="1" x14ac:dyDescent="0.25">
      <c r="B15" s="226"/>
      <c r="C15" s="227">
        <f>+PV!E5</f>
        <v>404341</v>
      </c>
      <c r="D15" s="227"/>
      <c r="E15" s="227"/>
      <c r="F15" s="227"/>
      <c r="G15" s="227"/>
      <c r="H15" s="227"/>
      <c r="I15" s="227"/>
      <c r="J15" s="227"/>
      <c r="K15" s="227"/>
      <c r="L15" s="227"/>
    </row>
    <row r="20" spans="6:6" x14ac:dyDescent="0.25">
      <c r="F20" s="66"/>
    </row>
  </sheetData>
  <mergeCells count="16">
    <mergeCell ref="M10:P14"/>
    <mergeCell ref="B11:B12"/>
    <mergeCell ref="C11:D11"/>
    <mergeCell ref="C12:D12"/>
    <mergeCell ref="B10:L10"/>
    <mergeCell ref="B14:B15"/>
    <mergeCell ref="E14:E15"/>
    <mergeCell ref="F14:F15"/>
    <mergeCell ref="G14:G15"/>
    <mergeCell ref="C15:D15"/>
    <mergeCell ref="E13:L13"/>
    <mergeCell ref="H14:H15"/>
    <mergeCell ref="I14:I15"/>
    <mergeCell ref="J14:J15"/>
    <mergeCell ref="K14:K15"/>
    <mergeCell ref="L14:L15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InfoInicial</vt:lpstr>
      <vt:lpstr>Hoja1</vt:lpstr>
      <vt:lpstr>Insumos</vt:lpstr>
      <vt:lpstr>PV</vt:lpstr>
      <vt:lpstr>Plan de Ventas </vt:lpstr>
      <vt:lpstr>ej 1</vt:lpstr>
      <vt:lpstr>ej 2</vt:lpstr>
      <vt:lpstr>ej 3</vt:lpstr>
      <vt:lpstr>ej 6</vt:lpstr>
      <vt:lpstr>ej 4</vt:lpstr>
      <vt:lpstr>ej 11</vt:lpstr>
      <vt:lpstr>Eje 10</vt:lpstr>
    </vt:vector>
  </TitlesOfParts>
  <Manager>Ing Diego Roberto Berenguer</Manager>
  <Company>Catedra de Evaluación de Proyectos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del Dimensionamiento Economico Financiero</dc:title>
  <dc:creator>Berenguer,Cabeza, Martinez Iraci</dc:creator>
  <cp:keywords>Grupo Hojalata</cp:keywords>
  <cp:lastModifiedBy>Javier Ignacio Pettinicchi</cp:lastModifiedBy>
  <cp:lastPrinted>2007-11-27T11:36:04Z</cp:lastPrinted>
  <dcterms:created xsi:type="dcterms:W3CDTF">2004-09-01T03:31:20Z</dcterms:created>
  <dcterms:modified xsi:type="dcterms:W3CDTF">2017-08-02T23:59:11Z</dcterms:modified>
</cp:coreProperties>
</file>