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ti\Downloads\"/>
    </mc:Choice>
  </mc:AlternateContent>
  <bookViews>
    <workbookView xWindow="0" yWindow="0" windowWidth="28800" windowHeight="12435"/>
  </bookViews>
  <sheets>
    <sheet name="Suero" sheetId="1" r:id="rId1"/>
    <sheet name="Envases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C156" i="1" l="1"/>
  <c r="D157" i="1"/>
  <c r="D156" i="1"/>
  <c r="C159" i="1"/>
  <c r="D160" i="1"/>
  <c r="D159" i="1"/>
  <c r="D8" i="2" l="1"/>
  <c r="H8" i="2" s="1"/>
  <c r="F7" i="2"/>
  <c r="F8" i="2" s="1"/>
  <c r="D7" i="2"/>
  <c r="H7" i="2" s="1"/>
  <c r="E4" i="2"/>
  <c r="I4" i="2" s="1"/>
  <c r="I8" i="2" l="1"/>
  <c r="I7" i="2"/>
  <c r="D4" i="1" l="1"/>
  <c r="C116" i="1" s="1"/>
  <c r="C43" i="1"/>
  <c r="D45" i="1"/>
  <c r="E109" i="1" s="1"/>
  <c r="B163" i="1"/>
  <c r="E160" i="1"/>
  <c r="F160" i="1"/>
  <c r="G160" i="1"/>
  <c r="B130" i="1"/>
  <c r="B131" i="1"/>
  <c r="B132" i="1"/>
  <c r="D143" i="1" s="1"/>
  <c r="G81" i="1"/>
  <c r="H81" i="1"/>
  <c r="G82" i="1"/>
  <c r="H82" i="1" s="1"/>
  <c r="G83" i="1"/>
  <c r="H83" i="1"/>
  <c r="G84" i="1"/>
  <c r="H84" i="1" s="1"/>
  <c r="C86" i="1"/>
  <c r="G112" i="1" s="1"/>
  <c r="E159" i="1"/>
  <c r="F159" i="1"/>
  <c r="G159" i="1"/>
  <c r="E157" i="1"/>
  <c r="F157" i="1"/>
  <c r="G157" i="1"/>
  <c r="A98" i="1"/>
  <c r="C98" i="1"/>
  <c r="C100" i="1"/>
  <c r="C140" i="1" s="1"/>
  <c r="E156" i="1"/>
  <c r="E158" i="1" s="1"/>
  <c r="E161" i="1" s="1"/>
  <c r="E163" i="1" s="1"/>
  <c r="F156" i="1"/>
  <c r="G156" i="1"/>
  <c r="C90" i="1"/>
  <c r="D139" i="1"/>
  <c r="D141" i="1" s="1"/>
  <c r="D144" i="1" s="1"/>
  <c r="D146" i="1" s="1"/>
  <c r="D158" i="1"/>
  <c r="D161" i="1" s="1"/>
  <c r="D163" i="1" s="1"/>
  <c r="E90" i="1"/>
  <c r="G158" i="1"/>
  <c r="G161" i="1" s="1"/>
  <c r="G163" i="1" s="1"/>
  <c r="F158" i="1"/>
  <c r="F161" i="1" s="1"/>
  <c r="F163" i="1" s="1"/>
  <c r="G146" i="1"/>
  <c r="F146" i="1"/>
  <c r="E146" i="1"/>
  <c r="E60" i="1"/>
  <c r="C63" i="1"/>
  <c r="G63" i="1" s="1"/>
  <c r="H63" i="1"/>
  <c r="C62" i="1"/>
  <c r="G62" i="1" s="1"/>
  <c r="H62" i="1" s="1"/>
  <c r="C60" i="1"/>
  <c r="G60" i="1" s="1"/>
  <c r="C48" i="1"/>
  <c r="D50" i="1" s="1"/>
  <c r="H60" i="1"/>
  <c r="D33" i="1"/>
  <c r="C67" i="1"/>
  <c r="G67" i="1" s="1"/>
  <c r="H67" i="1"/>
  <c r="D23" i="1"/>
  <c r="F20" i="1"/>
  <c r="F18" i="1"/>
  <c r="F16" i="1"/>
  <c r="F11" i="1"/>
  <c r="D29" i="1"/>
  <c r="C66" i="1" s="1"/>
  <c r="G66" i="1" s="1"/>
  <c r="H66" i="1" s="1"/>
  <c r="D25" i="1"/>
  <c r="D27" i="1"/>
  <c r="F27" i="1" s="1"/>
  <c r="F29" i="1"/>
  <c r="F33" i="1"/>
  <c r="F23" i="1"/>
  <c r="C64" i="1"/>
  <c r="G64" i="1" s="1"/>
  <c r="H64" i="1" s="1"/>
  <c r="D14" i="1"/>
  <c r="F14" i="1" s="1"/>
  <c r="N27" i="1"/>
  <c r="O27" i="1" s="1"/>
  <c r="C61" i="1"/>
  <c r="G61" i="1" s="1"/>
  <c r="H61" i="1"/>
  <c r="D5" i="1"/>
  <c r="D6" i="1" s="1"/>
  <c r="D7" i="1" s="1"/>
  <c r="F112" i="1"/>
  <c r="B105" i="1"/>
  <c r="C157" i="1" l="1"/>
  <c r="H85" i="1"/>
  <c r="E118" i="1"/>
  <c r="C65" i="1"/>
  <c r="G65" i="1" s="1"/>
  <c r="H65" i="1" s="1"/>
  <c r="G111" i="1" l="1"/>
  <c r="G113" i="1" s="1"/>
  <c r="C143" i="1" s="1"/>
  <c r="C160" i="1" s="1"/>
  <c r="C88" i="1"/>
  <c r="F111" i="1"/>
  <c r="F113" i="1" s="1"/>
  <c r="B125" i="1" s="1"/>
  <c r="B127" i="1" s="1"/>
  <c r="B126" i="1"/>
  <c r="C142" i="1"/>
  <c r="B162" i="1" s="1"/>
  <c r="E119" i="1"/>
  <c r="E120" i="1" s="1"/>
  <c r="B104" i="1" l="1"/>
  <c r="C139" i="1"/>
  <c r="C158" i="1" l="1"/>
  <c r="C161" i="1" s="1"/>
  <c r="C163" i="1" s="1"/>
  <c r="C141" i="1"/>
  <c r="C144" i="1" s="1"/>
  <c r="C146" i="1" s="1"/>
</calcChain>
</file>

<file path=xl/sharedStrings.xml><?xml version="1.0" encoding="utf-8"?>
<sst xmlns="http://schemas.openxmlformats.org/spreadsheetml/2006/main" count="191" uniqueCount="127">
  <si>
    <t>1- BALANCE ANUAL DE MATERIAL. PRODUCCION SECCIONAL</t>
  </si>
  <si>
    <t>Unidades de 500ml x mes</t>
  </si>
  <si>
    <t>Litros x Mes</t>
  </si>
  <si>
    <t>Litros x Dia</t>
  </si>
  <si>
    <t>Litros x Hs</t>
  </si>
  <si>
    <t>Litros x Min</t>
  </si>
  <si>
    <t>Ablandador de Aguar</t>
  </si>
  <si>
    <t>Lts/Hs</t>
  </si>
  <si>
    <t>Ablandador Simple</t>
  </si>
  <si>
    <t>Osmosis Inversa</t>
  </si>
  <si>
    <t>Lts/Dia</t>
  </si>
  <si>
    <t>Destilador de Multiple Efecto</t>
  </si>
  <si>
    <t>Bombas Sanitarias</t>
  </si>
  <si>
    <t>Tanques de Acero Inoxidable</t>
  </si>
  <si>
    <t>Lts</t>
  </si>
  <si>
    <t>Maquina Fraccionadora</t>
  </si>
  <si>
    <t>Unidades/Hs</t>
  </si>
  <si>
    <t xml:space="preserve">Maquina Codificadora </t>
  </si>
  <si>
    <t>Unidades/min</t>
  </si>
  <si>
    <t>Autoclave</t>
  </si>
  <si>
    <t>Lts/(20 min)</t>
  </si>
  <si>
    <t>Maq. Cerradora de Cajas</t>
  </si>
  <si>
    <t>Cant. Maq.</t>
  </si>
  <si>
    <t>Lts/Hs Totales</t>
  </si>
  <si>
    <t>Con la tecnologia elegida para el proyecto y teniendo en cuenta el plan de ventas definido en el Dimensionamiento Comercial,</t>
  </si>
  <si>
    <t>vamos a operar de Lunes a Sabados, con jornadas de 9 hs, incluyendo 45 minutos para el almuerzo (y ademas 15 minutos de preparacion de maquinaria).</t>
  </si>
  <si>
    <t>Maquinaria</t>
  </si>
  <si>
    <t>Operarios</t>
  </si>
  <si>
    <t>Mantenimiento</t>
  </si>
  <si>
    <t>1 vez al mes</t>
  </si>
  <si>
    <t>1 vez cada 6 meses</t>
  </si>
  <si>
    <t>1 vez cada 2 meses</t>
  </si>
  <si>
    <t>Semanalmente</t>
  </si>
  <si>
    <t>1 vez al año</t>
  </si>
  <si>
    <t>Limpieza diaria</t>
  </si>
  <si>
    <t>Capacidad real anual de la maquinaria de cada seccion</t>
  </si>
  <si>
    <t>Debido a que el mantenimiento es tercerizado, la empresa contratada realiza el mantenimiento fuera de nuestra jornada laboral</t>
  </si>
  <si>
    <t>Determinacion de la cantidad de maquinas operativas por seccion y su aprovechamiento en relacion al programa de produccion.</t>
  </si>
  <si>
    <t>Secciones</t>
  </si>
  <si>
    <t>Dias Activos/ año = 365-10-52 =</t>
  </si>
  <si>
    <t>Horas Activas/ año = 303 dias x 8 hs =</t>
  </si>
  <si>
    <t>Dias Activos/ año = 365-10-52-15 =</t>
  </si>
  <si>
    <t>Horas Activas/ año = 288 dias x 8 hs =</t>
  </si>
  <si>
    <t>Prog. Anual de Prod. (Lts)</t>
  </si>
  <si>
    <t>Capacidad real /maq x año</t>
  </si>
  <si>
    <t>Cant. De Maq.</t>
  </si>
  <si>
    <t>Cap. real/seccion x año</t>
  </si>
  <si>
    <t>Aprovecham.</t>
  </si>
  <si>
    <t>Cuello de Botella del sistema</t>
  </si>
  <si>
    <t>Claramente el cuello de botella es la Maquina cerradora de cajas, y respondiendo a la definicion esto se puede ver ya que es la seccion de mayor aprovechamiento.</t>
  </si>
  <si>
    <t>Evolucion de la produccion:</t>
  </si>
  <si>
    <t xml:space="preserve">Período de puesta en Marcha 4 meses: </t>
  </si>
  <si>
    <t>mes</t>
  </si>
  <si>
    <t>Ritmo de produccion al inicio (%)</t>
  </si>
  <si>
    <t xml:space="preserve">ritmo de produccion al final (%) </t>
  </si>
  <si>
    <t>producción prom. (%)</t>
  </si>
  <si>
    <t>Produccion propuesta</t>
  </si>
  <si>
    <t>Año 1:</t>
  </si>
  <si>
    <t>Meses del 5 al 12</t>
  </si>
  <si>
    <t>Produccion total año 1=</t>
  </si>
  <si>
    <r>
      <rPr>
        <b/>
        <sz val="11"/>
        <color theme="1"/>
        <rFont val="Calibri"/>
        <family val="2"/>
        <scheme val="minor"/>
      </rPr>
      <t>Stock promedio de producto elaborado:</t>
    </r>
    <r>
      <rPr>
        <sz val="11"/>
        <color theme="1"/>
        <rFont val="Calibri"/>
        <family val="2"/>
        <scheme val="minor"/>
      </rPr>
      <t xml:space="preserve"> </t>
    </r>
  </si>
  <si>
    <t>Las entregas son semanales:</t>
  </si>
  <si>
    <t>Semanas al año: 52 sem/año</t>
  </si>
  <si>
    <t>tn /año 52 sem/año:</t>
  </si>
  <si>
    <t xml:space="preserve">Stock promedio: </t>
  </si>
  <si>
    <t>lts</t>
  </si>
  <si>
    <t>Producción de las ventas durante la vida útil del proyecto:</t>
  </si>
  <si>
    <t>Ventas año 1:</t>
  </si>
  <si>
    <t>Determinar el consumo de MP para el programa de producción y la formación de MC &amp; SE</t>
  </si>
  <si>
    <t>ventas año 2 al 5:</t>
  </si>
  <si>
    <t>Producción total año 2 al  5</t>
  </si>
  <si>
    <t>El ciclo de elaboracion es de 4,5 HS.</t>
  </si>
  <si>
    <t xml:space="preserve">ciclos de elaboración: </t>
  </si>
  <si>
    <t>total</t>
  </si>
  <si>
    <t>Consumo materia prima año 1 meses del 5 al 12 DNR=0,03</t>
  </si>
  <si>
    <t xml:space="preserve">Total MP: </t>
  </si>
  <si>
    <t>No hay desperdicios recuperables.</t>
  </si>
  <si>
    <t xml:space="preserve">MC&amp;SE: </t>
  </si>
  <si>
    <t>Alimentacion del sistema</t>
  </si>
  <si>
    <t xml:space="preserve">Aliemntacion durante el ciclo de elaboración </t>
  </si>
  <si>
    <t>Producto elaborado</t>
  </si>
  <si>
    <t>DNR:</t>
  </si>
  <si>
    <t>Consumo MP año 1</t>
  </si>
  <si>
    <t>Prod. Elaborados</t>
  </si>
  <si>
    <t>Total consumo MP</t>
  </si>
  <si>
    <t>Años 2 al 5</t>
  </si>
  <si>
    <t>consumo MP</t>
  </si>
  <si>
    <t>Prod elab</t>
  </si>
  <si>
    <t>DNR</t>
  </si>
  <si>
    <t>Stock Promedio MP</t>
  </si>
  <si>
    <t>Cuadro resumen del programa general de evolucion:</t>
  </si>
  <si>
    <t>Ventas</t>
  </si>
  <si>
    <t>Stock PT</t>
  </si>
  <si>
    <t>Produccion</t>
  </si>
  <si>
    <t>MC&amp;SE</t>
  </si>
  <si>
    <t>Consumo MP</t>
  </si>
  <si>
    <t>Stock MP</t>
  </si>
  <si>
    <t>Compras MP</t>
  </si>
  <si>
    <t>Año 0</t>
  </si>
  <si>
    <t>Año 1</t>
  </si>
  <si>
    <t xml:space="preserve">Año 2 </t>
  </si>
  <si>
    <t>Año 3</t>
  </si>
  <si>
    <t>Año 4</t>
  </si>
  <si>
    <t xml:space="preserve"> Año 5</t>
  </si>
  <si>
    <t>No hay stck de seguridad  de PT</t>
  </si>
  <si>
    <t>El consumo MO 1 a 4 meses (extra de materia prima en el periodo de PM es de 0,06)</t>
  </si>
  <si>
    <t>-</t>
  </si>
  <si>
    <t>No hay stock de MP ya que el agua se obtiene directamente de la red</t>
  </si>
  <si>
    <t>991mg</t>
  </si>
  <si>
    <t>9mg</t>
  </si>
  <si>
    <t>En Base a cloruro de sodio</t>
  </si>
  <si>
    <t>Partimos de la cantidad de unidades de 500ml que vamos a producir por Mes</t>
  </si>
  <si>
    <t>Lts x hs Aprox a Prod.</t>
  </si>
  <si>
    <t>A los 365 dias del año hay que descontarle 10 de feriados obligatorios y  1 dia a la semana que no se trabaja x 52 semanas, de vacaciones no hay que restarle dias a las maquinas por que no cerraremos</t>
  </si>
  <si>
    <t>Coef. Operativo</t>
  </si>
  <si>
    <t xml:space="preserve">Y para calcular la capacidad Real vamos a tomar como Coeficiente Operativo para todas las maquinas un 85% que es lo que pudimos obtener de una persona que trabaja actualmente en una empresa de </t>
  </si>
  <si>
    <t>la industria y nos recomendo usar ese % para todas las maquinas del proceso.</t>
  </si>
  <si>
    <t>Unidades x hs</t>
  </si>
  <si>
    <t>Envases x hs Aprox a Prod.</t>
  </si>
  <si>
    <t>Maquina Sopladora</t>
  </si>
  <si>
    <t>Capacidad</t>
  </si>
  <si>
    <t>Capacidad real maq x año = a la Capacidad x 8 hs laborales por dia x 303 dias laborales al año</t>
  </si>
  <si>
    <t>Prog. Anual de Prod. (Lts) = a la unidades de 500ml a producir por mes x 12 meses</t>
  </si>
  <si>
    <t>Impresora Tampográfica</t>
  </si>
  <si>
    <t>Cap. real/seccion x año = a capacidad real de maquina por año x la cantidad de maquinas x el Coeficiente operativo</t>
  </si>
  <si>
    <t>El cuello de Botella van a ser las impresoras Tampogáficas , esto se ve claramente en que su aprovechamiento es mayor que la Sopladora.</t>
  </si>
  <si>
    <t>Cada 1000mg de solución, 9mg son de cloruro de sodio y 991 de agua.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</si>
</sst>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" fontId="0" fillId="0" borderId="0" xfId="0" applyNumberFormat="1"/>
    <xf numFmtId="4" fontId="0" fillId="2" borderId="0" xfId="0" applyNumberFormat="1" applyFill="1"/>
    <xf numFmtId="4" fontId="0" fillId="0" borderId="3" xfId="0" applyNumberFormat="1" applyBorder="1"/>
    <xf numFmtId="4" fontId="0" fillId="0" borderId="4" xfId="0" applyNumberFormat="1" applyBorder="1"/>
    <xf numFmtId="4" fontId="1" fillId="0" borderId="6" xfId="0" applyNumberFormat="1" applyFont="1" applyBorder="1"/>
    <xf numFmtId="4" fontId="1" fillId="0" borderId="7" xfId="0" applyNumberFormat="1" applyFont="1" applyBorder="1"/>
    <xf numFmtId="4" fontId="1" fillId="2" borderId="5" xfId="0" applyNumberFormat="1" applyFont="1" applyFill="1" applyBorder="1"/>
    <xf numFmtId="4" fontId="1" fillId="2" borderId="2" xfId="0" applyNumberFormat="1" applyFont="1" applyFill="1" applyBorder="1"/>
    <xf numFmtId="4" fontId="0" fillId="0" borderId="0" xfId="0" applyNumberFormat="1" applyBorder="1"/>
    <xf numFmtId="3" fontId="1" fillId="2" borderId="1" xfId="0" applyNumberFormat="1" applyFont="1" applyFill="1" applyBorder="1" applyAlignment="1">
      <alignment horizontal="left"/>
    </xf>
    <xf numFmtId="4" fontId="2" fillId="0" borderId="0" xfId="0" applyNumberFormat="1" applyFont="1"/>
    <xf numFmtId="4" fontId="0" fillId="0" borderId="0" xfId="0" applyNumberFormat="1" applyAlignment="1">
      <alignment horizontal="center"/>
    </xf>
    <xf numFmtId="4" fontId="1" fillId="0" borderId="1" xfId="0" applyNumberFormat="1" applyFont="1" applyBorder="1"/>
    <xf numFmtId="4" fontId="1" fillId="0" borderId="0" xfId="0" applyNumberFormat="1" applyFont="1"/>
    <xf numFmtId="4" fontId="0" fillId="0" borderId="9" xfId="0" applyNumberFormat="1" applyFont="1" applyBorder="1"/>
    <xf numFmtId="4" fontId="0" fillId="0" borderId="2" xfId="0" applyNumberFormat="1" applyFont="1" applyBorder="1"/>
    <xf numFmtId="4" fontId="0" fillId="0" borderId="11" xfId="0" applyNumberFormat="1" applyBorder="1"/>
    <xf numFmtId="4" fontId="0" fillId="0" borderId="16" xfId="0" applyNumberFormat="1" applyBorder="1"/>
    <xf numFmtId="4" fontId="0" fillId="0" borderId="18" xfId="0" applyNumberFormat="1" applyBorder="1"/>
    <xf numFmtId="4" fontId="0" fillId="0" borderId="19" xfId="0" applyNumberFormat="1" applyBorder="1"/>
    <xf numFmtId="4" fontId="0" fillId="0" borderId="20" xfId="0" applyNumberFormat="1" applyBorder="1"/>
    <xf numFmtId="4" fontId="0" fillId="0" borderId="1" xfId="0" applyNumberFormat="1" applyFont="1" applyBorder="1"/>
    <xf numFmtId="4" fontId="0" fillId="0" borderId="21" xfId="0" applyNumberFormat="1" applyBorder="1"/>
    <xf numFmtId="4" fontId="0" fillId="0" borderId="21" xfId="0" applyNumberFormat="1" applyBorder="1" applyAlignment="1">
      <alignment horizontal="center"/>
    </xf>
    <xf numFmtId="3" fontId="0" fillId="0" borderId="21" xfId="0" applyNumberFormat="1" applyBorder="1"/>
    <xf numFmtId="164" fontId="0" fillId="0" borderId="0" xfId="0" applyNumberFormat="1"/>
    <xf numFmtId="3" fontId="1" fillId="0" borderId="1" xfId="0" applyNumberFormat="1" applyFont="1" applyBorder="1"/>
    <xf numFmtId="4" fontId="0" fillId="0" borderId="1" xfId="0" applyNumberFormat="1" applyBorder="1"/>
    <xf numFmtId="4" fontId="0" fillId="0" borderId="1" xfId="0" applyNumberFormat="1" applyBorder="1" applyAlignment="1">
      <alignment horizontal="center"/>
    </xf>
    <xf numFmtId="4" fontId="0" fillId="3" borderId="0" xfId="0" applyNumberFormat="1" applyFill="1"/>
    <xf numFmtId="4" fontId="0" fillId="3" borderId="4" xfId="0" applyNumberFormat="1" applyFill="1" applyBorder="1"/>
    <xf numFmtId="4" fontId="0" fillId="0" borderId="9" xfId="0" applyNumberFormat="1" applyFont="1" applyBorder="1" applyAlignment="1">
      <alignment horizontal="center"/>
    </xf>
    <xf numFmtId="4" fontId="0" fillId="4" borderId="16" xfId="0" applyNumberFormat="1" applyFill="1" applyBorder="1"/>
    <xf numFmtId="4" fontId="0" fillId="4" borderId="20" xfId="0" applyNumberFormat="1" applyFill="1" applyBorder="1"/>
    <xf numFmtId="3" fontId="1" fillId="2" borderId="2" xfId="0" applyNumberFormat="1" applyFont="1" applyFill="1" applyBorder="1"/>
    <xf numFmtId="4" fontId="1" fillId="0" borderId="0" xfId="0" applyNumberFormat="1" applyFont="1" applyBorder="1"/>
    <xf numFmtId="0" fontId="0" fillId="0" borderId="0" xfId="0" applyBorder="1"/>
    <xf numFmtId="4" fontId="1" fillId="2" borderId="6" xfId="0" applyNumberFormat="1" applyFont="1" applyFill="1" applyBorder="1"/>
    <xf numFmtId="4" fontId="0" fillId="0" borderId="18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4" fontId="0" fillId="0" borderId="0" xfId="0" applyNumberFormat="1" applyFont="1" applyBorder="1" applyAlignment="1"/>
    <xf numFmtId="4" fontId="3" fillId="4" borderId="20" xfId="0" applyNumberFormat="1" applyFont="1" applyFill="1" applyBorder="1"/>
    <xf numFmtId="4" fontId="0" fillId="0" borderId="13" xfId="0" applyNumberForma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" fontId="0" fillId="0" borderId="8" xfId="0" applyNumberFormat="1" applyFont="1" applyBorder="1" applyAlignment="1">
      <alignment horizontal="center"/>
    </xf>
    <xf numFmtId="4" fontId="0" fillId="0" borderId="9" xfId="0" applyNumberFormat="1" applyFon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10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4" fontId="0" fillId="0" borderId="2" xfId="0" applyNumberFormat="1" applyFon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2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3"/>
  <sheetViews>
    <sheetView tabSelected="1" topLeftCell="A136" zoomScaleNormal="100" workbookViewId="0">
      <selection activeCell="C156" sqref="C156"/>
    </sheetView>
  </sheetViews>
  <sheetFormatPr defaultColWidth="11" defaultRowHeight="15" x14ac:dyDescent="0.25"/>
  <cols>
    <col min="1" max="1" width="16.85546875" style="1" customWidth="1"/>
    <col min="2" max="2" width="23.5703125" style="1" bestFit="1" customWidth="1"/>
    <col min="3" max="3" width="13.85546875" style="1" customWidth="1"/>
    <col min="4" max="4" width="12.5703125" style="9" bestFit="1" customWidth="1"/>
    <col min="5" max="5" width="20.5703125" style="9" bestFit="1" customWidth="1"/>
    <col min="6" max="6" width="17" style="9" customWidth="1"/>
    <col min="7" max="7" width="21.5703125" style="1" bestFit="1" customWidth="1"/>
    <col min="8" max="8" width="11" style="1"/>
    <col min="9" max="9" width="13.140625" style="1" bestFit="1" customWidth="1"/>
    <col min="10" max="13" width="11" style="1"/>
    <col min="14" max="14" width="12.5703125" style="1" bestFit="1" customWidth="1"/>
    <col min="15" max="16384" width="11" style="1"/>
  </cols>
  <sheetData>
    <row r="1" spans="1:12" x14ac:dyDescent="0.25">
      <c r="A1" s="1" t="s">
        <v>0</v>
      </c>
      <c r="D1" s="1"/>
      <c r="E1" s="4"/>
      <c r="F1" s="4"/>
    </row>
    <row r="2" spans="1:12" x14ac:dyDescent="0.25">
      <c r="B2" s="30" t="s">
        <v>111</v>
      </c>
      <c r="C2" s="31"/>
      <c r="D2" s="31"/>
      <c r="E2" s="30"/>
      <c r="K2" s="1" t="s">
        <v>108</v>
      </c>
      <c r="L2" s="1" t="s">
        <v>109</v>
      </c>
    </row>
    <row r="3" spans="1:12" x14ac:dyDescent="0.25">
      <c r="B3" s="1" t="s">
        <v>1</v>
      </c>
      <c r="D3" s="1">
        <v>876150</v>
      </c>
      <c r="E3" s="4"/>
      <c r="F3" s="4"/>
    </row>
    <row r="4" spans="1:12" x14ac:dyDescent="0.25">
      <c r="B4" s="1" t="s">
        <v>2</v>
      </c>
      <c r="D4" s="1">
        <f>+D3*0.5</f>
        <v>438075</v>
      </c>
      <c r="E4" s="4"/>
      <c r="F4" s="4"/>
    </row>
    <row r="5" spans="1:12" ht="15.75" thickBot="1" x14ac:dyDescent="0.3">
      <c r="B5" s="1" t="s">
        <v>3</v>
      </c>
      <c r="D5" s="1">
        <f>+D4/24</f>
        <v>18253.125</v>
      </c>
      <c r="E5" s="4"/>
      <c r="F5" s="4"/>
    </row>
    <row r="6" spans="1:12" ht="15.75" thickBot="1" x14ac:dyDescent="0.3">
      <c r="B6" s="1" t="s">
        <v>4</v>
      </c>
      <c r="D6" s="1">
        <f>+D5/8</f>
        <v>2281.640625</v>
      </c>
      <c r="E6" s="4"/>
      <c r="F6" s="7" t="s">
        <v>112</v>
      </c>
      <c r="G6" s="8">
        <v>2500</v>
      </c>
    </row>
    <row r="7" spans="1:12" x14ac:dyDescent="0.25">
      <c r="B7" s="1" t="s">
        <v>5</v>
      </c>
      <c r="D7" s="1">
        <f>+D6/60</f>
        <v>38.02734375</v>
      </c>
      <c r="E7" s="4"/>
      <c r="F7" s="4"/>
    </row>
    <row r="8" spans="1:12" ht="15.75" thickBot="1" x14ac:dyDescent="0.3">
      <c r="D8" s="1"/>
      <c r="E8" s="4"/>
      <c r="F8" s="4"/>
    </row>
    <row r="9" spans="1:12" ht="15.75" thickBot="1" x14ac:dyDescent="0.3">
      <c r="A9" s="3"/>
      <c r="B9" s="3"/>
      <c r="C9" s="3"/>
      <c r="D9" s="3"/>
      <c r="E9" s="5" t="s">
        <v>22</v>
      </c>
      <c r="F9" s="6" t="s">
        <v>23</v>
      </c>
      <c r="G9" s="13" t="s">
        <v>28</v>
      </c>
    </row>
    <row r="10" spans="1:12" x14ac:dyDescent="0.25">
      <c r="A10" s="1" t="s">
        <v>6</v>
      </c>
      <c r="C10" s="1" t="s">
        <v>7</v>
      </c>
      <c r="D10" s="1">
        <v>28000</v>
      </c>
      <c r="E10" s="4"/>
      <c r="F10" s="4"/>
    </row>
    <row r="11" spans="1:12" x14ac:dyDescent="0.25">
      <c r="A11" s="2" t="s">
        <v>8</v>
      </c>
      <c r="B11" s="2"/>
      <c r="C11" s="2" t="s">
        <v>7</v>
      </c>
      <c r="D11" s="2">
        <v>3500</v>
      </c>
      <c r="E11" s="4">
        <v>1</v>
      </c>
      <c r="F11" s="4">
        <f>+D11*E11</f>
        <v>3500</v>
      </c>
      <c r="G11" s="1" t="s">
        <v>29</v>
      </c>
      <c r="J11" s="1" t="s">
        <v>8</v>
      </c>
    </row>
    <row r="12" spans="1:12" x14ac:dyDescent="0.25">
      <c r="D12" s="1"/>
      <c r="E12" s="4"/>
      <c r="F12" s="4"/>
      <c r="J12" s="1" t="s">
        <v>9</v>
      </c>
    </row>
    <row r="13" spans="1:12" x14ac:dyDescent="0.25">
      <c r="A13" s="1" t="s">
        <v>9</v>
      </c>
      <c r="C13" s="1" t="s">
        <v>10</v>
      </c>
      <c r="D13" s="1">
        <v>24226.639999999999</v>
      </c>
      <c r="E13" s="4"/>
      <c r="F13" s="4"/>
      <c r="J13" s="1" t="s">
        <v>11</v>
      </c>
    </row>
    <row r="14" spans="1:12" x14ac:dyDescent="0.25">
      <c r="C14" s="1" t="s">
        <v>7</v>
      </c>
      <c r="D14" s="1">
        <f>+D13/24</f>
        <v>1009.4433333333333</v>
      </c>
      <c r="E14" s="4">
        <v>3</v>
      </c>
      <c r="F14" s="4">
        <f>+D14*E14</f>
        <v>3028.33</v>
      </c>
      <c r="G14" s="1" t="s">
        <v>30</v>
      </c>
      <c r="J14" s="1" t="s">
        <v>12</v>
      </c>
    </row>
    <row r="15" spans="1:12" x14ac:dyDescent="0.25">
      <c r="D15" s="1"/>
      <c r="E15" s="4"/>
      <c r="F15" s="4"/>
      <c r="J15" s="1" t="s">
        <v>15</v>
      </c>
    </row>
    <row r="16" spans="1:12" x14ac:dyDescent="0.25">
      <c r="A16" s="1" t="s">
        <v>11</v>
      </c>
      <c r="C16" s="1" t="s">
        <v>7</v>
      </c>
      <c r="D16" s="1">
        <v>3000</v>
      </c>
      <c r="E16" s="4">
        <v>1</v>
      </c>
      <c r="F16" s="4">
        <f>+D16*E16</f>
        <v>3000</v>
      </c>
      <c r="G16" s="1" t="s">
        <v>29</v>
      </c>
      <c r="J16" s="1" t="s">
        <v>17</v>
      </c>
    </row>
    <row r="17" spans="1:15" x14ac:dyDescent="0.25">
      <c r="D17" s="1"/>
      <c r="E17" s="4"/>
      <c r="F17" s="4"/>
      <c r="J17" s="1" t="s">
        <v>19</v>
      </c>
    </row>
    <row r="18" spans="1:15" x14ac:dyDescent="0.25">
      <c r="A18" s="1" t="s">
        <v>13</v>
      </c>
      <c r="C18" s="1" t="s">
        <v>14</v>
      </c>
      <c r="D18" s="1">
        <v>15000</v>
      </c>
      <c r="E18" s="4"/>
      <c r="F18" s="4">
        <f>+D18*E18</f>
        <v>0</v>
      </c>
      <c r="G18" s="1" t="s">
        <v>31</v>
      </c>
      <c r="J18" s="1" t="s">
        <v>21</v>
      </c>
    </row>
    <row r="19" spans="1:15" x14ac:dyDescent="0.25">
      <c r="D19" s="1"/>
      <c r="E19" s="4"/>
      <c r="F19" s="4"/>
    </row>
    <row r="20" spans="1:15" x14ac:dyDescent="0.25">
      <c r="A20" s="1" t="s">
        <v>12</v>
      </c>
      <c r="C20" s="1" t="s">
        <v>7</v>
      </c>
      <c r="D20" s="1">
        <v>1500000</v>
      </c>
      <c r="E20" s="4">
        <v>1</v>
      </c>
      <c r="F20" s="4">
        <f>+D20*E20</f>
        <v>1500000</v>
      </c>
      <c r="G20" s="1" t="s">
        <v>33</v>
      </c>
    </row>
    <row r="21" spans="1:15" x14ac:dyDescent="0.25">
      <c r="D21" s="1"/>
      <c r="E21" s="4"/>
      <c r="F21" s="4"/>
    </row>
    <row r="22" spans="1:15" x14ac:dyDescent="0.25">
      <c r="A22" s="1" t="s">
        <v>15</v>
      </c>
      <c r="C22" s="1" t="s">
        <v>16</v>
      </c>
      <c r="D22" s="1">
        <v>1400</v>
      </c>
      <c r="E22" s="4"/>
      <c r="F22" s="4"/>
    </row>
    <row r="23" spans="1:15" x14ac:dyDescent="0.25">
      <c r="C23" s="1" t="s">
        <v>7</v>
      </c>
      <c r="D23" s="1">
        <f>+D22*0.5</f>
        <v>700</v>
      </c>
      <c r="E23" s="4">
        <v>4</v>
      </c>
      <c r="F23" s="4">
        <f>+D23*E23</f>
        <v>2800</v>
      </c>
      <c r="G23" s="1" t="s">
        <v>34</v>
      </c>
    </row>
    <row r="24" spans="1:15" x14ac:dyDescent="0.25">
      <c r="D24" s="1"/>
      <c r="E24" s="4"/>
      <c r="F24" s="4"/>
    </row>
    <row r="25" spans="1:15" x14ac:dyDescent="0.25">
      <c r="A25" s="1" t="s">
        <v>17</v>
      </c>
      <c r="C25" s="1" t="s">
        <v>16</v>
      </c>
      <c r="D25" s="1">
        <f>+D26*60</f>
        <v>18000</v>
      </c>
      <c r="E25" s="4"/>
      <c r="F25" s="4"/>
    </row>
    <row r="26" spans="1:15" x14ac:dyDescent="0.25">
      <c r="C26" s="1" t="s">
        <v>18</v>
      </c>
      <c r="D26" s="1">
        <v>300</v>
      </c>
      <c r="E26" s="4"/>
      <c r="F26" s="4"/>
    </row>
    <row r="27" spans="1:15" x14ac:dyDescent="0.25">
      <c r="C27" s="1" t="s">
        <v>7</v>
      </c>
      <c r="D27" s="1">
        <f>+D25*0.5</f>
        <v>9000</v>
      </c>
      <c r="E27" s="4">
        <v>1</v>
      </c>
      <c r="F27" s="4">
        <f>+D27*E27</f>
        <v>9000</v>
      </c>
      <c r="G27" s="1" t="s">
        <v>34</v>
      </c>
      <c r="N27" s="26">
        <f>1/D10+1/D11+1/(D13/24)+1/D14+1/D16+1/D18+1/D20+1/D22+1/D23+1/D25+1/D27+1/D29+1/D30+1/D32+1/D33</f>
        <v>8.7763499257647766E-3</v>
      </c>
      <c r="O27" s="1">
        <f>N27*60</f>
        <v>0.52658099554588655</v>
      </c>
    </row>
    <row r="28" spans="1:15" x14ac:dyDescent="0.25">
      <c r="D28" s="1"/>
      <c r="E28" s="4"/>
      <c r="F28" s="4"/>
    </row>
    <row r="29" spans="1:15" x14ac:dyDescent="0.25">
      <c r="A29" s="1" t="s">
        <v>19</v>
      </c>
      <c r="C29" s="1" t="s">
        <v>7</v>
      </c>
      <c r="D29" s="1">
        <f>+D30*3</f>
        <v>9300</v>
      </c>
      <c r="E29" s="4">
        <v>1</v>
      </c>
      <c r="F29" s="4">
        <f>+D29*E29</f>
        <v>9300</v>
      </c>
      <c r="G29" s="1" t="s">
        <v>32</v>
      </c>
    </row>
    <row r="30" spans="1:15" x14ac:dyDescent="0.25">
      <c r="C30" s="1" t="s">
        <v>20</v>
      </c>
      <c r="D30" s="1">
        <v>3100</v>
      </c>
      <c r="E30" s="4"/>
      <c r="F30" s="4"/>
    </row>
    <row r="31" spans="1:15" x14ac:dyDescent="0.25">
      <c r="D31" s="1"/>
      <c r="E31" s="4"/>
      <c r="F31" s="4"/>
    </row>
    <row r="32" spans="1:15" x14ac:dyDescent="0.25">
      <c r="A32" s="1" t="s">
        <v>21</v>
      </c>
      <c r="C32" s="1" t="s">
        <v>16</v>
      </c>
      <c r="D32" s="1">
        <v>900</v>
      </c>
      <c r="E32" s="4"/>
      <c r="F32" s="4"/>
    </row>
    <row r="33" spans="1:6" x14ac:dyDescent="0.25">
      <c r="C33" s="1" t="s">
        <v>7</v>
      </c>
      <c r="D33" s="1">
        <f>+D32*0.5</f>
        <v>450</v>
      </c>
      <c r="E33" s="4">
        <v>5</v>
      </c>
      <c r="F33" s="4">
        <f>+D33*E33</f>
        <v>2250</v>
      </c>
    </row>
    <row r="34" spans="1:6" x14ac:dyDescent="0.25">
      <c r="D34" s="1"/>
      <c r="E34" s="4"/>
      <c r="F34" s="4"/>
    </row>
    <row r="35" spans="1:6" x14ac:dyDescent="0.25">
      <c r="D35" s="1"/>
      <c r="E35" s="4"/>
      <c r="F35" s="4"/>
    </row>
    <row r="36" spans="1:6" x14ac:dyDescent="0.25">
      <c r="D36" s="1"/>
      <c r="E36" s="4"/>
      <c r="F36" s="4"/>
    </row>
    <row r="37" spans="1:6" x14ac:dyDescent="0.25">
      <c r="A37" s="1" t="s">
        <v>24</v>
      </c>
      <c r="D37" s="1"/>
      <c r="E37" s="4"/>
      <c r="F37" s="4"/>
    </row>
    <row r="38" spans="1:6" x14ac:dyDescent="0.25">
      <c r="A38" s="1" t="s">
        <v>25</v>
      </c>
    </row>
    <row r="39" spans="1:6" x14ac:dyDescent="0.25">
      <c r="A39" s="1" t="s">
        <v>113</v>
      </c>
    </row>
    <row r="42" spans="1:6" ht="15.75" thickBot="1" x14ac:dyDescent="0.3">
      <c r="A42" s="11" t="s">
        <v>26</v>
      </c>
    </row>
    <row r="43" spans="1:6" ht="15.75" thickBot="1" x14ac:dyDescent="0.3">
      <c r="A43" s="51" t="s">
        <v>39</v>
      </c>
      <c r="B43" s="51"/>
      <c r="C43" s="10">
        <f>365-10-52</f>
        <v>303</v>
      </c>
    </row>
    <row r="44" spans="1:6" ht="15.75" thickBot="1" x14ac:dyDescent="0.3"/>
    <row r="45" spans="1:6" ht="15.75" thickBot="1" x14ac:dyDescent="0.3">
      <c r="A45" s="51" t="s">
        <v>40</v>
      </c>
      <c r="B45" s="51"/>
      <c r="C45" s="51"/>
      <c r="D45" s="10">
        <f>+C43*8</f>
        <v>2424</v>
      </c>
    </row>
    <row r="47" spans="1:6" ht="15.75" thickBot="1" x14ac:dyDescent="0.3">
      <c r="A47" s="11" t="s">
        <v>27</v>
      </c>
    </row>
    <row r="48" spans="1:6" ht="15.75" thickBot="1" x14ac:dyDescent="0.3">
      <c r="A48" s="51" t="s">
        <v>41</v>
      </c>
      <c r="B48" s="51"/>
      <c r="C48" s="10">
        <f>365-10-52-15</f>
        <v>288</v>
      </c>
    </row>
    <row r="49" spans="1:9" ht="15.75" thickBot="1" x14ac:dyDescent="0.3"/>
    <row r="50" spans="1:9" ht="15.75" thickBot="1" x14ac:dyDescent="0.3">
      <c r="A50" s="51" t="s">
        <v>42</v>
      </c>
      <c r="B50" s="51"/>
      <c r="C50" s="51"/>
      <c r="D50" s="10">
        <f>+C48*8</f>
        <v>2304</v>
      </c>
    </row>
    <row r="53" spans="1:9" x14ac:dyDescent="0.25">
      <c r="A53" s="14" t="s">
        <v>35</v>
      </c>
    </row>
    <row r="55" spans="1:9" x14ac:dyDescent="0.25">
      <c r="A55" s="1" t="s">
        <v>36</v>
      </c>
    </row>
    <row r="56" spans="1:9" x14ac:dyDescent="0.25">
      <c r="A56" s="1" t="s">
        <v>115</v>
      </c>
    </row>
    <row r="57" spans="1:9" x14ac:dyDescent="0.25">
      <c r="A57" s="1" t="s">
        <v>116</v>
      </c>
    </row>
    <row r="58" spans="1:9" ht="15.75" thickBot="1" x14ac:dyDescent="0.3">
      <c r="A58" s="14" t="s">
        <v>37</v>
      </c>
    </row>
    <row r="59" spans="1:9" ht="15.75" thickBot="1" x14ac:dyDescent="0.3">
      <c r="A59" s="47" t="s">
        <v>38</v>
      </c>
      <c r="B59" s="48"/>
      <c r="C59" s="47" t="s">
        <v>44</v>
      </c>
      <c r="D59" s="55"/>
      <c r="E59" s="15" t="s">
        <v>43</v>
      </c>
      <c r="F59" s="22" t="s">
        <v>45</v>
      </c>
      <c r="G59" s="22" t="s">
        <v>46</v>
      </c>
      <c r="H59" s="16" t="s">
        <v>47</v>
      </c>
      <c r="I59" s="28" t="s">
        <v>114</v>
      </c>
    </row>
    <row r="60" spans="1:9" x14ac:dyDescent="0.25">
      <c r="A60" s="52" t="s">
        <v>8</v>
      </c>
      <c r="B60" s="53"/>
      <c r="C60" s="52">
        <f>+D11*8*303</f>
        <v>8484000</v>
      </c>
      <c r="D60" s="56"/>
      <c r="E60" s="17">
        <f>+D3*6</f>
        <v>5256900</v>
      </c>
      <c r="F60" s="19">
        <v>1</v>
      </c>
      <c r="G60" s="17">
        <f>+C60*F60*I60</f>
        <v>7211400</v>
      </c>
      <c r="H60" s="19">
        <f>+E60/G60*100</f>
        <v>72.897079623928789</v>
      </c>
      <c r="I60" s="19">
        <v>0.85</v>
      </c>
    </row>
    <row r="61" spans="1:9" x14ac:dyDescent="0.25">
      <c r="A61" s="43" t="s">
        <v>9</v>
      </c>
      <c r="B61" s="49"/>
      <c r="C61" s="43">
        <f>+D14*8*303</f>
        <v>2446890.6399999997</v>
      </c>
      <c r="D61" s="44"/>
      <c r="E61" s="9">
        <v>5256900</v>
      </c>
      <c r="F61" s="20">
        <v>3</v>
      </c>
      <c r="G61" s="9">
        <f t="shared" ref="G61:G67" si="0">+C61*F61*I61</f>
        <v>6239571.1319999993</v>
      </c>
      <c r="H61" s="20">
        <f t="shared" ref="H61:H67" si="1">+E61/G61*100</f>
        <v>84.250982780526158</v>
      </c>
      <c r="I61" s="20">
        <v>0.85</v>
      </c>
    </row>
    <row r="62" spans="1:9" x14ac:dyDescent="0.25">
      <c r="A62" s="43" t="s">
        <v>11</v>
      </c>
      <c r="B62" s="49"/>
      <c r="C62" s="43">
        <f>+D16*8*303</f>
        <v>7272000</v>
      </c>
      <c r="D62" s="44"/>
      <c r="E62" s="9">
        <v>5256900</v>
      </c>
      <c r="F62" s="20">
        <v>1</v>
      </c>
      <c r="G62" s="9">
        <f t="shared" si="0"/>
        <v>6181200</v>
      </c>
      <c r="H62" s="20">
        <f t="shared" si="1"/>
        <v>85.046592894583569</v>
      </c>
      <c r="I62" s="20">
        <v>0.85</v>
      </c>
    </row>
    <row r="63" spans="1:9" x14ac:dyDescent="0.25">
      <c r="A63" s="43" t="s">
        <v>12</v>
      </c>
      <c r="B63" s="49"/>
      <c r="C63" s="43">
        <f>+D20*8*303</f>
        <v>3636000000</v>
      </c>
      <c r="D63" s="44"/>
      <c r="E63" s="9">
        <v>5256900</v>
      </c>
      <c r="F63" s="20">
        <v>1</v>
      </c>
      <c r="G63" s="9">
        <f t="shared" si="0"/>
        <v>3090600000</v>
      </c>
      <c r="H63" s="20">
        <f t="shared" si="1"/>
        <v>0.17009318578916716</v>
      </c>
      <c r="I63" s="20">
        <v>0.85</v>
      </c>
    </row>
    <row r="64" spans="1:9" x14ac:dyDescent="0.25">
      <c r="A64" s="43" t="s">
        <v>15</v>
      </c>
      <c r="B64" s="49"/>
      <c r="C64" s="43">
        <f>+D23*8*303</f>
        <v>1696800</v>
      </c>
      <c r="D64" s="44"/>
      <c r="E64" s="9">
        <v>5256900</v>
      </c>
      <c r="F64" s="20">
        <v>4</v>
      </c>
      <c r="G64" s="9">
        <f t="shared" si="0"/>
        <v>5769120</v>
      </c>
      <c r="H64" s="20">
        <f t="shared" si="1"/>
        <v>91.121349529910972</v>
      </c>
      <c r="I64" s="20">
        <v>0.85</v>
      </c>
    </row>
    <row r="65" spans="1:9" x14ac:dyDescent="0.25">
      <c r="A65" s="43" t="s">
        <v>17</v>
      </c>
      <c r="B65" s="49"/>
      <c r="C65" s="43">
        <f>+D27*8*303</f>
        <v>21816000</v>
      </c>
      <c r="D65" s="44"/>
      <c r="E65" s="9">
        <v>5256900</v>
      </c>
      <c r="F65" s="20">
        <v>1</v>
      </c>
      <c r="G65" s="9">
        <f t="shared" si="0"/>
        <v>18543600</v>
      </c>
      <c r="H65" s="20">
        <f t="shared" si="1"/>
        <v>28.348864298194528</v>
      </c>
      <c r="I65" s="20">
        <v>0.85</v>
      </c>
    </row>
    <row r="66" spans="1:9" x14ac:dyDescent="0.25">
      <c r="A66" s="43" t="s">
        <v>19</v>
      </c>
      <c r="B66" s="49"/>
      <c r="C66" s="43">
        <f>+D29*8*303</f>
        <v>22543200</v>
      </c>
      <c r="D66" s="44"/>
      <c r="E66" s="9">
        <v>5256900</v>
      </c>
      <c r="F66" s="20">
        <v>1</v>
      </c>
      <c r="G66" s="9">
        <f t="shared" si="0"/>
        <v>19161720</v>
      </c>
      <c r="H66" s="20">
        <f t="shared" si="1"/>
        <v>27.434384804704383</v>
      </c>
      <c r="I66" s="20">
        <v>0.85</v>
      </c>
    </row>
    <row r="67" spans="1:9" ht="15.75" thickBot="1" x14ac:dyDescent="0.3">
      <c r="A67" s="45" t="s">
        <v>21</v>
      </c>
      <c r="B67" s="54"/>
      <c r="C67" s="45">
        <f>+D33*8*303</f>
        <v>1090800</v>
      </c>
      <c r="D67" s="46"/>
      <c r="E67" s="18">
        <v>5256900</v>
      </c>
      <c r="F67" s="21">
        <v>6</v>
      </c>
      <c r="G67" s="33">
        <f t="shared" si="0"/>
        <v>5563080</v>
      </c>
      <c r="H67" s="34">
        <f t="shared" si="1"/>
        <v>94.496214327315087</v>
      </c>
      <c r="I67" s="21">
        <v>0.85</v>
      </c>
    </row>
    <row r="71" spans="1:9" x14ac:dyDescent="0.25">
      <c r="A71" s="14" t="s">
        <v>48</v>
      </c>
    </row>
    <row r="73" spans="1:9" x14ac:dyDescent="0.25">
      <c r="A73" s="1" t="s">
        <v>49</v>
      </c>
    </row>
    <row r="75" spans="1:9" x14ac:dyDescent="0.25">
      <c r="A75" s="14" t="s">
        <v>50</v>
      </c>
    </row>
    <row r="77" spans="1:9" x14ac:dyDescent="0.25">
      <c r="A77" s="1" t="s">
        <v>51</v>
      </c>
      <c r="F77" s="9" t="s">
        <v>126</v>
      </c>
    </row>
    <row r="79" spans="1:9" x14ac:dyDescent="0.25">
      <c r="A79" s="1" t="s">
        <v>57</v>
      </c>
    </row>
    <row r="80" spans="1:9" x14ac:dyDescent="0.25">
      <c r="A80" s="23" t="s">
        <v>52</v>
      </c>
      <c r="B80" s="58" t="s">
        <v>53</v>
      </c>
      <c r="C80" s="58"/>
      <c r="D80" s="58"/>
      <c r="E80" s="58" t="s">
        <v>54</v>
      </c>
      <c r="F80" s="58"/>
      <c r="G80" s="24" t="s">
        <v>55</v>
      </c>
      <c r="H80" s="58" t="s">
        <v>56</v>
      </c>
      <c r="I80" s="58"/>
    </row>
    <row r="81" spans="1:9" x14ac:dyDescent="0.25">
      <c r="A81" s="25">
        <v>1</v>
      </c>
      <c r="B81" s="50">
        <v>0</v>
      </c>
      <c r="C81" s="50"/>
      <c r="D81" s="50"/>
      <c r="E81" s="50">
        <v>5</v>
      </c>
      <c r="F81" s="50"/>
      <c r="G81" s="24">
        <f>(E81-B81)/2</f>
        <v>2.5</v>
      </c>
      <c r="H81" s="58">
        <f>G81*D4/100</f>
        <v>10951.875</v>
      </c>
      <c r="I81" s="58"/>
    </row>
    <row r="82" spans="1:9" x14ac:dyDescent="0.25">
      <c r="A82" s="25">
        <v>2</v>
      </c>
      <c r="B82" s="50">
        <v>5</v>
      </c>
      <c r="C82" s="50"/>
      <c r="D82" s="50"/>
      <c r="E82" s="50">
        <v>18</v>
      </c>
      <c r="F82" s="50"/>
      <c r="G82" s="24">
        <f>(E82-B82)/2+B82</f>
        <v>11.5</v>
      </c>
      <c r="H82" s="58">
        <f>G82*D4/100</f>
        <v>50378.625</v>
      </c>
      <c r="I82" s="58"/>
    </row>
    <row r="83" spans="1:9" x14ac:dyDescent="0.25">
      <c r="A83" s="25">
        <v>3</v>
      </c>
      <c r="B83" s="50">
        <v>18</v>
      </c>
      <c r="C83" s="50"/>
      <c r="D83" s="50"/>
      <c r="E83" s="50">
        <v>63</v>
      </c>
      <c r="F83" s="50"/>
      <c r="G83" s="24">
        <f>(E83-B83)/2+B83</f>
        <v>40.5</v>
      </c>
      <c r="H83" s="58">
        <f>G83*D4/100</f>
        <v>177420.375</v>
      </c>
      <c r="I83" s="58"/>
    </row>
    <row r="84" spans="1:9" x14ac:dyDescent="0.25">
      <c r="A84" s="25">
        <v>4</v>
      </c>
      <c r="B84" s="50">
        <v>63</v>
      </c>
      <c r="C84" s="50"/>
      <c r="D84" s="50"/>
      <c r="E84" s="50">
        <v>100</v>
      </c>
      <c r="F84" s="50"/>
      <c r="G84" s="24">
        <f>(E84-B84)/2+B84</f>
        <v>81.5</v>
      </c>
      <c r="H84" s="58">
        <f>G84*D4/100</f>
        <v>357031.125</v>
      </c>
      <c r="I84" s="58"/>
    </row>
    <row r="85" spans="1:9" x14ac:dyDescent="0.25">
      <c r="G85" s="12" t="s">
        <v>73</v>
      </c>
      <c r="H85" s="51">
        <f>H81+H82+H83+H84</f>
        <v>595782</v>
      </c>
      <c r="I85" s="51"/>
    </row>
    <row r="86" spans="1:9" ht="16.5" customHeight="1" x14ac:dyDescent="0.25">
      <c r="A86" s="51" t="s">
        <v>58</v>
      </c>
      <c r="B86" s="51"/>
      <c r="C86" s="1">
        <f>8*D4</f>
        <v>3504600</v>
      </c>
    </row>
    <row r="88" spans="1:9" x14ac:dyDescent="0.25">
      <c r="A88" s="57" t="s">
        <v>59</v>
      </c>
      <c r="B88" s="57"/>
      <c r="C88" s="14">
        <f>C86+H85</f>
        <v>4100382</v>
      </c>
    </row>
    <row r="90" spans="1:9" x14ac:dyDescent="0.25">
      <c r="A90" s="1" t="s">
        <v>70</v>
      </c>
      <c r="C90" s="1">
        <f>D4*12</f>
        <v>5256900</v>
      </c>
      <c r="E90" s="9">
        <f>C90*0.009</f>
        <v>47312.1</v>
      </c>
    </row>
    <row r="92" spans="1:9" x14ac:dyDescent="0.25">
      <c r="A92" s="1" t="s">
        <v>60</v>
      </c>
    </row>
    <row r="94" spans="1:9" x14ac:dyDescent="0.25">
      <c r="A94" s="1" t="s">
        <v>61</v>
      </c>
    </row>
    <row r="96" spans="1:9" x14ac:dyDescent="0.25">
      <c r="A96" s="1" t="s">
        <v>62</v>
      </c>
    </row>
    <row r="98" spans="1:7" x14ac:dyDescent="0.25">
      <c r="A98" s="1">
        <f>D4*12</f>
        <v>5256900</v>
      </c>
      <c r="B98" s="1" t="s">
        <v>63</v>
      </c>
      <c r="C98" s="1">
        <f>A98/52</f>
        <v>101094.23076923077</v>
      </c>
    </row>
    <row r="99" spans="1:7" ht="15.75" thickBot="1" x14ac:dyDescent="0.3"/>
    <row r="100" spans="1:7" ht="15.75" thickBot="1" x14ac:dyDescent="0.3">
      <c r="A100" s="14" t="s">
        <v>64</v>
      </c>
      <c r="C100" s="13">
        <f>C98/2</f>
        <v>50547.115384615383</v>
      </c>
      <c r="D100" s="9" t="s">
        <v>65</v>
      </c>
    </row>
    <row r="102" spans="1:7" x14ac:dyDescent="0.25">
      <c r="A102" s="14" t="s">
        <v>66</v>
      </c>
    </row>
    <row r="104" spans="1:7" x14ac:dyDescent="0.25">
      <c r="A104" s="1" t="s">
        <v>67</v>
      </c>
      <c r="B104" s="1">
        <f>C88-C100</f>
        <v>4049834.8846153845</v>
      </c>
    </row>
    <row r="105" spans="1:7" x14ac:dyDescent="0.25">
      <c r="A105" s="1" t="s">
        <v>69</v>
      </c>
      <c r="B105" s="1">
        <f>C90</f>
        <v>5256900</v>
      </c>
    </row>
    <row r="107" spans="1:7" x14ac:dyDescent="0.25">
      <c r="A107" s="14" t="s">
        <v>68</v>
      </c>
    </row>
    <row r="108" spans="1:7" ht="15.75" thickBot="1" x14ac:dyDescent="0.3"/>
    <row r="109" spans="1:7" ht="15.75" thickBot="1" x14ac:dyDescent="0.3">
      <c r="A109" s="1" t="s">
        <v>71</v>
      </c>
      <c r="C109" s="51" t="s">
        <v>72</v>
      </c>
      <c r="D109" s="51"/>
      <c r="E109" s="27">
        <f>D45/4.5</f>
        <v>538.66666666666663</v>
      </c>
    </row>
    <row r="110" spans="1:7" x14ac:dyDescent="0.25">
      <c r="G110" s="1" t="s">
        <v>88</v>
      </c>
    </row>
    <row r="111" spans="1:7" x14ac:dyDescent="0.25">
      <c r="A111" s="1" t="s">
        <v>105</v>
      </c>
      <c r="F111" s="9">
        <f>H85*1.06</f>
        <v>631528.92000000004</v>
      </c>
      <c r="G111" s="1">
        <f>H85*0.06</f>
        <v>35746.92</v>
      </c>
    </row>
    <row r="112" spans="1:7" x14ac:dyDescent="0.25">
      <c r="A112" s="1" t="s">
        <v>74</v>
      </c>
      <c r="F112" s="9">
        <f>C86*1.03</f>
        <v>3609738</v>
      </c>
      <c r="G112" s="1">
        <f>C86*0.03</f>
        <v>105138</v>
      </c>
    </row>
    <row r="113" spans="1:7" x14ac:dyDescent="0.25">
      <c r="A113" s="1" t="s">
        <v>75</v>
      </c>
      <c r="F113" s="9">
        <f>F112+F111</f>
        <v>4241266.92</v>
      </c>
      <c r="G113" s="1">
        <f>G111+G112</f>
        <v>140884.91999999998</v>
      </c>
    </row>
    <row r="114" spans="1:7" x14ac:dyDescent="0.25">
      <c r="A114" s="1" t="s">
        <v>76</v>
      </c>
    </row>
    <row r="116" spans="1:7" x14ac:dyDescent="0.25">
      <c r="A116" s="1" t="s">
        <v>77</v>
      </c>
      <c r="B116" s="1" t="s">
        <v>78</v>
      </c>
      <c r="C116" s="1">
        <f>D4*12*1.03</f>
        <v>5414607</v>
      </c>
    </row>
    <row r="118" spans="1:7" x14ac:dyDescent="0.25">
      <c r="B118" s="1" t="s">
        <v>79</v>
      </c>
      <c r="E118" s="9">
        <f>C116/E109</f>
        <v>10051.86943069307</v>
      </c>
    </row>
    <row r="119" spans="1:7" x14ac:dyDescent="0.25">
      <c r="B119" s="1" t="s">
        <v>80</v>
      </c>
      <c r="E119" s="9">
        <f>E118/1.03</f>
        <v>9759.0965346534667</v>
      </c>
    </row>
    <row r="120" spans="1:7" x14ac:dyDescent="0.25">
      <c r="B120" s="1" t="s">
        <v>81</v>
      </c>
      <c r="E120" s="9">
        <f>E119*0.03</f>
        <v>292.77289603960401</v>
      </c>
    </row>
    <row r="123" spans="1:7" x14ac:dyDescent="0.25">
      <c r="A123" s="1" t="s">
        <v>82</v>
      </c>
    </row>
    <row r="125" spans="1:7" x14ac:dyDescent="0.25">
      <c r="A125" s="1" t="s">
        <v>83</v>
      </c>
      <c r="B125" s="1">
        <f>F113</f>
        <v>4241266.92</v>
      </c>
    </row>
    <row r="126" spans="1:7" x14ac:dyDescent="0.25">
      <c r="A126" s="1" t="s">
        <v>77</v>
      </c>
      <c r="B126" s="1">
        <f>E118</f>
        <v>10051.86943069307</v>
      </c>
    </row>
    <row r="127" spans="1:7" x14ac:dyDescent="0.25">
      <c r="A127" s="1" t="s">
        <v>84</v>
      </c>
      <c r="B127" s="14">
        <f>B125+B126</f>
        <v>4251318.7894306928</v>
      </c>
    </row>
    <row r="129" spans="1:7" x14ac:dyDescent="0.25">
      <c r="A129" s="1" t="s">
        <v>85</v>
      </c>
    </row>
    <row r="130" spans="1:7" x14ac:dyDescent="0.25">
      <c r="A130" s="1" t="s">
        <v>86</v>
      </c>
      <c r="B130" s="14">
        <f>D4*12*1.03</f>
        <v>5414607</v>
      </c>
    </row>
    <row r="131" spans="1:7" x14ac:dyDescent="0.25">
      <c r="A131" s="1" t="s">
        <v>87</v>
      </c>
      <c r="B131" s="1">
        <f>B130/1.03</f>
        <v>5256900</v>
      </c>
    </row>
    <row r="132" spans="1:7" x14ac:dyDescent="0.25">
      <c r="A132" s="1" t="s">
        <v>88</v>
      </c>
      <c r="B132" s="1">
        <f>B131*0.03</f>
        <v>157707</v>
      </c>
    </row>
    <row r="134" spans="1:7" x14ac:dyDescent="0.25">
      <c r="A134" s="14" t="s">
        <v>89</v>
      </c>
    </row>
    <row r="135" spans="1:7" x14ac:dyDescent="0.25">
      <c r="A135" s="1" t="s">
        <v>107</v>
      </c>
    </row>
    <row r="137" spans="1:7" ht="15.75" thickBot="1" x14ac:dyDescent="0.3">
      <c r="A137" s="14" t="s">
        <v>90</v>
      </c>
    </row>
    <row r="138" spans="1:7" ht="15.75" thickBot="1" x14ac:dyDescent="0.3">
      <c r="A138" s="28"/>
      <c r="B138" s="28" t="s">
        <v>98</v>
      </c>
      <c r="C138" s="28" t="s">
        <v>99</v>
      </c>
      <c r="D138" s="28" t="s">
        <v>100</v>
      </c>
      <c r="E138" s="28" t="s">
        <v>101</v>
      </c>
      <c r="F138" s="28" t="s">
        <v>102</v>
      </c>
      <c r="G138" s="28" t="s">
        <v>103</v>
      </c>
    </row>
    <row r="139" spans="1:7" ht="15.75" thickBot="1" x14ac:dyDescent="0.3">
      <c r="A139" s="28" t="s">
        <v>91</v>
      </c>
      <c r="B139" s="28"/>
      <c r="C139" s="28">
        <f>C88-C100</f>
        <v>4049834.8846153845</v>
      </c>
      <c r="D139" s="28">
        <f>C90</f>
        <v>5256900</v>
      </c>
      <c r="E139" s="28">
        <v>5256900</v>
      </c>
      <c r="F139" s="28">
        <v>5256900</v>
      </c>
      <c r="G139" s="28">
        <v>5256900</v>
      </c>
    </row>
    <row r="140" spans="1:7" ht="15.75" thickBot="1" x14ac:dyDescent="0.3">
      <c r="A140" s="28" t="s">
        <v>92</v>
      </c>
      <c r="B140" s="28"/>
      <c r="C140" s="28">
        <f>C100</f>
        <v>50547.115384615383</v>
      </c>
      <c r="D140" s="28">
        <v>50547.115384615383</v>
      </c>
      <c r="E140" s="28">
        <v>50547.115384615383</v>
      </c>
      <c r="F140" s="28">
        <v>50547.115384615383</v>
      </c>
      <c r="G140" s="28">
        <v>50547.115384615383</v>
      </c>
    </row>
    <row r="141" spans="1:7" ht="15.75" thickBot="1" x14ac:dyDescent="0.3">
      <c r="A141" s="28" t="s">
        <v>93</v>
      </c>
      <c r="B141" s="28"/>
      <c r="C141" s="28">
        <f>C140+C139</f>
        <v>4100382</v>
      </c>
      <c r="D141" s="28">
        <f>D139</f>
        <v>5256900</v>
      </c>
      <c r="E141" s="28">
        <v>5256900</v>
      </c>
      <c r="F141" s="28">
        <v>5256900</v>
      </c>
      <c r="G141" s="28">
        <v>5256900</v>
      </c>
    </row>
    <row r="142" spans="1:7" ht="15.75" thickBot="1" x14ac:dyDescent="0.3">
      <c r="A142" s="28" t="s">
        <v>94</v>
      </c>
      <c r="B142" s="28"/>
      <c r="C142" s="28">
        <f>E118</f>
        <v>10051.86943069307</v>
      </c>
      <c r="D142" s="28">
        <v>10051.86943069307</v>
      </c>
      <c r="E142" s="28">
        <v>10051.86943069307</v>
      </c>
      <c r="F142" s="28">
        <v>10051.86943069307</v>
      </c>
      <c r="G142" s="28">
        <v>10051.86943069307</v>
      </c>
    </row>
    <row r="143" spans="1:7" ht="15.75" thickBot="1" x14ac:dyDescent="0.3">
      <c r="A143" s="28" t="s">
        <v>88</v>
      </c>
      <c r="B143" s="28"/>
      <c r="C143" s="28">
        <f>G113+E118</f>
        <v>150936.78943069305</v>
      </c>
      <c r="D143" s="28">
        <f>B132</f>
        <v>157707</v>
      </c>
      <c r="E143" s="28">
        <v>157707</v>
      </c>
      <c r="F143" s="28">
        <v>157707</v>
      </c>
      <c r="G143" s="28">
        <v>157707</v>
      </c>
    </row>
    <row r="144" spans="1:7" ht="15.75" thickBot="1" x14ac:dyDescent="0.3">
      <c r="A144" s="28" t="s">
        <v>95</v>
      </c>
      <c r="B144" s="28"/>
      <c r="C144" s="28">
        <f>C141+C142+C143</f>
        <v>4261370.6588613857</v>
      </c>
      <c r="D144" s="28">
        <f>D141+D142+D143</f>
        <v>5424658.8694306929</v>
      </c>
      <c r="E144" s="28">
        <v>5424658.8694306929</v>
      </c>
      <c r="F144" s="28">
        <v>5424658.8694306929</v>
      </c>
      <c r="G144" s="28">
        <v>5424658.8694306929</v>
      </c>
    </row>
    <row r="145" spans="1:7" ht="15.75" thickBot="1" x14ac:dyDescent="0.3">
      <c r="A145" s="28" t="s">
        <v>96</v>
      </c>
      <c r="B145" s="29">
        <v>10051.870000000001</v>
      </c>
      <c r="C145" s="29" t="s">
        <v>106</v>
      </c>
      <c r="D145" s="29" t="s">
        <v>106</v>
      </c>
      <c r="E145" s="29" t="s">
        <v>106</v>
      </c>
      <c r="F145" s="29" t="s">
        <v>106</v>
      </c>
      <c r="G145" s="29" t="s">
        <v>106</v>
      </c>
    </row>
    <row r="146" spans="1:7" ht="15.75" thickBot="1" x14ac:dyDescent="0.3">
      <c r="A146" s="28" t="s">
        <v>97</v>
      </c>
      <c r="B146" s="28">
        <v>10051.870000000001</v>
      </c>
      <c r="C146" s="28">
        <f>C144</f>
        <v>4261370.6588613857</v>
      </c>
      <c r="D146" s="28">
        <f>D144</f>
        <v>5424658.8694306929</v>
      </c>
      <c r="E146" s="28">
        <f>E144</f>
        <v>5424658.8694306929</v>
      </c>
      <c r="F146" s="28">
        <f>F144</f>
        <v>5424658.8694306929</v>
      </c>
      <c r="G146" s="28">
        <f>G144</f>
        <v>5424658.8694306929</v>
      </c>
    </row>
    <row r="149" spans="1:7" x14ac:dyDescent="0.25">
      <c r="A149" s="1" t="s">
        <v>104</v>
      </c>
    </row>
    <row r="154" spans="1:7" ht="15.75" thickBot="1" x14ac:dyDescent="0.3">
      <c r="A154" s="1" t="s">
        <v>110</v>
      </c>
    </row>
    <row r="155" spans="1:7" ht="15.75" thickBot="1" x14ac:dyDescent="0.3">
      <c r="A155" s="28"/>
      <c r="B155" s="28" t="s">
        <v>98</v>
      </c>
      <c r="C155" s="28" t="s">
        <v>99</v>
      </c>
      <c r="D155" s="28" t="s">
        <v>100</v>
      </c>
      <c r="E155" s="28" t="s">
        <v>101</v>
      </c>
      <c r="F155" s="28" t="s">
        <v>102</v>
      </c>
      <c r="G155" s="28" t="s">
        <v>103</v>
      </c>
    </row>
    <row r="156" spans="1:7" ht="15.75" thickBot="1" x14ac:dyDescent="0.3">
      <c r="A156" s="28" t="s">
        <v>91</v>
      </c>
      <c r="B156" s="28"/>
      <c r="C156" s="28">
        <f>C139*0.009*2.2</f>
        <v>80186.73071538462</v>
      </c>
      <c r="D156" s="28">
        <f>D139*0.009*2.2</f>
        <v>104086.62000000001</v>
      </c>
      <c r="E156" s="28">
        <f t="shared" ref="E156:G156" si="2">E139*0.009*2.2</f>
        <v>104086.62000000001</v>
      </c>
      <c r="F156" s="28">
        <f t="shared" si="2"/>
        <v>104086.62000000001</v>
      </c>
      <c r="G156" s="28">
        <f t="shared" si="2"/>
        <v>104086.62000000001</v>
      </c>
    </row>
    <row r="157" spans="1:7" ht="15.75" thickBot="1" x14ac:dyDescent="0.3">
      <c r="A157" s="28" t="s">
        <v>92</v>
      </c>
      <c r="B157" s="28"/>
      <c r="C157" s="28">
        <f>C140*0.009*2.2</f>
        <v>1000.8328846153846</v>
      </c>
      <c r="D157" s="28">
        <f>50547.1153846154*0.009*2.2</f>
        <v>1000.8328846153848</v>
      </c>
      <c r="E157" s="28">
        <f t="shared" ref="E157:G157" si="3">50547.1153846154*0.009*2.2</f>
        <v>1000.8328846153848</v>
      </c>
      <c r="F157" s="28">
        <f t="shared" si="3"/>
        <v>1000.8328846153848</v>
      </c>
      <c r="G157" s="28">
        <f t="shared" si="3"/>
        <v>1000.8328846153848</v>
      </c>
    </row>
    <row r="158" spans="1:7" ht="15.75" thickBot="1" x14ac:dyDescent="0.3">
      <c r="A158" s="28" t="s">
        <v>93</v>
      </c>
      <c r="B158" s="28"/>
      <c r="C158" s="28">
        <f>C157+C156</f>
        <v>81187.563600000009</v>
      </c>
      <c r="D158" s="28">
        <f>D156</f>
        <v>104086.62000000001</v>
      </c>
      <c r="E158" s="28">
        <f>E156</f>
        <v>104086.62000000001</v>
      </c>
      <c r="F158" s="28">
        <f t="shared" ref="F158:G158" si="4">F156</f>
        <v>104086.62000000001</v>
      </c>
      <c r="G158" s="28">
        <f t="shared" si="4"/>
        <v>104086.62000000001</v>
      </c>
    </row>
    <row r="159" spans="1:7" ht="15.75" thickBot="1" x14ac:dyDescent="0.3">
      <c r="A159" s="28" t="s">
        <v>94</v>
      </c>
      <c r="B159" s="28"/>
      <c r="C159" s="28">
        <f>C142*0.009*2.2</f>
        <v>199.02701472772279</v>
      </c>
      <c r="D159" s="28">
        <f t="shared" ref="D159:G159" si="5">D142*0.009*2.2</f>
        <v>199.02701472772279</v>
      </c>
      <c r="E159" s="28">
        <f t="shared" si="5"/>
        <v>199.02701472772279</v>
      </c>
      <c r="F159" s="28">
        <f t="shared" si="5"/>
        <v>199.02701472772279</v>
      </c>
      <c r="G159" s="28">
        <f t="shared" si="5"/>
        <v>199.02701472772279</v>
      </c>
    </row>
    <row r="160" spans="1:7" ht="15.75" thickBot="1" x14ac:dyDescent="0.3">
      <c r="A160" s="28" t="s">
        <v>88</v>
      </c>
      <c r="B160" s="28"/>
      <c r="C160" s="28">
        <f>C143*0.009*2.2</f>
        <v>2988.5484307277225</v>
      </c>
      <c r="D160" s="28">
        <f>D143*0.009*2.2</f>
        <v>3122.5985999999998</v>
      </c>
      <c r="E160" s="28">
        <f t="shared" ref="E160:G160" si="6">E143*0.009*2.2</f>
        <v>3122.5985999999998</v>
      </c>
      <c r="F160" s="28">
        <f t="shared" si="6"/>
        <v>3122.5985999999998</v>
      </c>
      <c r="G160" s="28">
        <f t="shared" si="6"/>
        <v>3122.5985999999998</v>
      </c>
    </row>
    <row r="161" spans="1:7" ht="15.75" thickBot="1" x14ac:dyDescent="0.3">
      <c r="A161" s="28" t="s">
        <v>95</v>
      </c>
      <c r="B161" s="28"/>
      <c r="C161" s="28">
        <f>C158+C159+C160</f>
        <v>84375.139045455449</v>
      </c>
      <c r="D161" s="28">
        <f>D158+D159+D160</f>
        <v>107408.24561472773</v>
      </c>
      <c r="E161" s="28">
        <f t="shared" ref="E161:G161" si="7">E158+E159+E160</f>
        <v>107408.24561472773</v>
      </c>
      <c r="F161" s="28">
        <f t="shared" si="7"/>
        <v>107408.24561472773</v>
      </c>
      <c r="G161" s="28">
        <f t="shared" si="7"/>
        <v>107408.24561472773</v>
      </c>
    </row>
    <row r="162" spans="1:7" ht="15.75" thickBot="1" x14ac:dyDescent="0.3">
      <c r="A162" s="28" t="s">
        <v>96</v>
      </c>
      <c r="B162" s="29">
        <f>C159</f>
        <v>199.02701472772279</v>
      </c>
      <c r="C162" s="29" t="s">
        <v>106</v>
      </c>
      <c r="D162" s="29" t="s">
        <v>106</v>
      </c>
      <c r="E162" s="29" t="s">
        <v>106</v>
      </c>
      <c r="F162" s="29" t="s">
        <v>106</v>
      </c>
      <c r="G162" s="29" t="s">
        <v>106</v>
      </c>
    </row>
    <row r="163" spans="1:7" ht="15.75" thickBot="1" x14ac:dyDescent="0.3">
      <c r="A163" s="28" t="s">
        <v>97</v>
      </c>
      <c r="B163" s="28">
        <f>B146*0.009*2.2</f>
        <v>199.02702600000001</v>
      </c>
      <c r="C163" s="28">
        <f>C161</f>
        <v>84375.139045455449</v>
      </c>
      <c r="D163" s="28">
        <f>D161</f>
        <v>107408.24561472773</v>
      </c>
      <c r="E163" s="28">
        <f>E161</f>
        <v>107408.24561472773</v>
      </c>
      <c r="F163" s="28">
        <f>F161</f>
        <v>107408.24561472773</v>
      </c>
      <c r="G163" s="28">
        <f>G161</f>
        <v>107408.24561472773</v>
      </c>
    </row>
  </sheetData>
  <mergeCells count="41">
    <mergeCell ref="H85:I85"/>
    <mergeCell ref="A88:B88"/>
    <mergeCell ref="A86:B86"/>
    <mergeCell ref="C109:D109"/>
    <mergeCell ref="H80:I80"/>
    <mergeCell ref="H81:I81"/>
    <mergeCell ref="H82:I82"/>
    <mergeCell ref="H83:I83"/>
    <mergeCell ref="H84:I84"/>
    <mergeCell ref="E81:F81"/>
    <mergeCell ref="E80:F80"/>
    <mergeCell ref="E82:F82"/>
    <mergeCell ref="E83:F83"/>
    <mergeCell ref="E84:F84"/>
    <mergeCell ref="B80:D80"/>
    <mergeCell ref="B81:D81"/>
    <mergeCell ref="B82:D82"/>
    <mergeCell ref="B83:D83"/>
    <mergeCell ref="B84:D84"/>
    <mergeCell ref="A65:B65"/>
    <mergeCell ref="A43:B43"/>
    <mergeCell ref="A45:C45"/>
    <mergeCell ref="A48:B48"/>
    <mergeCell ref="A50:C50"/>
    <mergeCell ref="A60:B60"/>
    <mergeCell ref="A66:B66"/>
    <mergeCell ref="A67:B67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A59:B59"/>
    <mergeCell ref="A61:B61"/>
    <mergeCell ref="A62:B62"/>
    <mergeCell ref="A63:B63"/>
    <mergeCell ref="A64:B64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workbookViewId="0">
      <selection activeCell="I10" sqref="I10"/>
    </sheetView>
  </sheetViews>
  <sheetFormatPr defaultColWidth="10.7109375" defaultRowHeight="15" x14ac:dyDescent="0.25"/>
  <cols>
    <col min="6" max="6" width="20.5703125" bestFit="1" customWidth="1"/>
    <col min="7" max="7" width="15.7109375" bestFit="1" customWidth="1"/>
    <col min="8" max="8" width="22.28515625" bestFit="1" customWidth="1"/>
  </cols>
  <sheetData>
    <row r="1" spans="1:10" x14ac:dyDescent="0.25">
      <c r="A1" s="1" t="s">
        <v>0</v>
      </c>
      <c r="B1" s="1"/>
      <c r="C1" s="1"/>
      <c r="D1" s="1"/>
      <c r="E1" s="1"/>
    </row>
    <row r="2" spans="1:10" x14ac:dyDescent="0.25">
      <c r="A2" s="1"/>
      <c r="B2" s="30" t="s">
        <v>111</v>
      </c>
      <c r="C2" s="30"/>
      <c r="D2" s="31"/>
      <c r="E2" s="31"/>
    </row>
    <row r="3" spans="1:10" ht="15.75" thickBot="1" x14ac:dyDescent="0.3">
      <c r="A3" s="1"/>
      <c r="B3" s="1" t="s">
        <v>1</v>
      </c>
      <c r="C3" s="1"/>
      <c r="D3" s="1"/>
      <c r="E3" s="1">
        <v>876150</v>
      </c>
    </row>
    <row r="4" spans="1:10" ht="15.75" thickBot="1" x14ac:dyDescent="0.3">
      <c r="A4" s="1"/>
      <c r="B4" t="s">
        <v>117</v>
      </c>
      <c r="E4" s="1">
        <f>+E3/24/8</f>
        <v>4563.28125</v>
      </c>
      <c r="H4" s="38" t="s">
        <v>118</v>
      </c>
      <c r="I4" s="35">
        <f>+E4</f>
        <v>4563.28125</v>
      </c>
    </row>
    <row r="5" spans="1:10" ht="15.75" thickBot="1" x14ac:dyDescent="0.3">
      <c r="A5" s="9"/>
      <c r="B5" s="9"/>
      <c r="C5" s="9"/>
      <c r="D5" s="9"/>
      <c r="E5" s="9"/>
      <c r="F5" s="36"/>
      <c r="G5" s="36"/>
      <c r="H5" s="37"/>
      <c r="I5" s="37"/>
      <c r="J5" s="37"/>
    </row>
    <row r="6" spans="1:10" ht="15.75" thickBot="1" x14ac:dyDescent="0.3">
      <c r="A6" s="47" t="s">
        <v>38</v>
      </c>
      <c r="B6" s="48"/>
      <c r="C6" s="32" t="s">
        <v>120</v>
      </c>
      <c r="D6" s="47" t="s">
        <v>44</v>
      </c>
      <c r="E6" s="55"/>
      <c r="F6" s="15" t="s">
        <v>43</v>
      </c>
      <c r="G6" s="22" t="s">
        <v>45</v>
      </c>
      <c r="H6" s="22" t="s">
        <v>46</v>
      </c>
      <c r="I6" s="16" t="s">
        <v>47</v>
      </c>
      <c r="J6" s="28" t="s">
        <v>114</v>
      </c>
    </row>
    <row r="7" spans="1:10" x14ac:dyDescent="0.25">
      <c r="A7" s="52" t="s">
        <v>119</v>
      </c>
      <c r="B7" s="53"/>
      <c r="C7" s="39">
        <v>2250</v>
      </c>
      <c r="D7" s="52">
        <f>+C7*8*303</f>
        <v>5454000</v>
      </c>
      <c r="E7" s="56"/>
      <c r="F7" s="17">
        <f>+E3*12</f>
        <v>10513800</v>
      </c>
      <c r="G7" s="19">
        <v>3</v>
      </c>
      <c r="H7" s="17">
        <f>+D7*G7*J7</f>
        <v>13907700</v>
      </c>
      <c r="I7" s="19">
        <f>+F7/H7*100</f>
        <v>75.596971461852064</v>
      </c>
      <c r="J7" s="19">
        <v>0.85</v>
      </c>
    </row>
    <row r="8" spans="1:10" ht="15.75" thickBot="1" x14ac:dyDescent="0.3">
      <c r="A8" s="45" t="s">
        <v>123</v>
      </c>
      <c r="B8" s="54"/>
      <c r="C8" s="40">
        <v>3000</v>
      </c>
      <c r="D8" s="45">
        <f>+C8*8*303</f>
        <v>7272000</v>
      </c>
      <c r="E8" s="46"/>
      <c r="F8" s="18">
        <f>+F7</f>
        <v>10513800</v>
      </c>
      <c r="G8" s="21">
        <v>2</v>
      </c>
      <c r="H8" s="18">
        <f t="shared" ref="H8" si="0">+D8*G8*J8</f>
        <v>12362400</v>
      </c>
      <c r="I8" s="42">
        <f t="shared" ref="I8" si="1">+F8/H8*100</f>
        <v>85.046592894583569</v>
      </c>
      <c r="J8" s="21">
        <v>0.85</v>
      </c>
    </row>
    <row r="9" spans="1:10" x14ac:dyDescent="0.25">
      <c r="A9" s="9"/>
      <c r="B9" s="9"/>
      <c r="C9" s="9"/>
      <c r="D9" s="9"/>
      <c r="E9" s="9"/>
      <c r="F9" s="9"/>
      <c r="G9" s="9"/>
      <c r="H9" s="37"/>
      <c r="I9" s="37"/>
      <c r="J9" s="37"/>
    </row>
    <row r="10" spans="1:10" x14ac:dyDescent="0.25">
      <c r="A10" s="41"/>
      <c r="B10" s="41"/>
      <c r="C10" s="9"/>
      <c r="D10" s="9"/>
      <c r="E10" s="9"/>
      <c r="F10" s="9"/>
      <c r="G10" s="9"/>
      <c r="H10" s="37"/>
      <c r="I10" s="37"/>
      <c r="J10" s="37"/>
    </row>
    <row r="11" spans="1:10" x14ac:dyDescent="0.25">
      <c r="A11" s="9" t="s">
        <v>121</v>
      </c>
      <c r="B11" s="9"/>
      <c r="C11" s="9"/>
      <c r="D11" s="9"/>
      <c r="E11" s="9"/>
      <c r="F11" s="9"/>
      <c r="G11" s="9"/>
      <c r="H11" s="37"/>
      <c r="I11" s="37"/>
      <c r="J11" s="37"/>
    </row>
    <row r="12" spans="1:10" x14ac:dyDescent="0.25">
      <c r="A12" s="9" t="s">
        <v>122</v>
      </c>
      <c r="B12" s="9"/>
      <c r="C12" s="9"/>
      <c r="D12" s="9"/>
      <c r="E12" s="9"/>
      <c r="F12" s="9"/>
      <c r="G12" s="9"/>
      <c r="H12" s="37"/>
      <c r="I12" s="37"/>
      <c r="J12" s="37"/>
    </row>
    <row r="13" spans="1:10" x14ac:dyDescent="0.25">
      <c r="A13" s="9" t="s">
        <v>124</v>
      </c>
      <c r="B13" s="9"/>
      <c r="C13" s="9"/>
      <c r="D13" s="9"/>
      <c r="E13" s="9"/>
      <c r="F13" s="9"/>
      <c r="G13" s="9"/>
      <c r="H13" s="37"/>
      <c r="I13" s="37"/>
      <c r="J13" s="37"/>
    </row>
    <row r="14" spans="1:10" x14ac:dyDescent="0.25">
      <c r="A14" s="9"/>
      <c r="B14" s="9"/>
      <c r="C14" s="9"/>
      <c r="D14" s="9"/>
      <c r="E14" s="9"/>
      <c r="F14" s="9"/>
      <c r="G14" s="9"/>
      <c r="H14" s="37"/>
      <c r="I14" s="37"/>
      <c r="J14" s="37"/>
    </row>
    <row r="15" spans="1:10" x14ac:dyDescent="0.25">
      <c r="A15" s="9"/>
      <c r="B15" s="9"/>
      <c r="C15" s="9"/>
      <c r="D15" s="9"/>
      <c r="E15" s="9"/>
      <c r="F15" s="9"/>
      <c r="G15" s="9"/>
      <c r="H15" s="37"/>
      <c r="I15" s="37"/>
      <c r="J15" s="37"/>
    </row>
    <row r="16" spans="1:10" x14ac:dyDescent="0.25">
      <c r="A16" s="9" t="s">
        <v>125</v>
      </c>
      <c r="B16" s="9"/>
      <c r="C16" s="9"/>
      <c r="D16" s="9"/>
      <c r="E16" s="9"/>
      <c r="F16" s="9"/>
      <c r="G16" s="9"/>
      <c r="H16" s="37"/>
      <c r="I16" s="37"/>
      <c r="J16" s="37"/>
    </row>
    <row r="17" spans="1:10" x14ac:dyDescent="0.25">
      <c r="A17" s="9"/>
      <c r="B17" s="9"/>
      <c r="C17" s="9"/>
      <c r="D17" s="9"/>
      <c r="E17" s="9"/>
      <c r="F17" s="9"/>
      <c r="G17" s="9"/>
      <c r="H17" s="37"/>
      <c r="I17" s="37"/>
      <c r="J17" s="37"/>
    </row>
    <row r="18" spans="1:10" x14ac:dyDescent="0.25">
      <c r="A18" s="9"/>
      <c r="B18" s="9"/>
      <c r="C18" s="9"/>
      <c r="D18" s="9"/>
      <c r="E18" s="9"/>
      <c r="F18" s="9"/>
      <c r="G18" s="9"/>
      <c r="H18" s="37"/>
      <c r="I18" s="37"/>
      <c r="J18" s="37"/>
    </row>
    <row r="19" spans="1:10" x14ac:dyDescent="0.25">
      <c r="A19" s="9"/>
      <c r="B19" s="9"/>
      <c r="C19" s="9"/>
      <c r="D19" s="9"/>
      <c r="E19" s="9"/>
      <c r="F19" s="9"/>
      <c r="G19" s="9"/>
      <c r="H19" s="37"/>
      <c r="I19" s="37"/>
      <c r="J19" s="37"/>
    </row>
    <row r="20" spans="1:10" x14ac:dyDescent="0.25">
      <c r="A20" s="9"/>
      <c r="B20" s="9"/>
      <c r="C20" s="9"/>
      <c r="D20" s="9"/>
      <c r="E20" s="9"/>
      <c r="F20" s="9"/>
      <c r="G20" s="9"/>
      <c r="H20" s="37"/>
      <c r="I20" s="37"/>
      <c r="J20" s="37"/>
    </row>
    <row r="21" spans="1:10" x14ac:dyDescent="0.25">
      <c r="A21" s="9"/>
      <c r="B21" s="9"/>
      <c r="C21" s="9"/>
      <c r="D21" s="9"/>
      <c r="E21" s="9"/>
      <c r="F21" s="9"/>
      <c r="G21" s="9"/>
      <c r="H21" s="37"/>
      <c r="I21" s="37"/>
      <c r="J21" s="37"/>
    </row>
    <row r="22" spans="1:10" x14ac:dyDescent="0.25">
      <c r="A22" s="9"/>
      <c r="B22" s="9"/>
      <c r="C22" s="9"/>
      <c r="D22" s="9"/>
      <c r="E22" s="9"/>
      <c r="F22" s="9"/>
      <c r="G22" s="9"/>
      <c r="H22" s="37"/>
      <c r="I22" s="37"/>
      <c r="J22" s="37"/>
    </row>
    <row r="23" spans="1:10" x14ac:dyDescent="0.25">
      <c r="A23" s="9"/>
      <c r="B23" s="9"/>
      <c r="C23" s="9"/>
      <c r="D23" s="9"/>
      <c r="E23" s="9"/>
      <c r="F23" s="9"/>
      <c r="G23" s="9"/>
      <c r="H23" s="37"/>
      <c r="I23" s="37"/>
      <c r="J23" s="37"/>
    </row>
    <row r="24" spans="1:10" x14ac:dyDescent="0.25">
      <c r="A24" s="37"/>
      <c r="B24" s="37"/>
      <c r="C24" s="37"/>
      <c r="D24" s="37"/>
      <c r="E24" s="37"/>
      <c r="F24" s="37"/>
      <c r="G24" s="37"/>
      <c r="H24" s="37"/>
      <c r="I24" s="37"/>
      <c r="J24" s="37"/>
    </row>
    <row r="25" spans="1:10" x14ac:dyDescent="0.25">
      <c r="A25" s="37"/>
      <c r="B25" s="37"/>
      <c r="C25" s="37"/>
      <c r="D25" s="37"/>
      <c r="E25" s="37"/>
      <c r="F25" s="37"/>
      <c r="G25" s="37"/>
      <c r="H25" s="37"/>
      <c r="I25" s="37"/>
      <c r="J25" s="37"/>
    </row>
    <row r="26" spans="1:10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</row>
    <row r="27" spans="1:10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</row>
    <row r="28" spans="1:10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7"/>
    </row>
    <row r="29" spans="1:10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</row>
    <row r="30" spans="1:10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10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7"/>
    </row>
    <row r="32" spans="1:10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</row>
    <row r="33" spans="1:10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7"/>
    </row>
    <row r="34" spans="1:10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</row>
    <row r="35" spans="1:10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</row>
    <row r="36" spans="1:10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</row>
    <row r="37" spans="1:10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</row>
    <row r="38" spans="1:10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</row>
    <row r="39" spans="1:10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</row>
    <row r="40" spans="1:10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</row>
    <row r="42" spans="1:10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</row>
    <row r="43" spans="1:10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</row>
    <row r="44" spans="1:10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</row>
    <row r="45" spans="1:10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</row>
    <row r="46" spans="1:10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</row>
    <row r="47" spans="1:10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</row>
    <row r="48" spans="1:10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</row>
    <row r="49" spans="1:10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</row>
    <row r="50" spans="1:10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</row>
    <row r="52" spans="1:10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</row>
    <row r="53" spans="1:10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</row>
    <row r="54" spans="1:10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</row>
    <row r="55" spans="1:10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</row>
    <row r="56" spans="1:10" x14ac:dyDescent="0.25">
      <c r="A56" s="37"/>
      <c r="B56" s="37"/>
      <c r="C56" s="37"/>
      <c r="D56" s="37"/>
      <c r="E56" s="37"/>
      <c r="F56" s="37"/>
      <c r="G56" s="37"/>
      <c r="H56" s="37"/>
      <c r="I56" s="37"/>
      <c r="J56" s="37"/>
    </row>
    <row r="57" spans="1:10" x14ac:dyDescent="0.25">
      <c r="A57" s="37"/>
      <c r="B57" s="37"/>
      <c r="C57" s="37"/>
      <c r="D57" s="37"/>
      <c r="E57" s="37"/>
      <c r="F57" s="37"/>
      <c r="G57" s="37"/>
      <c r="H57" s="37"/>
      <c r="I57" s="37"/>
      <c r="J57" s="37"/>
    </row>
    <row r="58" spans="1:10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</row>
    <row r="59" spans="1:10" x14ac:dyDescent="0.25">
      <c r="A59" s="37"/>
      <c r="B59" s="37"/>
      <c r="C59" s="37"/>
      <c r="D59" s="37"/>
      <c r="E59" s="37"/>
      <c r="F59" s="37"/>
      <c r="G59" s="37"/>
      <c r="H59" s="37"/>
      <c r="I59" s="37"/>
      <c r="J59" s="37"/>
    </row>
    <row r="60" spans="1:10" x14ac:dyDescent="0.25">
      <c r="A60" s="37"/>
      <c r="B60" s="37"/>
      <c r="C60" s="37"/>
      <c r="D60" s="37"/>
      <c r="E60" s="37"/>
      <c r="F60" s="37"/>
      <c r="G60" s="37"/>
      <c r="H60" s="37"/>
      <c r="I60" s="37"/>
      <c r="J60" s="37"/>
    </row>
    <row r="61" spans="1:10" x14ac:dyDescent="0.25">
      <c r="A61" s="37"/>
      <c r="B61" s="37"/>
      <c r="C61" s="37"/>
      <c r="D61" s="37"/>
      <c r="E61" s="37"/>
      <c r="F61" s="37"/>
      <c r="G61" s="37"/>
      <c r="H61" s="37"/>
      <c r="I61" s="37"/>
      <c r="J61" s="37"/>
    </row>
    <row r="62" spans="1:10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</row>
    <row r="63" spans="1:10" x14ac:dyDescent="0.25">
      <c r="A63" s="37"/>
      <c r="B63" s="37"/>
      <c r="C63" s="37"/>
      <c r="D63" s="37"/>
      <c r="E63" s="37"/>
      <c r="F63" s="37"/>
      <c r="G63" s="37"/>
      <c r="H63" s="37"/>
      <c r="I63" s="37"/>
      <c r="J63" s="37"/>
    </row>
    <row r="64" spans="1:10" x14ac:dyDescent="0.25">
      <c r="A64" s="37"/>
      <c r="B64" s="37"/>
      <c r="C64" s="37"/>
      <c r="D64" s="37"/>
      <c r="E64" s="37"/>
      <c r="F64" s="37"/>
      <c r="G64" s="37"/>
      <c r="H64" s="37"/>
      <c r="I64" s="37"/>
      <c r="J64" s="37"/>
    </row>
    <row r="65" spans="1:10" x14ac:dyDescent="0.25">
      <c r="A65" s="37"/>
      <c r="B65" s="37"/>
      <c r="C65" s="37"/>
      <c r="D65" s="37"/>
      <c r="E65" s="37"/>
      <c r="F65" s="37"/>
      <c r="G65" s="37"/>
      <c r="H65" s="37"/>
      <c r="I65" s="37"/>
      <c r="J65" s="37"/>
    </row>
    <row r="66" spans="1:10" x14ac:dyDescent="0.25">
      <c r="A66" s="37"/>
      <c r="B66" s="37"/>
      <c r="C66" s="37"/>
      <c r="D66" s="37"/>
      <c r="E66" s="37"/>
      <c r="F66" s="37"/>
      <c r="G66" s="37"/>
      <c r="H66" s="37"/>
      <c r="I66" s="37"/>
      <c r="J66" s="37"/>
    </row>
    <row r="67" spans="1:10" x14ac:dyDescent="0.25">
      <c r="A67" s="37"/>
      <c r="B67" s="37"/>
      <c r="C67" s="37"/>
      <c r="D67" s="37"/>
      <c r="E67" s="37"/>
      <c r="F67" s="37"/>
      <c r="G67" s="37"/>
      <c r="H67" s="37"/>
      <c r="I67" s="37"/>
      <c r="J67" s="37"/>
    </row>
    <row r="68" spans="1:10" x14ac:dyDescent="0.25">
      <c r="A68" s="37"/>
      <c r="B68" s="37"/>
      <c r="C68" s="37"/>
      <c r="D68" s="37"/>
      <c r="E68" s="37"/>
      <c r="F68" s="37"/>
      <c r="G68" s="37"/>
      <c r="H68" s="37"/>
      <c r="I68" s="37"/>
      <c r="J68" s="37"/>
    </row>
    <row r="69" spans="1:10" x14ac:dyDescent="0.25">
      <c r="A69" s="37"/>
      <c r="B69" s="37"/>
      <c r="C69" s="37"/>
      <c r="D69" s="37"/>
      <c r="E69" s="37"/>
      <c r="F69" s="37"/>
      <c r="G69" s="37"/>
      <c r="H69" s="37"/>
      <c r="I69" s="37"/>
      <c r="J69" s="37"/>
    </row>
    <row r="70" spans="1:10" x14ac:dyDescent="0.25">
      <c r="A70" s="37"/>
      <c r="B70" s="37"/>
      <c r="C70" s="37"/>
      <c r="D70" s="37"/>
      <c r="E70" s="37"/>
      <c r="F70" s="37"/>
      <c r="G70" s="37"/>
      <c r="H70" s="37"/>
      <c r="I70" s="37"/>
      <c r="J70" s="37"/>
    </row>
    <row r="71" spans="1:10" x14ac:dyDescent="0.25">
      <c r="A71" s="37"/>
      <c r="B71" s="37"/>
      <c r="C71" s="37"/>
      <c r="D71" s="37"/>
      <c r="E71" s="37"/>
      <c r="F71" s="37"/>
      <c r="G71" s="37"/>
      <c r="H71" s="37"/>
      <c r="I71" s="37"/>
      <c r="J71" s="37"/>
    </row>
    <row r="72" spans="1:10" x14ac:dyDescent="0.25">
      <c r="A72" s="37"/>
      <c r="B72" s="37"/>
      <c r="C72" s="37"/>
      <c r="D72" s="37"/>
      <c r="E72" s="37"/>
      <c r="F72" s="37"/>
      <c r="G72" s="37"/>
      <c r="H72" s="37"/>
      <c r="I72" s="37"/>
      <c r="J72" s="37"/>
    </row>
    <row r="73" spans="1:10" x14ac:dyDescent="0.25">
      <c r="A73" s="37"/>
      <c r="B73" s="37"/>
      <c r="C73" s="37"/>
      <c r="D73" s="37"/>
      <c r="E73" s="37"/>
      <c r="F73" s="37"/>
      <c r="G73" s="37"/>
      <c r="H73" s="37"/>
      <c r="I73" s="37"/>
      <c r="J73" s="37"/>
    </row>
    <row r="74" spans="1:10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</row>
    <row r="75" spans="1:10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</row>
    <row r="76" spans="1:10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</row>
    <row r="77" spans="1:10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</row>
    <row r="78" spans="1:10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</row>
    <row r="79" spans="1:10" x14ac:dyDescent="0.25">
      <c r="A79" s="37"/>
      <c r="B79" s="37"/>
      <c r="C79" s="37"/>
      <c r="D79" s="37"/>
      <c r="E79" s="37"/>
      <c r="F79" s="37"/>
      <c r="G79" s="37"/>
      <c r="H79" s="37"/>
      <c r="I79" s="37"/>
      <c r="J79" s="37"/>
    </row>
    <row r="80" spans="1:10" x14ac:dyDescent="0.25">
      <c r="A80" s="37"/>
      <c r="B80" s="37"/>
      <c r="C80" s="37"/>
      <c r="D80" s="37"/>
      <c r="E80" s="37"/>
      <c r="F80" s="37"/>
      <c r="G80" s="37"/>
      <c r="H80" s="37"/>
      <c r="I80" s="37"/>
      <c r="J80" s="37"/>
    </row>
    <row r="81" spans="1:10" x14ac:dyDescent="0.25">
      <c r="A81" s="37"/>
      <c r="B81" s="37"/>
      <c r="C81" s="37"/>
      <c r="D81" s="37"/>
      <c r="E81" s="37"/>
      <c r="F81" s="37"/>
      <c r="G81" s="37"/>
      <c r="H81" s="37"/>
      <c r="I81" s="37"/>
      <c r="J81" s="37"/>
    </row>
    <row r="82" spans="1:10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7"/>
    </row>
    <row r="83" spans="1:10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</row>
    <row r="84" spans="1:10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</row>
    <row r="85" spans="1:10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</row>
    <row r="86" spans="1:10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</row>
    <row r="87" spans="1:10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</row>
    <row r="88" spans="1:10" x14ac:dyDescent="0.25">
      <c r="A88" s="37"/>
      <c r="B88" s="37"/>
      <c r="C88" s="37"/>
      <c r="D88" s="37"/>
      <c r="E88" s="37"/>
      <c r="F88" s="37"/>
      <c r="G88" s="37"/>
      <c r="H88" s="37"/>
      <c r="I88" s="37"/>
      <c r="J88" s="37"/>
    </row>
    <row r="89" spans="1:10" x14ac:dyDescent="0.25">
      <c r="A89" s="37"/>
      <c r="B89" s="37"/>
      <c r="C89" s="37"/>
      <c r="D89" s="37"/>
      <c r="E89" s="37"/>
      <c r="F89" s="37"/>
      <c r="G89" s="37"/>
      <c r="H89" s="37"/>
      <c r="I89" s="37"/>
      <c r="J89" s="37"/>
    </row>
    <row r="90" spans="1:10" x14ac:dyDescent="0.25">
      <c r="A90" s="37"/>
      <c r="B90" s="37"/>
      <c r="C90" s="37"/>
      <c r="D90" s="37"/>
      <c r="E90" s="37"/>
      <c r="F90" s="37"/>
      <c r="G90" s="37"/>
      <c r="H90" s="37"/>
      <c r="I90" s="37"/>
      <c r="J90" s="37"/>
    </row>
    <row r="91" spans="1:10" x14ac:dyDescent="0.25">
      <c r="A91" s="37"/>
      <c r="B91" s="37"/>
      <c r="C91" s="37"/>
      <c r="D91" s="37"/>
      <c r="E91" s="37"/>
      <c r="F91" s="37"/>
      <c r="G91" s="37"/>
      <c r="H91" s="37"/>
      <c r="I91" s="37"/>
      <c r="J91" s="37"/>
    </row>
    <row r="92" spans="1:10" x14ac:dyDescent="0.25">
      <c r="A92" s="37"/>
      <c r="B92" s="37"/>
      <c r="C92" s="37"/>
      <c r="D92" s="37"/>
      <c r="E92" s="37"/>
      <c r="F92" s="37"/>
      <c r="G92" s="37"/>
      <c r="H92" s="37"/>
      <c r="I92" s="37"/>
      <c r="J92" s="37"/>
    </row>
    <row r="93" spans="1:10" x14ac:dyDescent="0.25">
      <c r="A93" s="37"/>
      <c r="B93" s="37"/>
      <c r="C93" s="37"/>
      <c r="D93" s="37"/>
      <c r="E93" s="37"/>
      <c r="F93" s="37"/>
      <c r="G93" s="37"/>
      <c r="H93" s="37"/>
      <c r="I93" s="37"/>
      <c r="J93" s="37"/>
    </row>
    <row r="94" spans="1:10" x14ac:dyDescent="0.25">
      <c r="A94" s="37"/>
      <c r="B94" s="37"/>
      <c r="C94" s="37"/>
      <c r="D94" s="37"/>
      <c r="E94" s="37"/>
      <c r="F94" s="37"/>
      <c r="G94" s="37"/>
      <c r="H94" s="37"/>
      <c r="I94" s="37"/>
      <c r="J94" s="37"/>
    </row>
    <row r="95" spans="1:10" x14ac:dyDescent="0.25">
      <c r="A95" s="37"/>
      <c r="B95" s="37"/>
      <c r="C95" s="37"/>
      <c r="D95" s="37"/>
      <c r="E95" s="37"/>
      <c r="F95" s="37"/>
      <c r="G95" s="37"/>
      <c r="H95" s="37"/>
      <c r="I95" s="37"/>
      <c r="J95" s="37"/>
    </row>
    <row r="96" spans="1:10" x14ac:dyDescent="0.25">
      <c r="A96" s="37"/>
      <c r="B96" s="37"/>
      <c r="C96" s="37"/>
      <c r="D96" s="37"/>
      <c r="E96" s="37"/>
      <c r="F96" s="37"/>
      <c r="G96" s="37"/>
      <c r="H96" s="37"/>
      <c r="I96" s="37"/>
      <c r="J96" s="37"/>
    </row>
    <row r="97" spans="1:10" x14ac:dyDescent="0.25">
      <c r="A97" s="37"/>
      <c r="B97" s="37"/>
      <c r="C97" s="37"/>
      <c r="D97" s="37"/>
      <c r="E97" s="37"/>
      <c r="F97" s="37"/>
      <c r="G97" s="37"/>
      <c r="H97" s="37"/>
      <c r="I97" s="37"/>
      <c r="J97" s="37"/>
    </row>
    <row r="98" spans="1:10" x14ac:dyDescent="0.25">
      <c r="A98" s="37"/>
      <c r="B98" s="37"/>
      <c r="C98" s="37"/>
      <c r="D98" s="37"/>
      <c r="E98" s="37"/>
      <c r="F98" s="37"/>
      <c r="G98" s="37"/>
      <c r="H98" s="37"/>
      <c r="I98" s="37"/>
      <c r="J98" s="37"/>
    </row>
    <row r="99" spans="1:10" x14ac:dyDescent="0.25">
      <c r="A99" s="37"/>
      <c r="B99" s="37"/>
      <c r="C99" s="37"/>
      <c r="D99" s="37"/>
      <c r="E99" s="37"/>
      <c r="F99" s="37"/>
      <c r="G99" s="37"/>
      <c r="H99" s="37"/>
      <c r="I99" s="37"/>
      <c r="J99" s="37"/>
    </row>
    <row r="100" spans="1:10" x14ac:dyDescent="0.25">
      <c r="A100" s="37"/>
      <c r="B100" s="37"/>
      <c r="C100" s="37"/>
      <c r="D100" s="37"/>
      <c r="E100" s="37"/>
      <c r="F100" s="37"/>
      <c r="G100" s="37"/>
      <c r="H100" s="37"/>
      <c r="I100" s="37"/>
      <c r="J100" s="37"/>
    </row>
  </sheetData>
  <mergeCells count="6">
    <mergeCell ref="A6:B6"/>
    <mergeCell ref="D6:E6"/>
    <mergeCell ref="A7:B7"/>
    <mergeCell ref="D7:E7"/>
    <mergeCell ref="A8:B8"/>
    <mergeCell ref="D8:E8"/>
  </mergeCells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0.7109375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Suero</vt:lpstr>
      <vt:lpstr>Envases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Naum Ariel Potap</dc:creator>
  <cp:lastModifiedBy>Usuario de Windows</cp:lastModifiedBy>
  <cp:lastPrinted>2017-08-02T03:39:24Z</cp:lastPrinted>
  <dcterms:created xsi:type="dcterms:W3CDTF">2017-06-28T03:35:05Z</dcterms:created>
  <dcterms:modified xsi:type="dcterms:W3CDTF">2017-08-02T04:28:25Z</dcterms:modified>
</cp:coreProperties>
</file>