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45" windowWidth="13875" windowHeight="7725"/>
  </bookViews>
  <sheets>
    <sheet name="∆ Stock Prom. PT" sheetId="2" r:id="rId1"/>
    <sheet name="Evolución de la Producción" sheetId="1" r:id="rId2"/>
    <sheet name="MC y SE" sheetId="4" r:id="rId3"/>
    <sheet name="% DNR" sheetId="5" r:id="rId4"/>
    <sheet name="Consumo MP" sheetId="6" r:id="rId5"/>
    <sheet name="∆ Stock Prom. MP" sheetId="7" r:id="rId6"/>
    <sheet name="Cuadro de Ev. de la Merc." sheetId="3" r:id="rId7"/>
  </sheets>
  <externalReferences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C47" i="5" l="1"/>
  <c r="C48" i="5"/>
  <c r="C49" i="5"/>
  <c r="C50" i="5"/>
  <c r="C51" i="5"/>
  <c r="C52" i="5"/>
  <c r="C53" i="5"/>
  <c r="C46" i="5"/>
  <c r="C24" i="5"/>
  <c r="C25" i="5"/>
  <c r="C26" i="5"/>
  <c r="C27" i="5"/>
  <c r="C28" i="5"/>
  <c r="C29" i="5"/>
  <c r="C30" i="5"/>
  <c r="C23" i="5"/>
  <c r="C13" i="5"/>
  <c r="C14" i="5"/>
  <c r="C15" i="5"/>
  <c r="C16" i="5"/>
  <c r="C17" i="5"/>
  <c r="C18" i="5"/>
  <c r="C19" i="5"/>
  <c r="C12" i="5"/>
  <c r="D19" i="4"/>
  <c r="D20" i="4"/>
  <c r="D21" i="4"/>
  <c r="D22" i="4"/>
  <c r="D23" i="4"/>
  <c r="D24" i="4"/>
  <c r="C45" i="5" l="1"/>
  <c r="F53" i="5" s="1"/>
  <c r="C49" i="6" s="1"/>
  <c r="C22" i="5"/>
  <c r="F30" i="5" s="1"/>
  <c r="C26" i="6" s="1"/>
  <c r="C41" i="6"/>
  <c r="C18" i="6"/>
  <c r="C7" i="6"/>
  <c r="C29" i="6" s="1"/>
  <c r="G23" i="3" l="1"/>
  <c r="F51" i="5"/>
  <c r="F47" i="5"/>
  <c r="F50" i="5"/>
  <c r="F46" i="5"/>
  <c r="F49" i="5"/>
  <c r="F52" i="5"/>
  <c r="F48" i="5"/>
  <c r="F28" i="5"/>
  <c r="C24" i="6" s="1"/>
  <c r="F24" i="5"/>
  <c r="C20" i="6" s="1"/>
  <c r="F27" i="5"/>
  <c r="C23" i="6" s="1"/>
  <c r="F23" i="5"/>
  <c r="C19" i="6" s="1"/>
  <c r="F26" i="5"/>
  <c r="C22" i="6" s="1"/>
  <c r="F29" i="5"/>
  <c r="C25" i="6" s="1"/>
  <c r="F25" i="5"/>
  <c r="C21" i="6" s="1"/>
  <c r="C11" i="5"/>
  <c r="G18" i="3" l="1"/>
  <c r="C44" i="6"/>
  <c r="C46" i="6"/>
  <c r="C27" i="7" s="1"/>
  <c r="G22" i="3"/>
  <c r="C48" i="6"/>
  <c r="G17" i="3"/>
  <c r="G19" i="3"/>
  <c r="C45" i="6"/>
  <c r="C47" i="6"/>
  <c r="C28" i="7" s="1"/>
  <c r="G16" i="3"/>
  <c r="C33" i="5"/>
  <c r="G20" i="3"/>
  <c r="C30" i="7"/>
  <c r="C43" i="7"/>
  <c r="G31" i="3"/>
  <c r="G21" i="3"/>
  <c r="C29" i="7"/>
  <c r="C25" i="7"/>
  <c r="G29" i="3"/>
  <c r="C41" i="7"/>
  <c r="C38" i="7"/>
  <c r="G28" i="3"/>
  <c r="C40" i="7"/>
  <c r="G37" i="3" l="1"/>
  <c r="G36" i="3"/>
  <c r="C42" i="7"/>
  <c r="G38" i="3" s="1"/>
  <c r="G26" i="3"/>
  <c r="G39" i="3"/>
  <c r="F19" i="5"/>
  <c r="C15" i="6" s="1"/>
  <c r="C41" i="5"/>
  <c r="F41" i="5" s="1"/>
  <c r="F23" i="3" s="1"/>
  <c r="G30" i="3"/>
  <c r="G34" i="3"/>
  <c r="C39" i="5"/>
  <c r="F39" i="5" s="1"/>
  <c r="F21" i="3" s="1"/>
  <c r="F17" i="5"/>
  <c r="C40" i="5"/>
  <c r="F40" i="5" s="1"/>
  <c r="F22" i="3" s="1"/>
  <c r="F18" i="5"/>
  <c r="F14" i="5"/>
  <c r="C10" i="6" s="1"/>
  <c r="C36" i="5"/>
  <c r="F36" i="5" s="1"/>
  <c r="F18" i="3" s="1"/>
  <c r="F15" i="5"/>
  <c r="C37" i="5"/>
  <c r="F37" i="5" s="1"/>
  <c r="F19" i="3" s="1"/>
  <c r="F12" i="5"/>
  <c r="C34" i="5"/>
  <c r="F34" i="5" s="1"/>
  <c r="F16" i="3" s="1"/>
  <c r="F13" i="5"/>
  <c r="C35" i="5"/>
  <c r="F35" i="5" s="1"/>
  <c r="F17" i="3" s="1"/>
  <c r="C38" i="5"/>
  <c r="F38" i="5" s="1"/>
  <c r="F20" i="3" s="1"/>
  <c r="F16" i="5"/>
  <c r="E6" i="4"/>
  <c r="E7" i="4"/>
  <c r="E8" i="4"/>
  <c r="E9" i="4"/>
  <c r="E10" i="4"/>
  <c r="E11" i="4"/>
  <c r="E5" i="4"/>
  <c r="C8" i="6" l="1"/>
  <c r="C10" i="7" s="1"/>
  <c r="C14" i="6"/>
  <c r="C16" i="7" s="1"/>
  <c r="C9" i="6"/>
  <c r="C11" i="7" s="1"/>
  <c r="C11" i="6"/>
  <c r="C13" i="7" s="1"/>
  <c r="E35" i="3" s="1"/>
  <c r="E43" i="3" s="1"/>
  <c r="C12" i="6"/>
  <c r="C14" i="7" s="1"/>
  <c r="C13" i="6"/>
  <c r="C15" i="7" s="1"/>
  <c r="C17" i="7"/>
  <c r="C12" i="7"/>
  <c r="E34" i="3" s="1"/>
  <c r="E42" i="3" s="1"/>
  <c r="D16" i="4"/>
  <c r="E33" i="3" l="1"/>
  <c r="E41" i="3" s="1"/>
  <c r="E37" i="3"/>
  <c r="E45" i="3" s="1"/>
  <c r="F37" i="3"/>
  <c r="G45" i="3" s="1"/>
  <c r="F38" i="3"/>
  <c r="G46" i="3" s="1"/>
  <c r="E38" i="3"/>
  <c r="E46" i="3" s="1"/>
  <c r="F36" i="3"/>
  <c r="G44" i="3" s="1"/>
  <c r="E36" i="3"/>
  <c r="E44" i="3" s="1"/>
  <c r="E32" i="3"/>
  <c r="E40" i="3" s="1"/>
  <c r="C36" i="6"/>
  <c r="F30" i="3" s="1"/>
  <c r="F46" i="3" s="1"/>
  <c r="C35" i="6"/>
  <c r="F29" i="3" s="1"/>
  <c r="F45" i="3" s="1"/>
  <c r="C34" i="6"/>
  <c r="F28" i="3" s="1"/>
  <c r="F44" i="3" s="1"/>
  <c r="C32" i="6"/>
  <c r="F26" i="3" s="1"/>
  <c r="E39" i="3"/>
  <c r="E47" i="3" s="1"/>
  <c r="F39" i="3"/>
  <c r="G47" i="3" s="1"/>
  <c r="F34" i="3"/>
  <c r="G42" i="3" s="1"/>
  <c r="G12" i="3"/>
  <c r="F12" i="3" s="1"/>
  <c r="G10" i="3"/>
  <c r="F10" i="3" s="1"/>
  <c r="G14" i="3"/>
  <c r="F14" i="3" s="1"/>
  <c r="F7" i="3"/>
  <c r="G6" i="3"/>
  <c r="F6" i="3" s="1"/>
  <c r="G7" i="3" s="1"/>
  <c r="C8" i="2"/>
  <c r="J22" i="1"/>
  <c r="J23" i="1" s="1"/>
  <c r="H22" i="1"/>
  <c r="C22" i="1"/>
  <c r="H16" i="1"/>
  <c r="J16" i="1" s="1"/>
  <c r="H15" i="1"/>
  <c r="C15" i="1"/>
  <c r="F42" i="3" l="1"/>
  <c r="G13" i="3"/>
  <c r="F13" i="3" s="1"/>
  <c r="G15" i="3"/>
  <c r="F15" i="3" s="1"/>
  <c r="C37" i="6"/>
  <c r="F31" i="3" s="1"/>
  <c r="F47" i="3" s="1"/>
  <c r="F5" i="3"/>
  <c r="J15" i="1"/>
  <c r="J17" i="1" s="1"/>
  <c r="C26" i="7" l="1"/>
  <c r="F35" i="3" s="1"/>
  <c r="C39" i="7"/>
  <c r="G27" i="3"/>
  <c r="C33" i="6"/>
  <c r="F27" i="3" s="1"/>
  <c r="G11" i="3"/>
  <c r="F11" i="3" s="1"/>
  <c r="F43" i="3" l="1"/>
  <c r="G35" i="3"/>
  <c r="G43" i="3" s="1"/>
  <c r="D18" i="4" l="1"/>
  <c r="C43" i="6"/>
  <c r="D17" i="4"/>
  <c r="C42" i="6"/>
  <c r="G9" i="3" l="1"/>
  <c r="F9" i="3" s="1"/>
  <c r="C31" i="6"/>
  <c r="F25" i="3" s="1"/>
  <c r="F41" i="3" s="1"/>
  <c r="C24" i="7"/>
  <c r="F33" i="3" s="1"/>
  <c r="C37" i="7"/>
  <c r="G33" i="3" s="1"/>
  <c r="G25" i="3"/>
  <c r="C23" i="7"/>
  <c r="F32" i="3" s="1"/>
  <c r="G40" i="3" s="1"/>
  <c r="G24" i="3"/>
  <c r="C36" i="7"/>
  <c r="G32" i="3" s="1"/>
  <c r="G8" i="3"/>
  <c r="F8" i="3" s="1"/>
  <c r="C30" i="6"/>
  <c r="F24" i="3" s="1"/>
  <c r="F40" i="3" s="1"/>
  <c r="G41" i="3" l="1"/>
</calcChain>
</file>

<file path=xl/sharedStrings.xml><?xml version="1.0" encoding="utf-8"?>
<sst xmlns="http://schemas.openxmlformats.org/spreadsheetml/2006/main" count="373" uniqueCount="71">
  <si>
    <t xml:space="preserve">Evolución de la Producción </t>
  </si>
  <si>
    <t>Producción anual</t>
  </si>
  <si>
    <t>Producción mensual</t>
  </si>
  <si>
    <t>unidades</t>
  </si>
  <si>
    <t>Puesta en marcha</t>
  </si>
  <si>
    <t>meses</t>
  </si>
  <si>
    <t>AÑO 1</t>
  </si>
  <si>
    <t>Meses</t>
  </si>
  <si>
    <t>Régimen</t>
  </si>
  <si>
    <t>TOTAL</t>
  </si>
  <si>
    <t>Período</t>
  </si>
  <si>
    <t>Ritmo de producción inicial</t>
  </si>
  <si>
    <t>Ritmo de producción final</t>
  </si>
  <si>
    <t>Producción propuesta</t>
  </si>
  <si>
    <t>Producción mensual promedio</t>
  </si>
  <si>
    <t>% Producción promedio</t>
  </si>
  <si>
    <t>Equivalente en meses laborales</t>
  </si>
  <si>
    <t>AÑO 2 A 5</t>
  </si>
  <si>
    <t>∆ Stock Promedio de PT</t>
  </si>
  <si>
    <t>∆ Stock Prom. PT</t>
  </si>
  <si>
    <t>Cuadro de Evolución de la Mercadería</t>
  </si>
  <si>
    <t>Ventas</t>
  </si>
  <si>
    <t>Producción</t>
  </si>
  <si>
    <t>MC y SE</t>
  </si>
  <si>
    <t>Desp. no recuperable</t>
  </si>
  <si>
    <t>Consumo de MP</t>
  </si>
  <si>
    <t>∆ Stock Prom. MP</t>
  </si>
  <si>
    <t>Compra de MP</t>
  </si>
  <si>
    <t>AÑO 0</t>
  </si>
  <si>
    <t>AÑO 2 a N</t>
  </si>
  <si>
    <t>Mercadería en Curso y Semielaborado</t>
  </si>
  <si>
    <t>Sección</t>
  </si>
  <si>
    <t>A</t>
  </si>
  <si>
    <t>B</t>
  </si>
  <si>
    <t>C</t>
  </si>
  <si>
    <t>D</t>
  </si>
  <si>
    <t>E</t>
  </si>
  <si>
    <t>F</t>
  </si>
  <si>
    <t>G</t>
  </si>
  <si>
    <t>Unidades/hora</t>
  </si>
  <si>
    <t>Hora/unidad</t>
  </si>
  <si>
    <t>Ciclos de elaboración por hora</t>
  </si>
  <si>
    <t>Poliestireno</t>
  </si>
  <si>
    <t>Polipropileno</t>
  </si>
  <si>
    <t>Chapa</t>
  </si>
  <si>
    <t>Cobre</t>
  </si>
  <si>
    <t>Tornillos</t>
  </si>
  <si>
    <t>[kg]</t>
  </si>
  <si>
    <t>[m]</t>
  </si>
  <si>
    <t>Chapas de núcleo</t>
  </si>
  <si>
    <t>Cable</t>
  </si>
  <si>
    <t>[hs]</t>
  </si>
  <si>
    <t>Desperdicios No Recuperables</t>
  </si>
  <si>
    <t xml:space="preserve">Q PT </t>
  </si>
  <si>
    <t>[unidades]</t>
  </si>
  <si>
    <t>Q Poliestireno</t>
  </si>
  <si>
    <t>Q Polipropileno</t>
  </si>
  <si>
    <t>Período de puesta en marcha</t>
  </si>
  <si>
    <t>Resto del 1er año</t>
  </si>
  <si>
    <t>Resumen 1er año</t>
  </si>
  <si>
    <t>AÑO 2 A N</t>
  </si>
  <si>
    <t>% Desperdicio</t>
  </si>
  <si>
    <t>Cantidad</t>
  </si>
  <si>
    <t>En función de una política de abastecimiento para 15 días, se establece un stock promedio de consumo semanal.</t>
  </si>
  <si>
    <t>Nota: Se divide el consumo durante el período de puesta en marcha por 3 (meses) y al valor resultante se lo divide a su vez por 4 (semanas promedio por mes).</t>
  </si>
  <si>
    <t>Para el año 0 corresponderá abastecer la cantidad equivalente de consumo semanal durante el período de puesta en marcha.</t>
  </si>
  <si>
    <t>Cajas de cartón</t>
  </si>
  <si>
    <t>Caja de cartón</t>
  </si>
  <si>
    <t>Caja</t>
  </si>
  <si>
    <t>Nota: Se realiza en base a los consumos del año 2 a N porque son los correspondientes al régimen.</t>
  </si>
  <si>
    <t>Láminas E-I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</si>
</sst>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3" xfId="0" applyBorder="1"/>
    <xf numFmtId="3" fontId="0" fillId="0" borderId="4" xfId="0" applyNumberFormat="1" applyBorder="1" applyAlignment="1">
      <alignment horizontal="center" vertical="center"/>
    </xf>
    <xf numFmtId="0" fontId="0" fillId="0" borderId="5" xfId="0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1" fillId="2" borderId="1" xfId="0" applyFont="1" applyFill="1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4" fillId="6" borderId="0" xfId="0" applyFont="1" applyFill="1"/>
    <xf numFmtId="0" fontId="2" fillId="6" borderId="0" xfId="0" applyFont="1" applyFill="1"/>
    <xf numFmtId="0" fontId="3" fillId="5" borderId="0" xfId="0" applyFont="1" applyFill="1"/>
    <xf numFmtId="0" fontId="1" fillId="4" borderId="1" xfId="0" applyFont="1" applyFill="1" applyBorder="1"/>
    <xf numFmtId="0" fontId="0" fillId="0" borderId="1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33" xfId="0" applyBorder="1"/>
    <xf numFmtId="0" fontId="1" fillId="8" borderId="36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8" borderId="39" xfId="0" applyFont="1" applyFill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0" fontId="0" fillId="0" borderId="33" xfId="0" applyFill="1" applyBorder="1"/>
    <xf numFmtId="0" fontId="0" fillId="0" borderId="13" xfId="0" applyFill="1" applyBorder="1"/>
    <xf numFmtId="0" fontId="0" fillId="0" borderId="15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" fontId="0" fillId="0" borderId="31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4" fontId="0" fillId="0" borderId="29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6" fillId="6" borderId="0" xfId="0" applyFont="1" applyFill="1"/>
    <xf numFmtId="0" fontId="0" fillId="0" borderId="43" xfId="0" applyBorder="1"/>
    <xf numFmtId="0" fontId="0" fillId="0" borderId="35" xfId="0" applyBorder="1"/>
    <xf numFmtId="0" fontId="0" fillId="2" borderId="40" xfId="0" applyFill="1" applyBorder="1" applyAlignment="1"/>
    <xf numFmtId="0" fontId="0" fillId="2" borderId="34" xfId="0" applyFill="1" applyBorder="1"/>
    <xf numFmtId="3" fontId="0" fillId="2" borderId="30" xfId="0" applyNumberForma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42" xfId="0" applyFill="1" applyBorder="1"/>
    <xf numFmtId="4" fontId="0" fillId="0" borderId="33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9" fontId="0" fillId="0" borderId="33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0" fontId="0" fillId="2" borderId="8" xfId="0" applyFill="1" applyBorder="1"/>
    <xf numFmtId="3" fontId="0" fillId="2" borderId="19" xfId="0" applyNumberForma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" fontId="0" fillId="0" borderId="45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2" fillId="10" borderId="0" xfId="0" applyFont="1" applyFill="1"/>
    <xf numFmtId="0" fontId="7" fillId="10" borderId="0" xfId="0" applyFont="1" applyFill="1"/>
    <xf numFmtId="0" fontId="0" fillId="0" borderId="0" xfId="0" applyBorder="1"/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0" borderId="34" xfId="0" applyBorder="1"/>
    <xf numFmtId="3" fontId="0" fillId="0" borderId="30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11" xfId="0" applyBorder="1"/>
    <xf numFmtId="0" fontId="0" fillId="0" borderId="11" xfId="0" applyFill="1" applyBorder="1"/>
    <xf numFmtId="0" fontId="0" fillId="0" borderId="50" xfId="0" applyFill="1" applyBorder="1"/>
    <xf numFmtId="0" fontId="0" fillId="0" borderId="51" xfId="0" applyFill="1" applyBorder="1" applyAlignment="1">
      <alignment horizontal="center" vertical="center"/>
    </xf>
    <xf numFmtId="0" fontId="0" fillId="0" borderId="52" xfId="0" applyBorder="1"/>
    <xf numFmtId="0" fontId="0" fillId="0" borderId="28" xfId="0" applyBorder="1" applyAlignment="1">
      <alignment horizontal="center" vertical="center"/>
    </xf>
    <xf numFmtId="0" fontId="0" fillId="0" borderId="7" xfId="0" applyBorder="1"/>
    <xf numFmtId="9" fontId="0" fillId="0" borderId="45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6" xfId="0" applyFill="1" applyBorder="1"/>
    <xf numFmtId="4" fontId="0" fillId="0" borderId="15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3" fillId="5" borderId="0" xfId="0" applyFont="1" applyFill="1" applyAlignment="1"/>
    <xf numFmtId="0" fontId="0" fillId="5" borderId="0" xfId="0" applyFill="1" applyAlignment="1"/>
    <xf numFmtId="0" fontId="1" fillId="3" borderId="20" xfId="0" applyFont="1" applyFill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2" borderId="8" xfId="0" applyFont="1" applyFill="1" applyBorder="1" applyAlignment="1"/>
    <xf numFmtId="0" fontId="1" fillId="2" borderId="10" xfId="0" applyFont="1" applyFill="1" applyBorder="1" applyAlignment="1"/>
    <xf numFmtId="0" fontId="1" fillId="3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29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4" fontId="0" fillId="2" borderId="36" xfId="0" applyNumberFormat="1" applyFill="1" applyBorder="1" applyAlignment="1">
      <alignment horizontal="center" vertical="center"/>
    </xf>
    <xf numFmtId="4" fontId="0" fillId="2" borderId="39" xfId="0" applyNumberForma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4" borderId="9" xfId="0" applyFill="1" applyBorder="1" applyAlignment="1"/>
    <xf numFmtId="0" fontId="0" fillId="4" borderId="10" xfId="0" applyFill="1" applyBorder="1" applyAlignment="1"/>
    <xf numFmtId="0" fontId="1" fillId="4" borderId="8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/>
    <xf numFmtId="0" fontId="0" fillId="0" borderId="3" xfId="0" applyNumberFormat="1" applyBorder="1" applyAlignment="1"/>
    <xf numFmtId="0" fontId="1" fillId="4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9" xfId="0" applyBorder="1" applyAlignment="1"/>
    <xf numFmtId="0" fontId="0" fillId="0" borderId="45" xfId="0" applyBorder="1" applyAlignment="1"/>
    <xf numFmtId="0" fontId="0" fillId="7" borderId="19" xfId="0" applyFill="1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34" xfId="0" applyBorder="1" applyAlignment="1"/>
    <xf numFmtId="0" fontId="0" fillId="0" borderId="54" xfId="0" applyBorder="1" applyAlignment="1"/>
    <xf numFmtId="0" fontId="0" fillId="0" borderId="55" xfId="0" applyBorder="1" applyAlignment="1"/>
    <xf numFmtId="0" fontId="0" fillId="0" borderId="35" xfId="0" applyBorder="1" applyAlignment="1"/>
    <xf numFmtId="0" fontId="0" fillId="0" borderId="46" xfId="0" applyBorder="1" applyAlignment="1"/>
    <xf numFmtId="0" fontId="0" fillId="0" borderId="47" xfId="0" applyBorder="1" applyAlignment="1"/>
    <xf numFmtId="0" fontId="0" fillId="0" borderId="48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3</xdr:row>
      <xdr:rowOff>19050</xdr:rowOff>
    </xdr:from>
    <xdr:to>
      <xdr:col>12</xdr:col>
      <xdr:colOff>209550</xdr:colOff>
      <xdr:row>5</xdr:row>
      <xdr:rowOff>161925</xdr:rowOff>
    </xdr:to>
    <xdr:sp macro="" textlink="">
      <xdr:nvSpPr>
        <xdr:cNvPr id="2" name="1 CuadroTexto"/>
        <xdr:cNvSpPr txBox="1"/>
      </xdr:nvSpPr>
      <xdr:spPr>
        <a:xfrm>
          <a:off x="190501" y="600075"/>
          <a:ext cx="8534399" cy="5238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/>
            <a:t>Dado que no hay un régimen de demanda uniforme, sino variable según necesidad y el estado del mercado de la construcción, la política de entregas adoptada es a pedido, por lo cual se decide disponer de un stock promedio del 10% de la producción</a:t>
          </a:r>
          <a:r>
            <a:rPr lang="es-AR" sz="1100" baseline="0"/>
            <a:t> mensual en régimen.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</xdr:row>
      <xdr:rowOff>180976</xdr:rowOff>
    </xdr:from>
    <xdr:to>
      <xdr:col>15</xdr:col>
      <xdr:colOff>333375</xdr:colOff>
      <xdr:row>7</xdr:row>
      <xdr:rowOff>66676</xdr:rowOff>
    </xdr:to>
    <xdr:sp macro="" textlink="">
      <xdr:nvSpPr>
        <xdr:cNvPr id="2" name="1 CuadroTexto"/>
        <xdr:cNvSpPr txBox="1"/>
      </xdr:nvSpPr>
      <xdr:spPr>
        <a:xfrm>
          <a:off x="257175" y="952501"/>
          <a:ext cx="108966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/>
            <a:t>En el período de puesta en marcha los desperdicios son mayores porque todavía el proceso se está ajustando y preparando, por lo cual suponemos un incremental del 5% sobre el normal de la chapa. Además adicionamos un 10% en el proceso de inyección de plástico.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de%20l&#237;nea%20-%20Actual%20Corregi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de%20l&#237;nea%20-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tmo de trabajo"/>
      <sheetName val="Balance de materiales"/>
      <sheetName val="Capacidad"/>
      <sheetName val="Resumen capacidad"/>
      <sheetName val="Cantidad de puestos o máq."/>
    </sheetNames>
    <sheetDataSet>
      <sheetData sheetId="0"/>
      <sheetData sheetId="1">
        <row r="13">
          <cell r="C13">
            <v>0.15</v>
          </cell>
        </row>
        <row r="14">
          <cell r="C14">
            <v>0.02</v>
          </cell>
        </row>
        <row r="15">
          <cell r="C15">
            <v>3.3E-3</v>
          </cell>
        </row>
        <row r="16">
          <cell r="C16">
            <v>75</v>
          </cell>
        </row>
        <row r="17">
          <cell r="C17">
            <v>0.23</v>
          </cell>
        </row>
        <row r="18">
          <cell r="C18">
            <v>0.4</v>
          </cell>
        </row>
        <row r="19">
          <cell r="C19">
            <v>4</v>
          </cell>
        </row>
        <row r="20">
          <cell r="C20">
            <v>1</v>
          </cell>
        </row>
        <row r="24">
          <cell r="C24">
            <v>15000</v>
          </cell>
        </row>
        <row r="25">
          <cell r="C25">
            <v>2000</v>
          </cell>
        </row>
        <row r="26">
          <cell r="C26">
            <v>412.5</v>
          </cell>
        </row>
        <row r="27">
          <cell r="C27">
            <v>7500000</v>
          </cell>
        </row>
        <row r="28">
          <cell r="C28">
            <v>23000</v>
          </cell>
        </row>
        <row r="29">
          <cell r="C29">
            <v>42000.000000000007</v>
          </cell>
        </row>
        <row r="30">
          <cell r="C30">
            <v>400000</v>
          </cell>
        </row>
        <row r="31">
          <cell r="C31">
            <v>100000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tmo de trabajo"/>
      <sheetName val="Balance de materiales"/>
      <sheetName val="Capacidad"/>
      <sheetName val="Resumen capacidad"/>
      <sheetName val="Cantidad de puestos o máq."/>
    </sheetNames>
    <sheetDataSet>
      <sheetData sheetId="0">
        <row r="9">
          <cell r="D9">
            <v>1840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E19" sqref="E19"/>
    </sheetView>
  </sheetViews>
  <sheetFormatPr baseColWidth="10" defaultRowHeight="15" x14ac:dyDescent="0.25"/>
  <cols>
    <col min="1" max="1" width="2" customWidth="1"/>
    <col min="2" max="2" width="16.42578125" customWidth="1"/>
    <col min="3" max="3" width="12.85546875" customWidth="1"/>
  </cols>
  <sheetData>
    <row r="1" spans="1:13" ht="12" customHeight="1" x14ac:dyDescent="0.25"/>
    <row r="2" spans="1:13" ht="18.75" x14ac:dyDescent="0.3">
      <c r="A2" s="27"/>
      <c r="B2" s="31" t="s">
        <v>18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7" spans="1:13" ht="15.75" thickBot="1" x14ac:dyDescent="0.3"/>
    <row r="8" spans="1:13" ht="15.75" thickBot="1" x14ac:dyDescent="0.3">
      <c r="B8" s="32" t="s">
        <v>19</v>
      </c>
      <c r="C8" s="33">
        <f>(0.1)* 'Evolución de la Producción'!H22</f>
        <v>900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C1" workbookViewId="0">
      <selection activeCell="E7" sqref="E7"/>
    </sheetView>
  </sheetViews>
  <sheetFormatPr baseColWidth="10" defaultRowHeight="15" x14ac:dyDescent="0.25"/>
  <cols>
    <col min="1" max="1" width="2.140625" customWidth="1"/>
    <col min="2" max="2" width="21.140625" customWidth="1"/>
    <col min="3" max="3" width="10.7109375" customWidth="1"/>
    <col min="4" max="4" width="9.42578125" customWidth="1"/>
    <col min="5" max="5" width="15.5703125" bestFit="1" customWidth="1"/>
    <col min="6" max="6" width="24" bestFit="1" customWidth="1"/>
    <col min="7" max="7" width="22.28515625" customWidth="1"/>
    <col min="8" max="8" width="17.85546875" customWidth="1"/>
    <col min="9" max="9" width="10.28515625" customWidth="1"/>
    <col min="10" max="10" width="20.42578125" bestFit="1" customWidth="1"/>
  </cols>
  <sheetData>
    <row r="1" spans="1:10" ht="9" customHeight="1" x14ac:dyDescent="0.25"/>
    <row r="2" spans="1:10" ht="18.75" x14ac:dyDescent="0.3">
      <c r="A2" s="27"/>
      <c r="B2" s="105" t="s">
        <v>0</v>
      </c>
      <c r="C2" s="106"/>
      <c r="D2" s="27"/>
      <c r="E2" s="27"/>
      <c r="F2" s="27"/>
      <c r="G2" s="27"/>
      <c r="H2" s="27"/>
      <c r="I2" s="27"/>
      <c r="J2" s="27"/>
    </row>
    <row r="3" spans="1:10" ht="15.75" thickBot="1" x14ac:dyDescent="0.3"/>
    <row r="4" spans="1:10" x14ac:dyDescent="0.25">
      <c r="B4" s="6" t="s">
        <v>1</v>
      </c>
      <c r="C4" s="2">
        <v>100000</v>
      </c>
      <c r="D4" s="3" t="s">
        <v>3</v>
      </c>
    </row>
    <row r="5" spans="1:10" ht="15.75" thickBot="1" x14ac:dyDescent="0.3">
      <c r="B5" s="7" t="s">
        <v>2</v>
      </c>
      <c r="C5" s="4">
        <v>9000</v>
      </c>
      <c r="D5" s="5" t="s">
        <v>3</v>
      </c>
    </row>
    <row r="6" spans="1:10" ht="15.75" thickBot="1" x14ac:dyDescent="0.3"/>
    <row r="7" spans="1:10" ht="15.75" thickBot="1" x14ac:dyDescent="0.3">
      <c r="B7" s="114" t="s">
        <v>16</v>
      </c>
      <c r="C7" s="115"/>
      <c r="D7" s="22">
        <v>11</v>
      </c>
    </row>
    <row r="8" spans="1:10" ht="15.75" thickBot="1" x14ac:dyDescent="0.3"/>
    <row r="9" spans="1:10" ht="15.75" thickBot="1" x14ac:dyDescent="0.3">
      <c r="B9" s="10" t="s">
        <v>4</v>
      </c>
      <c r="C9" s="8">
        <v>3</v>
      </c>
      <c r="D9" s="9" t="s">
        <v>5</v>
      </c>
    </row>
    <row r="12" spans="1:10" ht="15.75" x14ac:dyDescent="0.25">
      <c r="A12" s="28"/>
      <c r="B12" s="29" t="s">
        <v>6</v>
      </c>
      <c r="C12" s="28"/>
      <c r="D12" s="28"/>
      <c r="E12" s="28"/>
      <c r="F12" s="28"/>
      <c r="G12" s="28"/>
      <c r="H12" s="28"/>
      <c r="I12" s="28"/>
      <c r="J12" s="28"/>
    </row>
    <row r="13" spans="1:10" ht="15.75" thickBot="1" x14ac:dyDescent="0.3"/>
    <row r="14" spans="1:10" ht="15.75" thickBot="1" x14ac:dyDescent="0.3">
      <c r="B14" s="19" t="s">
        <v>10</v>
      </c>
      <c r="C14" s="20" t="s">
        <v>7</v>
      </c>
      <c r="D14" s="107" t="s">
        <v>11</v>
      </c>
      <c r="E14" s="107"/>
      <c r="F14" s="20" t="s">
        <v>12</v>
      </c>
      <c r="G14" s="20" t="s">
        <v>15</v>
      </c>
      <c r="H14" s="116" t="s">
        <v>14</v>
      </c>
      <c r="I14" s="117"/>
      <c r="J14" s="21" t="s">
        <v>13</v>
      </c>
    </row>
    <row r="15" spans="1:10" x14ac:dyDescent="0.25">
      <c r="B15" s="16" t="s">
        <v>4</v>
      </c>
      <c r="C15" s="17">
        <f>C9</f>
        <v>3</v>
      </c>
      <c r="D15" s="108">
        <v>0</v>
      </c>
      <c r="E15" s="109"/>
      <c r="F15" s="18">
        <v>1</v>
      </c>
      <c r="G15" s="18">
        <v>0.5</v>
      </c>
      <c r="H15" s="118">
        <f>C5</f>
        <v>9000</v>
      </c>
      <c r="I15" s="119"/>
      <c r="J15" s="23">
        <f>C15*G15*H15</f>
        <v>13500</v>
      </c>
    </row>
    <row r="16" spans="1:10" ht="15.75" thickBot="1" x14ac:dyDescent="0.3">
      <c r="B16" s="12" t="s">
        <v>8</v>
      </c>
      <c r="C16" s="13">
        <v>8</v>
      </c>
      <c r="D16" s="110">
        <v>1</v>
      </c>
      <c r="E16" s="111"/>
      <c r="F16" s="14">
        <v>1</v>
      </c>
      <c r="G16" s="14">
        <v>1</v>
      </c>
      <c r="H16" s="112">
        <f>C5</f>
        <v>9000</v>
      </c>
      <c r="I16" s="113"/>
      <c r="J16" s="24">
        <f>C16*G16*H16</f>
        <v>72000</v>
      </c>
    </row>
    <row r="17" spans="1:10" ht="15.75" thickBot="1" x14ac:dyDescent="0.3">
      <c r="H17" s="1"/>
      <c r="I17" s="25" t="s">
        <v>9</v>
      </c>
      <c r="J17" s="26">
        <f>SUM(J15:J16)</f>
        <v>85500</v>
      </c>
    </row>
    <row r="19" spans="1:10" ht="15.75" x14ac:dyDescent="0.25">
      <c r="A19" s="30"/>
      <c r="B19" s="29" t="s">
        <v>17</v>
      </c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/>
    <row r="21" spans="1:10" ht="15.75" thickBot="1" x14ac:dyDescent="0.3">
      <c r="B21" s="19" t="s">
        <v>10</v>
      </c>
      <c r="C21" s="20" t="s">
        <v>7</v>
      </c>
      <c r="D21" s="107" t="s">
        <v>11</v>
      </c>
      <c r="E21" s="107"/>
      <c r="F21" s="20" t="s">
        <v>12</v>
      </c>
      <c r="G21" s="20" t="s">
        <v>15</v>
      </c>
      <c r="H21" s="116" t="s">
        <v>14</v>
      </c>
      <c r="I21" s="117"/>
      <c r="J21" s="21" t="s">
        <v>13</v>
      </c>
    </row>
    <row r="22" spans="1:10" ht="15.75" thickBot="1" x14ac:dyDescent="0.3">
      <c r="B22" s="12" t="s">
        <v>8</v>
      </c>
      <c r="C22" s="13">
        <f>D7</f>
        <v>11</v>
      </c>
      <c r="D22" s="110">
        <v>1</v>
      </c>
      <c r="E22" s="111"/>
      <c r="F22" s="14">
        <v>1</v>
      </c>
      <c r="G22" s="14">
        <v>1</v>
      </c>
      <c r="H22" s="112">
        <f>C5</f>
        <v>9000</v>
      </c>
      <c r="I22" s="113"/>
      <c r="J22" s="24">
        <f>C4</f>
        <v>100000</v>
      </c>
    </row>
    <row r="23" spans="1:10" ht="15.75" thickBot="1" x14ac:dyDescent="0.3">
      <c r="I23" s="25" t="s">
        <v>9</v>
      </c>
      <c r="J23" s="26">
        <f>J22</f>
        <v>100000</v>
      </c>
    </row>
  </sheetData>
  <mergeCells count="12">
    <mergeCell ref="B2:C2"/>
    <mergeCell ref="D14:E14"/>
    <mergeCell ref="D15:E15"/>
    <mergeCell ref="D16:E16"/>
    <mergeCell ref="H22:I22"/>
    <mergeCell ref="B7:C7"/>
    <mergeCell ref="H14:I14"/>
    <mergeCell ref="H15:I15"/>
    <mergeCell ref="H16:I16"/>
    <mergeCell ref="D21:E21"/>
    <mergeCell ref="H21:I21"/>
    <mergeCell ref="D22:E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D17" sqref="D17:E17"/>
    </sheetView>
  </sheetViews>
  <sheetFormatPr baseColWidth="10" defaultRowHeight="15" x14ac:dyDescent="0.25"/>
  <cols>
    <col min="1" max="1" width="2.5703125" customWidth="1"/>
    <col min="2" max="2" width="17.28515625" customWidth="1"/>
    <col min="3" max="3" width="10.42578125" customWidth="1"/>
    <col min="4" max="4" width="6.42578125" customWidth="1"/>
    <col min="5" max="5" width="13.5703125" customWidth="1"/>
    <col min="6" max="6" width="8" customWidth="1"/>
  </cols>
  <sheetData>
    <row r="1" spans="1:14" ht="13.5" customHeight="1" x14ac:dyDescent="0.25"/>
    <row r="2" spans="1:14" ht="18.75" x14ac:dyDescent="0.3">
      <c r="A2" s="27"/>
      <c r="B2" s="31" t="s">
        <v>30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.75" thickBot="1" x14ac:dyDescent="0.3"/>
    <row r="4" spans="1:14" ht="15.75" thickBot="1" x14ac:dyDescent="0.3">
      <c r="B4" s="40" t="s">
        <v>31</v>
      </c>
      <c r="C4" s="121" t="s">
        <v>39</v>
      </c>
      <c r="D4" s="122"/>
      <c r="E4" s="42" t="s">
        <v>40</v>
      </c>
    </row>
    <row r="5" spans="1:14" x14ac:dyDescent="0.25">
      <c r="B5" s="34" t="s">
        <v>32</v>
      </c>
      <c r="C5" s="123">
        <v>89</v>
      </c>
      <c r="D5" s="123"/>
      <c r="E5" s="43">
        <f>1/C5</f>
        <v>1.1235955056179775E-2</v>
      </c>
    </row>
    <row r="6" spans="1:14" x14ac:dyDescent="0.25">
      <c r="B6" s="36" t="s">
        <v>33</v>
      </c>
      <c r="C6" s="120">
        <v>720</v>
      </c>
      <c r="D6" s="120"/>
      <c r="E6" s="37">
        <f t="shared" ref="E6:E11" si="0">1/C6</f>
        <v>1.3888888888888889E-3</v>
      </c>
    </row>
    <row r="7" spans="1:14" x14ac:dyDescent="0.25">
      <c r="B7" s="36" t="s">
        <v>34</v>
      </c>
      <c r="C7" s="120">
        <v>1200</v>
      </c>
      <c r="D7" s="120"/>
      <c r="E7" s="37">
        <f t="shared" si="0"/>
        <v>8.3333333333333339E-4</v>
      </c>
    </row>
    <row r="8" spans="1:14" x14ac:dyDescent="0.25">
      <c r="B8" s="36" t="s">
        <v>35</v>
      </c>
      <c r="C8" s="120">
        <v>90</v>
      </c>
      <c r="D8" s="120"/>
      <c r="E8" s="37">
        <f t="shared" si="0"/>
        <v>1.1111111111111112E-2</v>
      </c>
    </row>
    <row r="9" spans="1:14" x14ac:dyDescent="0.25">
      <c r="B9" s="36" t="s">
        <v>36</v>
      </c>
      <c r="C9" s="120">
        <v>360</v>
      </c>
      <c r="D9" s="120"/>
      <c r="E9" s="37">
        <f t="shared" si="0"/>
        <v>2.7777777777777779E-3</v>
      </c>
    </row>
    <row r="10" spans="1:14" x14ac:dyDescent="0.25">
      <c r="B10" s="36" t="s">
        <v>37</v>
      </c>
      <c r="C10" s="120">
        <v>240</v>
      </c>
      <c r="D10" s="120"/>
      <c r="E10" s="37">
        <f t="shared" si="0"/>
        <v>4.1666666666666666E-3</v>
      </c>
    </row>
    <row r="11" spans="1:14" ht="15.75" thickBot="1" x14ac:dyDescent="0.3">
      <c r="B11" s="12" t="s">
        <v>38</v>
      </c>
      <c r="C11" s="128">
        <v>20</v>
      </c>
      <c r="D11" s="128"/>
      <c r="E11" s="38">
        <f t="shared" si="0"/>
        <v>0.05</v>
      </c>
    </row>
    <row r="13" spans="1:14" ht="15.75" thickBot="1" x14ac:dyDescent="0.3"/>
    <row r="14" spans="1:14" ht="16.5" thickBot="1" x14ac:dyDescent="0.3">
      <c r="B14" s="131" t="s">
        <v>23</v>
      </c>
      <c r="C14" s="132"/>
      <c r="D14" s="132"/>
      <c r="E14" s="133"/>
    </row>
    <row r="15" spans="1:14" ht="15.75" thickBot="1" x14ac:dyDescent="0.3"/>
    <row r="16" spans="1:14" x14ac:dyDescent="0.25">
      <c r="B16" s="61" t="s">
        <v>41</v>
      </c>
      <c r="C16" s="61"/>
      <c r="D16" s="129">
        <f>ROUNDUP(SUM(E5:E11),2)</f>
        <v>0.09</v>
      </c>
      <c r="E16" s="130"/>
      <c r="F16" s="1" t="s">
        <v>51</v>
      </c>
    </row>
    <row r="17" spans="2:6" x14ac:dyDescent="0.25">
      <c r="B17" s="39" t="s">
        <v>42</v>
      </c>
      <c r="C17" s="11" t="s">
        <v>47</v>
      </c>
      <c r="D17" s="126">
        <f>'[1]Balance de materiales'!$C24/'[2]Ritmo de trabajo'!$D$9*$D$16</f>
        <v>0.73369565217391308</v>
      </c>
      <c r="E17" s="127"/>
      <c r="F17" s="1"/>
    </row>
    <row r="18" spans="2:6" x14ac:dyDescent="0.25">
      <c r="B18" s="39" t="s">
        <v>43</v>
      </c>
      <c r="C18" s="11" t="s">
        <v>47</v>
      </c>
      <c r="D18" s="126">
        <f>'[1]Balance de materiales'!$C25/'[2]Ritmo de trabajo'!$D$9*$D$16</f>
        <v>9.7826086956521729E-2</v>
      </c>
      <c r="E18" s="127"/>
      <c r="F18" s="1"/>
    </row>
    <row r="19" spans="2:6" x14ac:dyDescent="0.25">
      <c r="B19" s="39" t="s">
        <v>44</v>
      </c>
      <c r="C19" s="11" t="s">
        <v>47</v>
      </c>
      <c r="D19" s="126">
        <f>'[1]Balance de materiales'!$C26/'[2]Ritmo de trabajo'!$D$9*$D$16</f>
        <v>2.0176630434782607E-2</v>
      </c>
      <c r="E19" s="127"/>
      <c r="F19" s="1"/>
    </row>
    <row r="20" spans="2:6" x14ac:dyDescent="0.25">
      <c r="B20" s="39" t="s">
        <v>45</v>
      </c>
      <c r="C20" s="11" t="s">
        <v>48</v>
      </c>
      <c r="D20" s="126">
        <f>'[1]Balance de materiales'!$C27/'[2]Ritmo de trabajo'!$D$9*$D$16</f>
        <v>366.8478260869565</v>
      </c>
      <c r="E20" s="127"/>
      <c r="F20" s="1"/>
    </row>
    <row r="21" spans="2:6" x14ac:dyDescent="0.25">
      <c r="B21" s="39" t="s">
        <v>70</v>
      </c>
      <c r="C21" s="11" t="s">
        <v>47</v>
      </c>
      <c r="D21" s="126">
        <f>'[1]Balance de materiales'!$C28/'[2]Ritmo de trabajo'!$D$9*$D$16</f>
        <v>1.125</v>
      </c>
      <c r="E21" s="127"/>
      <c r="F21" s="1"/>
    </row>
    <row r="22" spans="2:6" x14ac:dyDescent="0.25">
      <c r="B22" s="44" t="s">
        <v>50</v>
      </c>
      <c r="C22" s="11" t="s">
        <v>48</v>
      </c>
      <c r="D22" s="126">
        <f>'[1]Balance de materiales'!$C29/'[2]Ritmo de trabajo'!$D$9*$D$16</f>
        <v>2.0543478260869565</v>
      </c>
      <c r="E22" s="127"/>
      <c r="F22" s="1"/>
    </row>
    <row r="23" spans="2:6" x14ac:dyDescent="0.25">
      <c r="B23" s="95" t="s">
        <v>46</v>
      </c>
      <c r="C23" s="96" t="s">
        <v>3</v>
      </c>
      <c r="D23" s="126">
        <f>'[1]Balance de materiales'!$C30/'[2]Ritmo de trabajo'!$D$9*$D$16</f>
        <v>19.565217391304348</v>
      </c>
      <c r="E23" s="127"/>
      <c r="F23" s="1"/>
    </row>
    <row r="24" spans="2:6" ht="15.75" thickBot="1" x14ac:dyDescent="0.3">
      <c r="B24" s="45" t="s">
        <v>66</v>
      </c>
      <c r="C24" s="46" t="s">
        <v>3</v>
      </c>
      <c r="D24" s="124">
        <f>'[1]Balance de materiales'!$C31/'[2]Ritmo de trabajo'!$D$9*$D$16</f>
        <v>4.8913043478260869</v>
      </c>
      <c r="E24" s="125"/>
    </row>
  </sheetData>
  <mergeCells count="18">
    <mergeCell ref="D24:E24"/>
    <mergeCell ref="D23:E23"/>
    <mergeCell ref="C10:D10"/>
    <mergeCell ref="C11:D11"/>
    <mergeCell ref="D16:E16"/>
    <mergeCell ref="D17:E17"/>
    <mergeCell ref="B14:E14"/>
    <mergeCell ref="D18:E18"/>
    <mergeCell ref="D19:E19"/>
    <mergeCell ref="D20:E20"/>
    <mergeCell ref="D21:E21"/>
    <mergeCell ref="D22:E22"/>
    <mergeCell ref="C9:D9"/>
    <mergeCell ref="C4:D4"/>
    <mergeCell ref="C5:D5"/>
    <mergeCell ref="C6:D6"/>
    <mergeCell ref="C7:D7"/>
    <mergeCell ref="C8:D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34" workbookViewId="0">
      <selection activeCell="I41" sqref="I41"/>
    </sheetView>
  </sheetViews>
  <sheetFormatPr baseColWidth="10" defaultRowHeight="15" x14ac:dyDescent="0.25"/>
  <cols>
    <col min="1" max="1" width="2.28515625" customWidth="1"/>
    <col min="2" max="2" width="17.85546875" customWidth="1"/>
    <col min="3" max="3" width="11.7109375" bestFit="1" customWidth="1"/>
    <col min="5" max="5" width="15.28515625" customWidth="1"/>
  </cols>
  <sheetData>
    <row r="1" spans="1:16" ht="11.25" customHeight="1" x14ac:dyDescent="0.25"/>
    <row r="2" spans="1:16" ht="18.75" x14ac:dyDescent="0.3">
      <c r="A2" s="27"/>
      <c r="B2" s="31" t="s">
        <v>52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4" spans="1:16" ht="15.75" x14ac:dyDescent="0.25">
      <c r="B4" s="29" t="s">
        <v>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9" spans="1:16" ht="15.75" thickBot="1" x14ac:dyDescent="0.3"/>
    <row r="10" spans="1:16" ht="15.75" thickBot="1" x14ac:dyDescent="0.3">
      <c r="B10" s="134" t="s">
        <v>57</v>
      </c>
      <c r="C10" s="135"/>
      <c r="D10" s="135"/>
      <c r="E10" s="136"/>
      <c r="F10" s="137"/>
    </row>
    <row r="11" spans="1:16" ht="15.75" thickBot="1" x14ac:dyDescent="0.3">
      <c r="B11" s="74" t="s">
        <v>53</v>
      </c>
      <c r="C11" s="75">
        <f>'Consumo MP'!C7</f>
        <v>13500</v>
      </c>
      <c r="D11" s="76" t="s">
        <v>54</v>
      </c>
      <c r="E11" s="71" t="s">
        <v>61</v>
      </c>
      <c r="F11" s="72" t="s">
        <v>62</v>
      </c>
    </row>
    <row r="12" spans="1:16" x14ac:dyDescent="0.25">
      <c r="B12" s="60" t="s">
        <v>55</v>
      </c>
      <c r="C12" s="66">
        <f>$C$11*'[1]Balance de materiales'!C13*(1+E12)</f>
        <v>2065.5</v>
      </c>
      <c r="D12" s="68" t="s">
        <v>47</v>
      </c>
      <c r="E12" s="69">
        <v>0.02</v>
      </c>
      <c r="F12" s="104">
        <f t="shared" ref="F12:F19" si="0">E12*C12</f>
        <v>41.31</v>
      </c>
    </row>
    <row r="13" spans="1:16" x14ac:dyDescent="0.25">
      <c r="B13" s="60" t="s">
        <v>56</v>
      </c>
      <c r="C13" s="66">
        <f>$C$11*'[1]Balance de materiales'!C14*(1+E13)</f>
        <v>275.39999999999998</v>
      </c>
      <c r="D13" s="68" t="s">
        <v>47</v>
      </c>
      <c r="E13" s="69">
        <v>0.02</v>
      </c>
      <c r="F13" s="104">
        <f t="shared" si="0"/>
        <v>5.508</v>
      </c>
    </row>
    <row r="14" spans="1:16" x14ac:dyDescent="0.25">
      <c r="B14" s="60" t="s">
        <v>44</v>
      </c>
      <c r="C14" s="66">
        <f>$C$11*'[1]Balance de materiales'!C15*(1+E14)</f>
        <v>55.6875</v>
      </c>
      <c r="D14" s="68" t="s">
        <v>47</v>
      </c>
      <c r="E14" s="69">
        <v>0.25</v>
      </c>
      <c r="F14" s="104">
        <f t="shared" si="0"/>
        <v>13.921875</v>
      </c>
    </row>
    <row r="15" spans="1:16" x14ac:dyDescent="0.25">
      <c r="B15" s="60" t="s">
        <v>45</v>
      </c>
      <c r="C15" s="66">
        <f>$C$11*'[1]Balance de materiales'!C16*(1+E15)</f>
        <v>1012500</v>
      </c>
      <c r="D15" s="68" t="s">
        <v>48</v>
      </c>
      <c r="E15" s="69">
        <v>0</v>
      </c>
      <c r="F15" s="104">
        <f t="shared" si="0"/>
        <v>0</v>
      </c>
    </row>
    <row r="16" spans="1:16" x14ac:dyDescent="0.25">
      <c r="B16" s="60" t="s">
        <v>49</v>
      </c>
      <c r="C16" s="66">
        <f>$C$11*'[1]Balance de materiales'!C17*(1+E16)</f>
        <v>3105</v>
      </c>
      <c r="D16" s="68" t="s">
        <v>47</v>
      </c>
      <c r="E16" s="69">
        <v>0</v>
      </c>
      <c r="F16" s="104">
        <f t="shared" si="0"/>
        <v>0</v>
      </c>
    </row>
    <row r="17" spans="2:6" x14ac:dyDescent="0.25">
      <c r="B17" s="60" t="s">
        <v>50</v>
      </c>
      <c r="C17" s="66">
        <f>$C$11*'[1]Balance de materiales'!C18*(1+E17)</f>
        <v>5670</v>
      </c>
      <c r="D17" s="68" t="s">
        <v>48</v>
      </c>
      <c r="E17" s="69">
        <v>0.05</v>
      </c>
      <c r="F17" s="104">
        <f t="shared" si="0"/>
        <v>283.5</v>
      </c>
    </row>
    <row r="18" spans="2:6" x14ac:dyDescent="0.25">
      <c r="B18" s="60" t="s">
        <v>46</v>
      </c>
      <c r="C18" s="66">
        <f>$C$11*'[1]Balance de materiales'!C19*(1+E18)</f>
        <v>54000</v>
      </c>
      <c r="D18" s="68" t="s">
        <v>54</v>
      </c>
      <c r="E18" s="69">
        <v>0</v>
      </c>
      <c r="F18" s="104">
        <f t="shared" si="0"/>
        <v>0</v>
      </c>
    </row>
    <row r="19" spans="2:6" ht="15.75" thickBot="1" x14ac:dyDescent="0.3">
      <c r="B19" s="97" t="s">
        <v>67</v>
      </c>
      <c r="C19" s="67">
        <f>$C$11*'[1]Balance de materiales'!C20*(1+E19)</f>
        <v>13500</v>
      </c>
      <c r="D19" s="101" t="s">
        <v>54</v>
      </c>
      <c r="E19" s="100">
        <v>0</v>
      </c>
      <c r="F19" s="103">
        <f t="shared" si="0"/>
        <v>0</v>
      </c>
    </row>
    <row r="20" spans="2:6" ht="15.75" thickBot="1" x14ac:dyDescent="0.3"/>
    <row r="21" spans="2:6" ht="15.75" thickBot="1" x14ac:dyDescent="0.3">
      <c r="B21" s="138" t="s">
        <v>58</v>
      </c>
      <c r="C21" s="139"/>
      <c r="D21" s="139"/>
      <c r="E21" s="140"/>
      <c r="F21" s="141"/>
    </row>
    <row r="22" spans="2:6" ht="15.75" thickBot="1" x14ac:dyDescent="0.3">
      <c r="B22" s="74" t="s">
        <v>53</v>
      </c>
      <c r="C22" s="75">
        <f>'Evolución de la Producción'!J16</f>
        <v>72000</v>
      </c>
      <c r="D22" s="76" t="s">
        <v>54</v>
      </c>
      <c r="E22" s="71" t="s">
        <v>61</v>
      </c>
      <c r="F22" s="72" t="s">
        <v>62</v>
      </c>
    </row>
    <row r="23" spans="2:6" x14ac:dyDescent="0.25">
      <c r="B23" s="60" t="s">
        <v>55</v>
      </c>
      <c r="C23" s="66">
        <f>$C$22*'[1]Balance de materiales'!C13*(1+E23)</f>
        <v>10800</v>
      </c>
      <c r="D23" s="68" t="s">
        <v>47</v>
      </c>
      <c r="E23" s="69">
        <v>0</v>
      </c>
      <c r="F23" s="104">
        <f t="shared" ref="F23:F30" si="1">E23*C23</f>
        <v>0</v>
      </c>
    </row>
    <row r="24" spans="2:6" x14ac:dyDescent="0.25">
      <c r="B24" s="60" t="s">
        <v>56</v>
      </c>
      <c r="C24" s="66">
        <f>$C$22*'[1]Balance de materiales'!C14*(1+E24)</f>
        <v>1440</v>
      </c>
      <c r="D24" s="68" t="s">
        <v>47</v>
      </c>
      <c r="E24" s="69">
        <v>0</v>
      </c>
      <c r="F24" s="104">
        <f t="shared" si="1"/>
        <v>0</v>
      </c>
    </row>
    <row r="25" spans="2:6" x14ac:dyDescent="0.25">
      <c r="B25" s="60" t="s">
        <v>44</v>
      </c>
      <c r="C25" s="66">
        <f>$C$22*'[1]Balance de materiales'!C15*(1+E25)</f>
        <v>297</v>
      </c>
      <c r="D25" s="68" t="s">
        <v>47</v>
      </c>
      <c r="E25" s="69">
        <v>0.25</v>
      </c>
      <c r="F25" s="104">
        <f t="shared" si="1"/>
        <v>74.25</v>
      </c>
    </row>
    <row r="26" spans="2:6" x14ac:dyDescent="0.25">
      <c r="B26" s="60" t="s">
        <v>45</v>
      </c>
      <c r="C26" s="66">
        <f>$C$22*'[1]Balance de materiales'!C16*(1+E26)</f>
        <v>5400000</v>
      </c>
      <c r="D26" s="68" t="s">
        <v>48</v>
      </c>
      <c r="E26" s="69">
        <v>0</v>
      </c>
      <c r="F26" s="104">
        <f t="shared" si="1"/>
        <v>0</v>
      </c>
    </row>
    <row r="27" spans="2:6" x14ac:dyDescent="0.25">
      <c r="B27" s="60" t="s">
        <v>49</v>
      </c>
      <c r="C27" s="66">
        <f>$C$22*'[1]Balance de materiales'!C17*(1+E27)</f>
        <v>16560</v>
      </c>
      <c r="D27" s="68" t="s">
        <v>47</v>
      </c>
      <c r="E27" s="69">
        <v>0</v>
      </c>
      <c r="F27" s="104">
        <f t="shared" si="1"/>
        <v>0</v>
      </c>
    </row>
    <row r="28" spans="2:6" x14ac:dyDescent="0.25">
      <c r="B28" s="60" t="s">
        <v>50</v>
      </c>
      <c r="C28" s="66">
        <f>$C$22*'[1]Balance de materiales'!C18*(1+E28)</f>
        <v>30240</v>
      </c>
      <c r="D28" s="68" t="s">
        <v>48</v>
      </c>
      <c r="E28" s="69">
        <v>0.05</v>
      </c>
      <c r="F28" s="104">
        <f t="shared" si="1"/>
        <v>1512</v>
      </c>
    </row>
    <row r="29" spans="2:6" x14ac:dyDescent="0.25">
      <c r="B29" s="60" t="s">
        <v>46</v>
      </c>
      <c r="C29" s="66">
        <f>$C$22*'[1]Balance de materiales'!C19*(1+E29)</f>
        <v>288000</v>
      </c>
      <c r="D29" s="68" t="s">
        <v>54</v>
      </c>
      <c r="E29" s="69">
        <v>0</v>
      </c>
      <c r="F29" s="104">
        <f t="shared" si="1"/>
        <v>0</v>
      </c>
    </row>
    <row r="30" spans="2:6" ht="15.75" thickBot="1" x14ac:dyDescent="0.3">
      <c r="B30" s="97" t="s">
        <v>67</v>
      </c>
      <c r="C30" s="67">
        <f>$C$22*'[1]Balance de materiales'!C20*(1+E30)</f>
        <v>72000</v>
      </c>
      <c r="D30" s="101" t="s">
        <v>54</v>
      </c>
      <c r="E30" s="100">
        <v>0</v>
      </c>
      <c r="F30" s="103">
        <f t="shared" si="1"/>
        <v>0</v>
      </c>
    </row>
    <row r="31" spans="2:6" ht="15.75" thickBot="1" x14ac:dyDescent="0.3"/>
    <row r="32" spans="2:6" ht="15.75" thickBot="1" x14ac:dyDescent="0.3">
      <c r="B32" s="138" t="s">
        <v>59</v>
      </c>
      <c r="C32" s="139"/>
      <c r="D32" s="139"/>
      <c r="E32" s="140"/>
      <c r="F32" s="141"/>
    </row>
    <row r="33" spans="2:16" ht="15.75" thickBot="1" x14ac:dyDescent="0.3">
      <c r="B33" s="74" t="s">
        <v>53</v>
      </c>
      <c r="C33" s="75">
        <f t="shared" ref="C33:C41" si="2">C11+C22</f>
        <v>85500</v>
      </c>
      <c r="D33" s="76" t="s">
        <v>54</v>
      </c>
      <c r="E33" s="71" t="s">
        <v>61</v>
      </c>
      <c r="F33" s="72" t="s">
        <v>62</v>
      </c>
    </row>
    <row r="34" spans="2:16" x14ac:dyDescent="0.25">
      <c r="B34" s="60" t="s">
        <v>55</v>
      </c>
      <c r="C34" s="66">
        <f t="shared" si="2"/>
        <v>12865.5</v>
      </c>
      <c r="D34" s="68" t="s">
        <v>47</v>
      </c>
      <c r="E34" s="69">
        <v>0</v>
      </c>
      <c r="F34" s="79">
        <f t="shared" ref="F34:F41" si="3">E34*C34</f>
        <v>0</v>
      </c>
    </row>
    <row r="35" spans="2:16" x14ac:dyDescent="0.25">
      <c r="B35" s="60" t="s">
        <v>56</v>
      </c>
      <c r="C35" s="66">
        <f t="shared" si="2"/>
        <v>1715.4</v>
      </c>
      <c r="D35" s="68" t="s">
        <v>47</v>
      </c>
      <c r="E35" s="69">
        <v>0</v>
      </c>
      <c r="F35" s="79">
        <f t="shared" si="3"/>
        <v>0</v>
      </c>
    </row>
    <row r="36" spans="2:16" x14ac:dyDescent="0.25">
      <c r="B36" s="60" t="s">
        <v>44</v>
      </c>
      <c r="C36" s="66">
        <f t="shared" si="2"/>
        <v>352.6875</v>
      </c>
      <c r="D36" s="68" t="s">
        <v>47</v>
      </c>
      <c r="E36" s="69">
        <v>0.25</v>
      </c>
      <c r="F36" s="79">
        <f t="shared" si="3"/>
        <v>88.171875</v>
      </c>
    </row>
    <row r="37" spans="2:16" x14ac:dyDescent="0.25">
      <c r="B37" s="60" t="s">
        <v>45</v>
      </c>
      <c r="C37" s="66">
        <f t="shared" si="2"/>
        <v>6412500</v>
      </c>
      <c r="D37" s="68" t="s">
        <v>48</v>
      </c>
      <c r="E37" s="69">
        <v>0</v>
      </c>
      <c r="F37" s="79">
        <f t="shared" si="3"/>
        <v>0</v>
      </c>
    </row>
    <row r="38" spans="2:16" x14ac:dyDescent="0.25">
      <c r="B38" s="60" t="s">
        <v>49</v>
      </c>
      <c r="C38" s="66">
        <f t="shared" si="2"/>
        <v>19665</v>
      </c>
      <c r="D38" s="68" t="s">
        <v>47</v>
      </c>
      <c r="E38" s="69">
        <v>0</v>
      </c>
      <c r="F38" s="79">
        <f t="shared" si="3"/>
        <v>0</v>
      </c>
    </row>
    <row r="39" spans="2:16" x14ac:dyDescent="0.25">
      <c r="B39" s="60" t="s">
        <v>50</v>
      </c>
      <c r="C39" s="66">
        <f t="shared" si="2"/>
        <v>35910</v>
      </c>
      <c r="D39" s="68" t="s">
        <v>48</v>
      </c>
      <c r="E39" s="69">
        <v>0.05</v>
      </c>
      <c r="F39" s="79">
        <f t="shared" si="3"/>
        <v>1795.5</v>
      </c>
    </row>
    <row r="40" spans="2:16" x14ac:dyDescent="0.25">
      <c r="B40" s="60" t="s">
        <v>46</v>
      </c>
      <c r="C40" s="66">
        <f t="shared" si="2"/>
        <v>342000</v>
      </c>
      <c r="D40" s="68" t="s">
        <v>54</v>
      </c>
      <c r="E40" s="69">
        <v>0</v>
      </c>
      <c r="F40" s="79">
        <f t="shared" si="3"/>
        <v>0</v>
      </c>
    </row>
    <row r="41" spans="2:16" ht="15.75" thickBot="1" x14ac:dyDescent="0.3">
      <c r="B41" s="97" t="s">
        <v>67</v>
      </c>
      <c r="C41" s="67">
        <f t="shared" si="2"/>
        <v>85500</v>
      </c>
      <c r="D41" s="101" t="s">
        <v>54</v>
      </c>
      <c r="E41" s="100">
        <v>0</v>
      </c>
      <c r="F41" s="78">
        <f t="shared" si="3"/>
        <v>0</v>
      </c>
    </row>
    <row r="43" spans="2:16" ht="15.75" x14ac:dyDescent="0.25">
      <c r="B43" s="29" t="s">
        <v>60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2:16" ht="15.75" thickBot="1" x14ac:dyDescent="0.3"/>
    <row r="45" spans="2:16" ht="15.75" thickBot="1" x14ac:dyDescent="0.3">
      <c r="B45" s="74" t="s">
        <v>53</v>
      </c>
      <c r="C45" s="75">
        <f>'Evolución de la Producción'!J23</f>
        <v>100000</v>
      </c>
      <c r="D45" s="76" t="s">
        <v>54</v>
      </c>
      <c r="E45" s="71" t="s">
        <v>61</v>
      </c>
      <c r="F45" s="72" t="s">
        <v>62</v>
      </c>
    </row>
    <row r="46" spans="2:16" x14ac:dyDescent="0.25">
      <c r="B46" s="60" t="s">
        <v>55</v>
      </c>
      <c r="C46" s="73">
        <f>$C$45*'[1]Balance de materiales'!C13*(1+E46)</f>
        <v>15000</v>
      </c>
      <c r="D46" s="11" t="s">
        <v>47</v>
      </c>
      <c r="E46" s="69">
        <v>0</v>
      </c>
      <c r="F46" s="104">
        <f t="shared" ref="F46:F53" si="4">E46*C46</f>
        <v>0</v>
      </c>
    </row>
    <row r="47" spans="2:16" x14ac:dyDescent="0.25">
      <c r="B47" s="60" t="s">
        <v>56</v>
      </c>
      <c r="C47" s="73">
        <f>$C$45*'[1]Balance de materiales'!C14*(1+E47)</f>
        <v>2000</v>
      </c>
      <c r="D47" s="11" t="s">
        <v>47</v>
      </c>
      <c r="E47" s="69">
        <v>0</v>
      </c>
      <c r="F47" s="104">
        <f t="shared" si="4"/>
        <v>0</v>
      </c>
    </row>
    <row r="48" spans="2:16" x14ac:dyDescent="0.25">
      <c r="B48" s="60" t="s">
        <v>44</v>
      </c>
      <c r="C48" s="73">
        <f>$C$45*'[1]Balance de materiales'!C15*(1+E48)</f>
        <v>412.5</v>
      </c>
      <c r="D48" s="11" t="s">
        <v>47</v>
      </c>
      <c r="E48" s="69">
        <v>0.25</v>
      </c>
      <c r="F48" s="104">
        <f t="shared" si="4"/>
        <v>103.125</v>
      </c>
    </row>
    <row r="49" spans="2:6" x14ac:dyDescent="0.25">
      <c r="B49" s="60" t="s">
        <v>45</v>
      </c>
      <c r="C49" s="73">
        <f>$C$45*'[1]Balance de materiales'!C16*(1+E49)</f>
        <v>7500000</v>
      </c>
      <c r="D49" s="11" t="s">
        <v>48</v>
      </c>
      <c r="E49" s="69">
        <v>0</v>
      </c>
      <c r="F49" s="104">
        <f t="shared" si="4"/>
        <v>0</v>
      </c>
    </row>
    <row r="50" spans="2:6" x14ac:dyDescent="0.25">
      <c r="B50" s="60" t="s">
        <v>49</v>
      </c>
      <c r="C50" s="73">
        <f>$C$45*'[1]Balance de materiales'!C17*(1+E50)</f>
        <v>23000</v>
      </c>
      <c r="D50" s="11" t="s">
        <v>47</v>
      </c>
      <c r="E50" s="69">
        <v>0</v>
      </c>
      <c r="F50" s="104">
        <f t="shared" si="4"/>
        <v>0</v>
      </c>
    </row>
    <row r="51" spans="2:6" x14ac:dyDescent="0.25">
      <c r="B51" s="60" t="s">
        <v>50</v>
      </c>
      <c r="C51" s="73">
        <f>$C$45*'[1]Balance de materiales'!C18*(1+E51)</f>
        <v>42000</v>
      </c>
      <c r="D51" s="11" t="s">
        <v>48</v>
      </c>
      <c r="E51" s="69">
        <v>0.05</v>
      </c>
      <c r="F51" s="104">
        <f t="shared" si="4"/>
        <v>2100</v>
      </c>
    </row>
    <row r="52" spans="2:6" x14ac:dyDescent="0.25">
      <c r="B52" s="60" t="s">
        <v>46</v>
      </c>
      <c r="C52" s="73">
        <f>$C$45*'[1]Balance de materiales'!C19*(1+E52)</f>
        <v>400000</v>
      </c>
      <c r="D52" s="11" t="s">
        <v>54</v>
      </c>
      <c r="E52" s="69">
        <v>0</v>
      </c>
      <c r="F52" s="104">
        <f t="shared" si="4"/>
        <v>0</v>
      </c>
    </row>
    <row r="53" spans="2:6" ht="15.75" thickBot="1" x14ac:dyDescent="0.3">
      <c r="B53" s="97" t="s">
        <v>67</v>
      </c>
      <c r="C53" s="77">
        <f>$C$45*'[1]Balance de materiales'!C20*(1+E53)</f>
        <v>100000</v>
      </c>
      <c r="D53" s="98" t="s">
        <v>54</v>
      </c>
      <c r="E53" s="100">
        <v>0</v>
      </c>
      <c r="F53" s="103">
        <f t="shared" si="4"/>
        <v>0</v>
      </c>
    </row>
  </sheetData>
  <mergeCells count="3">
    <mergeCell ref="B10:F10"/>
    <mergeCell ref="B21:F21"/>
    <mergeCell ref="B32:F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49" sqref="C49"/>
    </sheetView>
  </sheetViews>
  <sheetFormatPr baseColWidth="10" defaultRowHeight="15" x14ac:dyDescent="0.25"/>
  <cols>
    <col min="1" max="1" width="2.42578125" customWidth="1"/>
    <col min="2" max="2" width="19.7109375" bestFit="1" customWidth="1"/>
    <col min="3" max="3" width="11.7109375" bestFit="1" customWidth="1"/>
  </cols>
  <sheetData>
    <row r="1" spans="1:16" ht="12" customHeight="1" x14ac:dyDescent="0.25"/>
    <row r="2" spans="1:16" ht="18.75" x14ac:dyDescent="0.3">
      <c r="A2" s="27"/>
      <c r="B2" s="31" t="s">
        <v>25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4" spans="1:16" ht="15.75" x14ac:dyDescent="0.25">
      <c r="A4" s="58"/>
      <c r="B4" s="29" t="s">
        <v>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15.75" thickBot="1" x14ac:dyDescent="0.3"/>
    <row r="6" spans="1:16" ht="15.75" thickBot="1" x14ac:dyDescent="0.3">
      <c r="B6" s="138" t="s">
        <v>57</v>
      </c>
      <c r="C6" s="139"/>
      <c r="D6" s="142"/>
    </row>
    <row r="7" spans="1:16" x14ac:dyDescent="0.25">
      <c r="B7" s="62" t="s">
        <v>53</v>
      </c>
      <c r="C7" s="63">
        <f>'Evolución de la Producción'!J15</f>
        <v>13500</v>
      </c>
      <c r="D7" s="64" t="s">
        <v>54</v>
      </c>
    </row>
    <row r="8" spans="1:16" x14ac:dyDescent="0.25">
      <c r="B8" s="60" t="s">
        <v>55</v>
      </c>
      <c r="C8" s="66">
        <f>'[1]Balance de materiales'!C13*$C$7+'% DNR'!F12</f>
        <v>2066.31</v>
      </c>
      <c r="D8" s="11" t="s">
        <v>47</v>
      </c>
    </row>
    <row r="9" spans="1:16" x14ac:dyDescent="0.25">
      <c r="B9" s="60" t="s">
        <v>56</v>
      </c>
      <c r="C9" s="66">
        <f>'[1]Balance de materiales'!C14*$C$7+'% DNR'!F13</f>
        <v>275.50799999999998</v>
      </c>
      <c r="D9" s="11" t="s">
        <v>47</v>
      </c>
    </row>
    <row r="10" spans="1:16" x14ac:dyDescent="0.25">
      <c r="B10" s="60" t="s">
        <v>44</v>
      </c>
      <c r="C10" s="66">
        <f>'[1]Balance de materiales'!C15*$C$7+'% DNR'!F14</f>
        <v>58.471874999999997</v>
      </c>
      <c r="D10" s="11" t="s">
        <v>47</v>
      </c>
    </row>
    <row r="11" spans="1:16" x14ac:dyDescent="0.25">
      <c r="B11" s="60" t="s">
        <v>45</v>
      </c>
      <c r="C11" s="66">
        <f>'[1]Balance de materiales'!C16*$C$7+'% DNR'!F15</f>
        <v>1012500</v>
      </c>
      <c r="D11" s="11" t="s">
        <v>48</v>
      </c>
    </row>
    <row r="12" spans="1:16" x14ac:dyDescent="0.25">
      <c r="B12" s="60" t="s">
        <v>49</v>
      </c>
      <c r="C12" s="66">
        <f>'[1]Balance de materiales'!C17*$C$7+'% DNR'!F16</f>
        <v>3105</v>
      </c>
      <c r="D12" s="11" t="s">
        <v>47</v>
      </c>
    </row>
    <row r="13" spans="1:16" x14ac:dyDescent="0.25">
      <c r="B13" s="60" t="s">
        <v>50</v>
      </c>
      <c r="C13" s="66">
        <f>'[1]Balance de materiales'!C18*$C$7+'% DNR'!F17</f>
        <v>5683.5</v>
      </c>
      <c r="D13" s="11" t="s">
        <v>48</v>
      </c>
    </row>
    <row r="14" spans="1:16" x14ac:dyDescent="0.25">
      <c r="B14" s="60" t="s">
        <v>46</v>
      </c>
      <c r="C14" s="66">
        <f>'[1]Balance de materiales'!C19*$C$7+'% DNR'!F18</f>
        <v>54000</v>
      </c>
      <c r="D14" s="11" t="s">
        <v>54</v>
      </c>
    </row>
    <row r="15" spans="1:16" ht="15.75" thickBot="1" x14ac:dyDescent="0.3">
      <c r="B15" s="97" t="s">
        <v>67</v>
      </c>
      <c r="C15" s="67">
        <f>'[1]Balance de materiales'!C20*$C$7+'% DNR'!F19</f>
        <v>13500</v>
      </c>
      <c r="D15" s="98" t="s">
        <v>54</v>
      </c>
    </row>
    <row r="16" spans="1:16" ht="15.75" thickBot="1" x14ac:dyDescent="0.3"/>
    <row r="17" spans="2:4" ht="15.75" thickBot="1" x14ac:dyDescent="0.3">
      <c r="B17" s="138" t="s">
        <v>58</v>
      </c>
      <c r="C17" s="143"/>
      <c r="D17" s="144"/>
    </row>
    <row r="18" spans="2:4" x14ac:dyDescent="0.25">
      <c r="B18" s="65" t="s">
        <v>53</v>
      </c>
      <c r="C18" s="63">
        <f>'Evolución de la Producción'!J16</f>
        <v>72000</v>
      </c>
      <c r="D18" s="64" t="s">
        <v>54</v>
      </c>
    </row>
    <row r="19" spans="2:4" x14ac:dyDescent="0.25">
      <c r="B19" s="59" t="s">
        <v>55</v>
      </c>
      <c r="C19" s="66">
        <f>'[1]Balance de materiales'!C13*$C$18+'% DNR'!F23</f>
        <v>10800</v>
      </c>
      <c r="D19" s="11" t="s">
        <v>47</v>
      </c>
    </row>
    <row r="20" spans="2:4" x14ac:dyDescent="0.25">
      <c r="B20" s="59" t="s">
        <v>56</v>
      </c>
      <c r="C20" s="66">
        <f>'[1]Balance de materiales'!C14*$C$18+'% DNR'!F24</f>
        <v>1440</v>
      </c>
      <c r="D20" s="11" t="s">
        <v>47</v>
      </c>
    </row>
    <row r="21" spans="2:4" x14ac:dyDescent="0.25">
      <c r="B21" s="59" t="s">
        <v>44</v>
      </c>
      <c r="C21" s="66">
        <f>'[1]Balance de materiales'!C15*$C$18+'% DNR'!F25</f>
        <v>311.85000000000002</v>
      </c>
      <c r="D21" s="11" t="s">
        <v>47</v>
      </c>
    </row>
    <row r="22" spans="2:4" x14ac:dyDescent="0.25">
      <c r="B22" s="59" t="s">
        <v>45</v>
      </c>
      <c r="C22" s="66">
        <f>'[1]Balance de materiales'!C16*$C$18+'% DNR'!F26</f>
        <v>5400000</v>
      </c>
      <c r="D22" s="11" t="s">
        <v>48</v>
      </c>
    </row>
    <row r="23" spans="2:4" x14ac:dyDescent="0.25">
      <c r="B23" s="59" t="s">
        <v>49</v>
      </c>
      <c r="C23" s="66">
        <f>'[1]Balance de materiales'!C17*$C$18+'% DNR'!F27</f>
        <v>16560</v>
      </c>
      <c r="D23" s="11" t="s">
        <v>47</v>
      </c>
    </row>
    <row r="24" spans="2:4" x14ac:dyDescent="0.25">
      <c r="B24" s="59" t="s">
        <v>50</v>
      </c>
      <c r="C24" s="66">
        <f>'[1]Balance de materiales'!C18*$C$18+'% DNR'!F28</f>
        <v>30312</v>
      </c>
      <c r="D24" s="11" t="s">
        <v>48</v>
      </c>
    </row>
    <row r="25" spans="2:4" x14ac:dyDescent="0.25">
      <c r="B25" s="59" t="s">
        <v>46</v>
      </c>
      <c r="C25" s="66">
        <f>'[1]Balance de materiales'!C19*$C$18+'% DNR'!F29</f>
        <v>288000</v>
      </c>
      <c r="D25" s="11" t="s">
        <v>54</v>
      </c>
    </row>
    <row r="26" spans="2:4" ht="15.75" thickBot="1" x14ac:dyDescent="0.3">
      <c r="B26" s="99" t="s">
        <v>67</v>
      </c>
      <c r="C26" s="67">
        <f>'[1]Balance de materiales'!C20*$C$18+'% DNR'!F30</f>
        <v>72000</v>
      </c>
      <c r="D26" s="98" t="s">
        <v>54</v>
      </c>
    </row>
    <row r="27" spans="2:4" ht="15.75" thickBot="1" x14ac:dyDescent="0.3"/>
    <row r="28" spans="2:4" ht="15.75" thickBot="1" x14ac:dyDescent="0.3">
      <c r="B28" s="138" t="s">
        <v>59</v>
      </c>
      <c r="C28" s="143"/>
      <c r="D28" s="144"/>
    </row>
    <row r="29" spans="2:4" x14ac:dyDescent="0.25">
      <c r="B29" s="62" t="s">
        <v>53</v>
      </c>
      <c r="C29" s="63">
        <f>C7+C18</f>
        <v>85500</v>
      </c>
      <c r="D29" s="64" t="s">
        <v>54</v>
      </c>
    </row>
    <row r="30" spans="2:4" x14ac:dyDescent="0.25">
      <c r="B30" s="60" t="s">
        <v>55</v>
      </c>
      <c r="C30" s="66">
        <f>C8+C19+'MC y SE'!D17</f>
        <v>12867.043695652173</v>
      </c>
      <c r="D30" s="11" t="s">
        <v>47</v>
      </c>
    </row>
    <row r="31" spans="2:4" x14ac:dyDescent="0.25">
      <c r="B31" s="60" t="s">
        <v>56</v>
      </c>
      <c r="C31" s="66">
        <f>C9+C20+'MC y SE'!D18</f>
        <v>1715.6058260869565</v>
      </c>
      <c r="D31" s="11" t="s">
        <v>47</v>
      </c>
    </row>
    <row r="32" spans="2:4" x14ac:dyDescent="0.25">
      <c r="B32" s="60" t="s">
        <v>44</v>
      </c>
      <c r="C32" s="66">
        <f>C10+C21+'MC y SE'!D19</f>
        <v>370.34205163043481</v>
      </c>
      <c r="D32" s="11" t="s">
        <v>47</v>
      </c>
    </row>
    <row r="33" spans="1:16" x14ac:dyDescent="0.25">
      <c r="B33" s="60" t="s">
        <v>45</v>
      </c>
      <c r="C33" s="66">
        <f>C11+C22+'MC y SE'!D20</f>
        <v>6412866.8478260869</v>
      </c>
      <c r="D33" s="11" t="s">
        <v>48</v>
      </c>
    </row>
    <row r="34" spans="1:16" x14ac:dyDescent="0.25">
      <c r="B34" s="60" t="s">
        <v>49</v>
      </c>
      <c r="C34" s="66">
        <f>C12+C23+'MC y SE'!D21</f>
        <v>19666.125</v>
      </c>
      <c r="D34" s="11" t="s">
        <v>47</v>
      </c>
    </row>
    <row r="35" spans="1:16" x14ac:dyDescent="0.25">
      <c r="B35" s="60" t="s">
        <v>50</v>
      </c>
      <c r="C35" s="66">
        <f>C13+C24+'MC y SE'!D22</f>
        <v>35997.554347826088</v>
      </c>
      <c r="D35" s="11" t="s">
        <v>48</v>
      </c>
    </row>
    <row r="36" spans="1:16" x14ac:dyDescent="0.25">
      <c r="B36" s="60" t="s">
        <v>46</v>
      </c>
      <c r="C36" s="88">
        <f>C14+C25+'MC y SE'!D23</f>
        <v>342019.5652173913</v>
      </c>
      <c r="D36" s="11" t="s">
        <v>54</v>
      </c>
    </row>
    <row r="37" spans="1:16" ht="15.75" thickBot="1" x14ac:dyDescent="0.3">
      <c r="B37" s="97" t="s">
        <v>67</v>
      </c>
      <c r="C37" s="89">
        <f>C15+C26+'MC y SE'!D24</f>
        <v>85504.891304347824</v>
      </c>
      <c r="D37" s="98" t="s">
        <v>54</v>
      </c>
    </row>
    <row r="39" spans="1:16" ht="15.75" x14ac:dyDescent="0.25">
      <c r="A39" s="29"/>
      <c r="B39" s="29" t="s">
        <v>60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8"/>
    </row>
    <row r="40" spans="1:16" ht="15.75" thickBot="1" x14ac:dyDescent="0.3"/>
    <row r="41" spans="1:16" x14ac:dyDescent="0.25">
      <c r="B41" s="62" t="s">
        <v>53</v>
      </c>
      <c r="C41" s="63">
        <f>'Evolución de la Producción'!J23</f>
        <v>100000</v>
      </c>
      <c r="D41" s="64" t="s">
        <v>54</v>
      </c>
    </row>
    <row r="42" spans="1:16" x14ac:dyDescent="0.25">
      <c r="B42" s="60" t="s">
        <v>55</v>
      </c>
      <c r="C42" s="66">
        <f>'[1]Balance de materiales'!C24+'% DNR'!F46</f>
        <v>15000</v>
      </c>
      <c r="D42" s="11" t="s">
        <v>47</v>
      </c>
    </row>
    <row r="43" spans="1:16" x14ac:dyDescent="0.25">
      <c r="B43" s="60" t="s">
        <v>56</v>
      </c>
      <c r="C43" s="66">
        <f>'[1]Balance de materiales'!C25+'% DNR'!F47</f>
        <v>2000</v>
      </c>
      <c r="D43" s="11" t="s">
        <v>47</v>
      </c>
    </row>
    <row r="44" spans="1:16" x14ac:dyDescent="0.25">
      <c r="B44" s="60" t="s">
        <v>44</v>
      </c>
      <c r="C44" s="66">
        <f>'[1]Balance de materiales'!C26+'% DNR'!F48</f>
        <v>515.625</v>
      </c>
      <c r="D44" s="11" t="s">
        <v>47</v>
      </c>
    </row>
    <row r="45" spans="1:16" x14ac:dyDescent="0.25">
      <c r="B45" s="60" t="s">
        <v>45</v>
      </c>
      <c r="C45" s="66">
        <f>'[1]Balance de materiales'!C27+'% DNR'!F49</f>
        <v>7500000</v>
      </c>
      <c r="D45" s="11" t="s">
        <v>48</v>
      </c>
    </row>
    <row r="46" spans="1:16" x14ac:dyDescent="0.25">
      <c r="B46" s="60" t="s">
        <v>49</v>
      </c>
      <c r="C46" s="66">
        <f>'[1]Balance de materiales'!C28+'% DNR'!F50</f>
        <v>23000</v>
      </c>
      <c r="D46" s="11" t="s">
        <v>47</v>
      </c>
    </row>
    <row r="47" spans="1:16" x14ac:dyDescent="0.25">
      <c r="B47" s="60" t="s">
        <v>50</v>
      </c>
      <c r="C47" s="66">
        <f>'[1]Balance de materiales'!C29+'% DNR'!F51</f>
        <v>44100.000000000007</v>
      </c>
      <c r="D47" s="11" t="s">
        <v>48</v>
      </c>
    </row>
    <row r="48" spans="1:16" x14ac:dyDescent="0.25">
      <c r="B48" s="60" t="s">
        <v>46</v>
      </c>
      <c r="C48" s="66">
        <f>'[1]Balance de materiales'!C30+'% DNR'!F52</f>
        <v>400000</v>
      </c>
      <c r="D48" s="11" t="s">
        <v>54</v>
      </c>
    </row>
    <row r="49" spans="2:4" ht="15.75" thickBot="1" x14ac:dyDescent="0.3">
      <c r="B49" s="97" t="s">
        <v>67</v>
      </c>
      <c r="C49" s="67">
        <f>'[1]Balance de materiales'!C31+'% DNR'!F53</f>
        <v>100000</v>
      </c>
      <c r="D49" s="98" t="s">
        <v>54</v>
      </c>
    </row>
  </sheetData>
  <mergeCells count="3">
    <mergeCell ref="B6:D6"/>
    <mergeCell ref="B17:D17"/>
    <mergeCell ref="B28:D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31" workbookViewId="0">
      <selection activeCell="H41" sqref="H41"/>
    </sheetView>
  </sheetViews>
  <sheetFormatPr baseColWidth="10" defaultRowHeight="15" x14ac:dyDescent="0.25"/>
  <cols>
    <col min="1" max="1" width="3" customWidth="1"/>
    <col min="2" max="2" width="17.28515625" customWidth="1"/>
  </cols>
  <sheetData>
    <row r="1" spans="1:13" ht="11.25" customHeight="1" x14ac:dyDescent="0.25"/>
    <row r="2" spans="1:13" ht="18.75" x14ac:dyDescent="0.3">
      <c r="A2" s="80"/>
      <c r="B2" s="81" t="s">
        <v>26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4" spans="1:13" x14ac:dyDescent="0.25">
      <c r="B4" t="s">
        <v>63</v>
      </c>
    </row>
    <row r="6" spans="1:13" ht="15.75" x14ac:dyDescent="0.25">
      <c r="B6" s="29" t="s">
        <v>28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8" spans="1:13" x14ac:dyDescent="0.25">
      <c r="B8" t="s">
        <v>65</v>
      </c>
    </row>
    <row r="9" spans="1:13" ht="15.75" thickBot="1" x14ac:dyDescent="0.3"/>
    <row r="10" spans="1:13" x14ac:dyDescent="0.25">
      <c r="B10" s="86" t="s">
        <v>55</v>
      </c>
      <c r="C10" s="87">
        <f>('Consumo MP'!C8/3)/4</f>
        <v>172.1925</v>
      </c>
      <c r="D10" s="35" t="s">
        <v>47</v>
      </c>
    </row>
    <row r="11" spans="1:13" x14ac:dyDescent="0.25">
      <c r="B11" s="60" t="s">
        <v>56</v>
      </c>
      <c r="C11" s="88">
        <f>('Consumo MP'!C9/3)/4</f>
        <v>22.959</v>
      </c>
      <c r="D11" s="11" t="s">
        <v>47</v>
      </c>
    </row>
    <row r="12" spans="1:13" x14ac:dyDescent="0.25">
      <c r="B12" s="60" t="s">
        <v>44</v>
      </c>
      <c r="C12" s="88">
        <f>('Consumo MP'!C10/3)/4</f>
        <v>4.8726562499999995</v>
      </c>
      <c r="D12" s="11" t="s">
        <v>47</v>
      </c>
    </row>
    <row r="13" spans="1:13" x14ac:dyDescent="0.25">
      <c r="B13" s="60" t="s">
        <v>45</v>
      </c>
      <c r="C13" s="88">
        <f>('Consumo MP'!C11/3)/4</f>
        <v>84375</v>
      </c>
      <c r="D13" s="11" t="s">
        <v>48</v>
      </c>
    </row>
    <row r="14" spans="1:13" x14ac:dyDescent="0.25">
      <c r="B14" s="60" t="s">
        <v>49</v>
      </c>
      <c r="C14" s="88">
        <f>('Consumo MP'!C12/3)/4</f>
        <v>258.75</v>
      </c>
      <c r="D14" s="11" t="s">
        <v>47</v>
      </c>
    </row>
    <row r="15" spans="1:13" x14ac:dyDescent="0.25">
      <c r="B15" s="60" t="s">
        <v>50</v>
      </c>
      <c r="C15" s="88">
        <f>('Consumo MP'!C13/3)/4</f>
        <v>473.625</v>
      </c>
      <c r="D15" s="11" t="s">
        <v>48</v>
      </c>
    </row>
    <row r="16" spans="1:13" x14ac:dyDescent="0.25">
      <c r="B16" s="60" t="s">
        <v>46</v>
      </c>
      <c r="C16" s="88">
        <f>('Consumo MP'!C14/3)/4</f>
        <v>4500</v>
      </c>
      <c r="D16" s="11" t="s">
        <v>54</v>
      </c>
    </row>
    <row r="17" spans="2:13" ht="15.75" thickBot="1" x14ac:dyDescent="0.3">
      <c r="B17" s="97" t="s">
        <v>67</v>
      </c>
      <c r="C17" s="89">
        <f>('Consumo MP'!C15/3)/4</f>
        <v>1125</v>
      </c>
      <c r="D17" s="98" t="s">
        <v>54</v>
      </c>
    </row>
    <row r="18" spans="2:13" x14ac:dyDescent="0.25">
      <c r="B18" s="82"/>
      <c r="C18" s="83"/>
      <c r="D18" s="84"/>
    </row>
    <row r="19" spans="2:13" x14ac:dyDescent="0.25">
      <c r="B19" s="85" t="s">
        <v>64</v>
      </c>
      <c r="C19" s="83"/>
      <c r="D19" s="84"/>
    </row>
    <row r="21" spans="2:13" ht="15.75" x14ac:dyDescent="0.25">
      <c r="B21" s="29" t="s">
        <v>6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2:13" ht="15.75" thickBot="1" x14ac:dyDescent="0.3"/>
    <row r="23" spans="2:13" x14ac:dyDescent="0.25">
      <c r="B23" s="86" t="s">
        <v>55</v>
      </c>
      <c r="C23" s="87">
        <f>('Consumo MP'!C42/12)/4</f>
        <v>312.5</v>
      </c>
      <c r="D23" s="35" t="s">
        <v>47</v>
      </c>
    </row>
    <row r="24" spans="2:13" x14ac:dyDescent="0.25">
      <c r="B24" s="60" t="s">
        <v>56</v>
      </c>
      <c r="C24" s="88">
        <f>('Consumo MP'!C43/12)/4</f>
        <v>41.666666666666664</v>
      </c>
      <c r="D24" s="11" t="s">
        <v>47</v>
      </c>
    </row>
    <row r="25" spans="2:13" x14ac:dyDescent="0.25">
      <c r="B25" s="60" t="s">
        <v>44</v>
      </c>
      <c r="C25" s="88">
        <f>('Consumo MP'!C44/12)/4</f>
        <v>10.7421875</v>
      </c>
      <c r="D25" s="11" t="s">
        <v>47</v>
      </c>
    </row>
    <row r="26" spans="2:13" x14ac:dyDescent="0.25">
      <c r="B26" s="60" t="s">
        <v>45</v>
      </c>
      <c r="C26" s="88">
        <f>('Consumo MP'!C45/12)/4</f>
        <v>156250</v>
      </c>
      <c r="D26" s="11" t="s">
        <v>48</v>
      </c>
    </row>
    <row r="27" spans="2:13" x14ac:dyDescent="0.25">
      <c r="B27" s="60" t="s">
        <v>49</v>
      </c>
      <c r="C27" s="88">
        <f>('Consumo MP'!C46/12)/4</f>
        <v>479.16666666666669</v>
      </c>
      <c r="D27" s="11" t="s">
        <v>47</v>
      </c>
    </row>
    <row r="28" spans="2:13" x14ac:dyDescent="0.25">
      <c r="B28" s="60" t="s">
        <v>50</v>
      </c>
      <c r="C28" s="88">
        <f>('Consumo MP'!C47/12)/4</f>
        <v>918.75000000000011</v>
      </c>
      <c r="D28" s="11" t="s">
        <v>48</v>
      </c>
    </row>
    <row r="29" spans="2:13" ht="16.5" customHeight="1" x14ac:dyDescent="0.25">
      <c r="B29" s="60" t="s">
        <v>46</v>
      </c>
      <c r="C29" s="88">
        <f>('Consumo MP'!C48/12)/4</f>
        <v>8333.3333333333339</v>
      </c>
      <c r="D29" s="11" t="s">
        <v>54</v>
      </c>
    </row>
    <row r="30" spans="2:13" ht="16.5" customHeight="1" thickBot="1" x14ac:dyDescent="0.3">
      <c r="B30" s="97" t="s">
        <v>67</v>
      </c>
      <c r="C30" s="89">
        <f>('Consumo MP'!C49/12)/4</f>
        <v>2083.3333333333335</v>
      </c>
      <c r="D30" s="15" t="s">
        <v>54</v>
      </c>
    </row>
    <row r="31" spans="2:13" ht="16.5" customHeight="1" x14ac:dyDescent="0.25">
      <c r="B31" s="82"/>
      <c r="C31" s="83"/>
      <c r="D31" s="84"/>
    </row>
    <row r="32" spans="2:13" ht="16.5" customHeight="1" x14ac:dyDescent="0.25">
      <c r="B32" s="85" t="s">
        <v>69</v>
      </c>
      <c r="C32" s="83"/>
      <c r="D32" s="84"/>
    </row>
    <row r="34" spans="2:13" ht="15.75" x14ac:dyDescent="0.25">
      <c r="B34" s="29" t="s">
        <v>60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</row>
    <row r="35" spans="2:13" ht="15.75" thickBot="1" x14ac:dyDescent="0.3"/>
    <row r="36" spans="2:13" x14ac:dyDescent="0.25">
      <c r="B36" s="86" t="s">
        <v>55</v>
      </c>
      <c r="C36" s="87">
        <f>('Consumo MP'!C42)/12/4</f>
        <v>312.5</v>
      </c>
      <c r="D36" s="35" t="s">
        <v>47</v>
      </c>
    </row>
    <row r="37" spans="2:13" x14ac:dyDescent="0.25">
      <c r="B37" s="60" t="s">
        <v>56</v>
      </c>
      <c r="C37" s="88">
        <f>('Consumo MP'!C43)/12/4</f>
        <v>41.666666666666664</v>
      </c>
      <c r="D37" s="11" t="s">
        <v>47</v>
      </c>
    </row>
    <row r="38" spans="2:13" x14ac:dyDescent="0.25">
      <c r="B38" s="60" t="s">
        <v>44</v>
      </c>
      <c r="C38" s="88">
        <f>('Consumo MP'!C44)/12/4</f>
        <v>10.7421875</v>
      </c>
      <c r="D38" s="11" t="s">
        <v>47</v>
      </c>
    </row>
    <row r="39" spans="2:13" x14ac:dyDescent="0.25">
      <c r="B39" s="60" t="s">
        <v>45</v>
      </c>
      <c r="C39" s="88">
        <f>('Consumo MP'!C45)/12/4</f>
        <v>156250</v>
      </c>
      <c r="D39" s="11" t="s">
        <v>48</v>
      </c>
    </row>
    <row r="40" spans="2:13" x14ac:dyDescent="0.25">
      <c r="B40" s="60" t="s">
        <v>49</v>
      </c>
      <c r="C40" s="88">
        <f>('Consumo MP'!C46)/12/4</f>
        <v>479.16666666666669</v>
      </c>
      <c r="D40" s="11" t="s">
        <v>47</v>
      </c>
    </row>
    <row r="41" spans="2:13" x14ac:dyDescent="0.25">
      <c r="B41" s="60" t="s">
        <v>50</v>
      </c>
      <c r="C41" s="88">
        <f>('Consumo MP'!C47)/12/4</f>
        <v>918.75000000000011</v>
      </c>
      <c r="D41" s="11" t="s">
        <v>48</v>
      </c>
    </row>
    <row r="42" spans="2:13" x14ac:dyDescent="0.25">
      <c r="B42" s="60" t="s">
        <v>46</v>
      </c>
      <c r="C42" s="88">
        <f>('Consumo MP'!C48)/12/4</f>
        <v>8333.3333333333339</v>
      </c>
      <c r="D42" s="11" t="s">
        <v>54</v>
      </c>
    </row>
    <row r="43" spans="2:13" ht="15.75" thickBot="1" x14ac:dyDescent="0.3">
      <c r="B43" s="97" t="s">
        <v>67</v>
      </c>
      <c r="C43" s="89">
        <f>('Consumo MP'!C49)/12/4</f>
        <v>2083.3333333333335</v>
      </c>
      <c r="D43" s="98" t="s">
        <v>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28" workbookViewId="0">
      <selection activeCell="J41" sqref="J41"/>
    </sheetView>
  </sheetViews>
  <sheetFormatPr baseColWidth="10" defaultRowHeight="15" x14ac:dyDescent="0.25"/>
  <cols>
    <col min="1" max="1" width="2.7109375" customWidth="1"/>
    <col min="2" max="2" width="20.7109375" customWidth="1"/>
    <col min="3" max="3" width="16.5703125" bestFit="1" customWidth="1"/>
    <col min="4" max="4" width="10.5703125" bestFit="1" customWidth="1"/>
    <col min="5" max="5" width="15.5703125" customWidth="1"/>
    <col min="6" max="6" width="13.85546875" customWidth="1"/>
    <col min="7" max="7" width="15.42578125" customWidth="1"/>
  </cols>
  <sheetData>
    <row r="1" spans="1:15" ht="11.25" customHeight="1" x14ac:dyDescent="0.25"/>
    <row r="2" spans="1:15" ht="18.75" x14ac:dyDescent="0.3">
      <c r="A2" s="27"/>
      <c r="B2" s="31" t="s">
        <v>20</v>
      </c>
      <c r="C2" s="31"/>
      <c r="D2" s="31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15.75" thickBot="1" x14ac:dyDescent="0.3"/>
    <row r="4" spans="1:15" ht="15.75" thickBot="1" x14ac:dyDescent="0.3">
      <c r="B4" s="150"/>
      <c r="C4" s="151"/>
      <c r="D4" s="152"/>
      <c r="E4" s="41" t="s">
        <v>28</v>
      </c>
      <c r="F4" s="47" t="s">
        <v>6</v>
      </c>
      <c r="G4" s="48" t="s">
        <v>29</v>
      </c>
    </row>
    <row r="5" spans="1:15" x14ac:dyDescent="0.25">
      <c r="B5" s="153" t="s">
        <v>21</v>
      </c>
      <c r="C5" s="154"/>
      <c r="D5" s="155"/>
      <c r="E5" s="53"/>
      <c r="F5" s="49">
        <f>F7-F6</f>
        <v>84600</v>
      </c>
      <c r="G5" s="50">
        <v>100000</v>
      </c>
    </row>
    <row r="6" spans="1:15" x14ac:dyDescent="0.25">
      <c r="B6" s="156" t="s">
        <v>19</v>
      </c>
      <c r="C6" s="157"/>
      <c r="D6" s="158"/>
      <c r="E6" s="54"/>
      <c r="F6" s="51">
        <f>G6</f>
        <v>900</v>
      </c>
      <c r="G6" s="52">
        <f>'∆ Stock Prom. PT'!C8</f>
        <v>900</v>
      </c>
    </row>
    <row r="7" spans="1:15" x14ac:dyDescent="0.25">
      <c r="B7" s="156" t="s">
        <v>22</v>
      </c>
      <c r="C7" s="157"/>
      <c r="D7" s="159"/>
      <c r="E7" s="54"/>
      <c r="F7" s="51">
        <f>'Evolución de la Producción'!J17</f>
        <v>85500</v>
      </c>
      <c r="G7" s="52">
        <f>G5+G6-F6</f>
        <v>100000</v>
      </c>
    </row>
    <row r="8" spans="1:15" x14ac:dyDescent="0.25">
      <c r="B8" s="145" t="s">
        <v>23</v>
      </c>
      <c r="C8" s="93" t="s">
        <v>42</v>
      </c>
      <c r="D8" s="11" t="s">
        <v>47</v>
      </c>
      <c r="E8" s="55"/>
      <c r="F8" s="56">
        <f t="shared" ref="F8:F15" si="0">G8</f>
        <v>0.73369565217391308</v>
      </c>
      <c r="G8" s="57">
        <f>'MC y SE'!D17</f>
        <v>0.73369565217391308</v>
      </c>
    </row>
    <row r="9" spans="1:15" x14ac:dyDescent="0.25">
      <c r="B9" s="146"/>
      <c r="C9" s="93" t="s">
        <v>43</v>
      </c>
      <c r="D9" s="11" t="s">
        <v>47</v>
      </c>
      <c r="E9" s="55"/>
      <c r="F9" s="56">
        <f t="shared" si="0"/>
        <v>9.7826086956521729E-2</v>
      </c>
      <c r="G9" s="57">
        <f>'MC y SE'!D18</f>
        <v>9.7826086956521729E-2</v>
      </c>
    </row>
    <row r="10" spans="1:15" x14ac:dyDescent="0.25">
      <c r="B10" s="146"/>
      <c r="C10" s="93" t="s">
        <v>44</v>
      </c>
      <c r="D10" s="11" t="s">
        <v>47</v>
      </c>
      <c r="E10" s="55"/>
      <c r="F10" s="56">
        <f t="shared" si="0"/>
        <v>2.0176630434782607E-2</v>
      </c>
      <c r="G10" s="57">
        <f>'MC y SE'!D19</f>
        <v>2.0176630434782607E-2</v>
      </c>
    </row>
    <row r="11" spans="1:15" x14ac:dyDescent="0.25">
      <c r="B11" s="146"/>
      <c r="C11" s="93" t="s">
        <v>45</v>
      </c>
      <c r="D11" s="11" t="s">
        <v>48</v>
      </c>
      <c r="E11" s="55"/>
      <c r="F11" s="56">
        <f t="shared" si="0"/>
        <v>366.8478260869565</v>
      </c>
      <c r="G11" s="57">
        <f>'MC y SE'!D20</f>
        <v>366.8478260869565</v>
      </c>
    </row>
    <row r="12" spans="1:15" x14ac:dyDescent="0.25">
      <c r="B12" s="146"/>
      <c r="C12" s="93" t="s">
        <v>49</v>
      </c>
      <c r="D12" s="11" t="s">
        <v>47</v>
      </c>
      <c r="E12" s="55"/>
      <c r="F12" s="56">
        <f t="shared" si="0"/>
        <v>1.125</v>
      </c>
      <c r="G12" s="57">
        <f>'MC y SE'!D21</f>
        <v>1.125</v>
      </c>
    </row>
    <row r="13" spans="1:15" x14ac:dyDescent="0.25">
      <c r="B13" s="146"/>
      <c r="C13" s="94" t="s">
        <v>50</v>
      </c>
      <c r="D13" s="11" t="s">
        <v>48</v>
      </c>
      <c r="E13" s="55"/>
      <c r="F13" s="56">
        <f t="shared" si="0"/>
        <v>2.0543478260869565</v>
      </c>
      <c r="G13" s="57">
        <f>'MC y SE'!D22</f>
        <v>2.0543478260869565</v>
      </c>
    </row>
    <row r="14" spans="1:15" x14ac:dyDescent="0.25">
      <c r="B14" s="146"/>
      <c r="C14" s="94" t="s">
        <v>46</v>
      </c>
      <c r="D14" s="11" t="s">
        <v>54</v>
      </c>
      <c r="E14" s="55"/>
      <c r="F14" s="56">
        <f t="shared" si="0"/>
        <v>19.565217391304348</v>
      </c>
      <c r="G14" s="57">
        <f>'MC y SE'!D23</f>
        <v>19.565217391304348</v>
      </c>
    </row>
    <row r="15" spans="1:15" x14ac:dyDescent="0.25">
      <c r="B15" s="147"/>
      <c r="C15" s="94" t="s">
        <v>67</v>
      </c>
      <c r="D15" s="70" t="s">
        <v>54</v>
      </c>
      <c r="E15" s="55"/>
      <c r="F15" s="56">
        <f t="shared" si="0"/>
        <v>4.8913043478260869</v>
      </c>
      <c r="G15" s="57">
        <f>'MC y SE'!D24</f>
        <v>4.8913043478260869</v>
      </c>
    </row>
    <row r="16" spans="1:15" x14ac:dyDescent="0.25">
      <c r="B16" s="145" t="s">
        <v>24</v>
      </c>
      <c r="C16" s="93" t="s">
        <v>42</v>
      </c>
      <c r="D16" s="11" t="s">
        <v>47</v>
      </c>
      <c r="E16" s="55"/>
      <c r="F16" s="56">
        <f>'% DNR'!F34</f>
        <v>0</v>
      </c>
      <c r="G16" s="57">
        <f>'% DNR'!F46</f>
        <v>0</v>
      </c>
    </row>
    <row r="17" spans="2:7" x14ac:dyDescent="0.25">
      <c r="B17" s="146"/>
      <c r="C17" s="93" t="s">
        <v>43</v>
      </c>
      <c r="D17" s="11" t="s">
        <v>47</v>
      </c>
      <c r="E17" s="55"/>
      <c r="F17" s="56">
        <f>'% DNR'!F35</f>
        <v>0</v>
      </c>
      <c r="G17" s="57">
        <f>'% DNR'!F47</f>
        <v>0</v>
      </c>
    </row>
    <row r="18" spans="2:7" x14ac:dyDescent="0.25">
      <c r="B18" s="146"/>
      <c r="C18" s="93" t="s">
        <v>44</v>
      </c>
      <c r="D18" s="11" t="s">
        <v>47</v>
      </c>
      <c r="E18" s="55"/>
      <c r="F18" s="56">
        <f>'% DNR'!F36</f>
        <v>88.171875</v>
      </c>
      <c r="G18" s="57">
        <f>'% DNR'!F48</f>
        <v>103.125</v>
      </c>
    </row>
    <row r="19" spans="2:7" x14ac:dyDescent="0.25">
      <c r="B19" s="146"/>
      <c r="C19" s="93" t="s">
        <v>45</v>
      </c>
      <c r="D19" s="11" t="s">
        <v>48</v>
      </c>
      <c r="E19" s="55"/>
      <c r="F19" s="56">
        <f>'% DNR'!F37</f>
        <v>0</v>
      </c>
      <c r="G19" s="57">
        <f>'% DNR'!F49</f>
        <v>0</v>
      </c>
    </row>
    <row r="20" spans="2:7" x14ac:dyDescent="0.25">
      <c r="B20" s="146"/>
      <c r="C20" s="93" t="s">
        <v>49</v>
      </c>
      <c r="D20" s="11" t="s">
        <v>47</v>
      </c>
      <c r="E20" s="55"/>
      <c r="F20" s="56">
        <f>'% DNR'!F38</f>
        <v>0</v>
      </c>
      <c r="G20" s="57">
        <f>'% DNR'!F50</f>
        <v>0</v>
      </c>
    </row>
    <row r="21" spans="2:7" x14ac:dyDescent="0.25">
      <c r="B21" s="146"/>
      <c r="C21" s="94" t="s">
        <v>50</v>
      </c>
      <c r="D21" s="11" t="s">
        <v>48</v>
      </c>
      <c r="E21" s="55"/>
      <c r="F21" s="56">
        <f>'% DNR'!F39</f>
        <v>1795.5</v>
      </c>
      <c r="G21" s="57">
        <f>'% DNR'!F51</f>
        <v>2100</v>
      </c>
    </row>
    <row r="22" spans="2:7" x14ac:dyDescent="0.25">
      <c r="B22" s="146"/>
      <c r="C22" s="94" t="s">
        <v>46</v>
      </c>
      <c r="D22" s="11" t="s">
        <v>54</v>
      </c>
      <c r="E22" s="55"/>
      <c r="F22" s="56">
        <f>'% DNR'!F40</f>
        <v>0</v>
      </c>
      <c r="G22" s="57">
        <f>'% DNR'!F52</f>
        <v>0</v>
      </c>
    </row>
    <row r="23" spans="2:7" x14ac:dyDescent="0.25">
      <c r="B23" s="147"/>
      <c r="C23" s="94" t="s">
        <v>67</v>
      </c>
      <c r="D23" s="70" t="s">
        <v>54</v>
      </c>
      <c r="E23" s="55"/>
      <c r="F23" s="56">
        <f>'% DNR'!F41</f>
        <v>0</v>
      </c>
      <c r="G23" s="57">
        <f>'% DNR'!F53</f>
        <v>0</v>
      </c>
    </row>
    <row r="24" spans="2:7" x14ac:dyDescent="0.25">
      <c r="B24" s="145" t="s">
        <v>25</v>
      </c>
      <c r="C24" s="93" t="s">
        <v>42</v>
      </c>
      <c r="D24" s="11" t="s">
        <v>47</v>
      </c>
      <c r="E24" s="55"/>
      <c r="F24" s="56">
        <f>'Consumo MP'!C30</f>
        <v>12867.043695652173</v>
      </c>
      <c r="G24" s="57">
        <f>'Consumo MP'!C42</f>
        <v>15000</v>
      </c>
    </row>
    <row r="25" spans="2:7" x14ac:dyDescent="0.25">
      <c r="B25" s="146"/>
      <c r="C25" s="93" t="s">
        <v>43</v>
      </c>
      <c r="D25" s="11" t="s">
        <v>47</v>
      </c>
      <c r="E25" s="55"/>
      <c r="F25" s="56">
        <f>'Consumo MP'!C31</f>
        <v>1715.6058260869565</v>
      </c>
      <c r="G25" s="57">
        <f>'Consumo MP'!C43</f>
        <v>2000</v>
      </c>
    </row>
    <row r="26" spans="2:7" x14ac:dyDescent="0.25">
      <c r="B26" s="146"/>
      <c r="C26" s="93" t="s">
        <v>44</v>
      </c>
      <c r="D26" s="11" t="s">
        <v>47</v>
      </c>
      <c r="E26" s="55"/>
      <c r="F26" s="56">
        <f>'Consumo MP'!C32</f>
        <v>370.34205163043481</v>
      </c>
      <c r="G26" s="57">
        <f>'Consumo MP'!C44</f>
        <v>515.625</v>
      </c>
    </row>
    <row r="27" spans="2:7" x14ac:dyDescent="0.25">
      <c r="B27" s="146"/>
      <c r="C27" s="93" t="s">
        <v>45</v>
      </c>
      <c r="D27" s="11" t="s">
        <v>48</v>
      </c>
      <c r="E27" s="55"/>
      <c r="F27" s="56">
        <f>'Consumo MP'!C33</f>
        <v>6412866.8478260869</v>
      </c>
      <c r="G27" s="57">
        <f>'Consumo MP'!C45</f>
        <v>7500000</v>
      </c>
    </row>
    <row r="28" spans="2:7" x14ac:dyDescent="0.25">
      <c r="B28" s="146"/>
      <c r="C28" s="93" t="s">
        <v>49</v>
      </c>
      <c r="D28" s="11" t="s">
        <v>47</v>
      </c>
      <c r="E28" s="55"/>
      <c r="F28" s="56">
        <f>'Consumo MP'!C34</f>
        <v>19666.125</v>
      </c>
      <c r="G28" s="57">
        <f>'Consumo MP'!C46</f>
        <v>23000</v>
      </c>
    </row>
    <row r="29" spans="2:7" x14ac:dyDescent="0.25">
      <c r="B29" s="146"/>
      <c r="C29" s="94" t="s">
        <v>50</v>
      </c>
      <c r="D29" s="11" t="s">
        <v>48</v>
      </c>
      <c r="E29" s="55"/>
      <c r="F29" s="56">
        <f>'Consumo MP'!C35</f>
        <v>35997.554347826088</v>
      </c>
      <c r="G29" s="57">
        <f>'Consumo MP'!C47</f>
        <v>44100.000000000007</v>
      </c>
    </row>
    <row r="30" spans="2:7" x14ac:dyDescent="0.25">
      <c r="B30" s="146"/>
      <c r="C30" s="94" t="s">
        <v>46</v>
      </c>
      <c r="D30" s="11" t="s">
        <v>54</v>
      </c>
      <c r="E30" s="55"/>
      <c r="F30" s="56">
        <f>'Consumo MP'!C36</f>
        <v>342019.5652173913</v>
      </c>
      <c r="G30" s="57">
        <f>'Consumo MP'!C48</f>
        <v>400000</v>
      </c>
    </row>
    <row r="31" spans="2:7" x14ac:dyDescent="0.25">
      <c r="B31" s="147"/>
      <c r="C31" s="94" t="s">
        <v>68</v>
      </c>
      <c r="D31" s="70" t="s">
        <v>54</v>
      </c>
      <c r="E31" s="55"/>
      <c r="F31" s="56">
        <f>'Consumo MP'!C37</f>
        <v>85504.891304347824</v>
      </c>
      <c r="G31" s="57">
        <f>'Consumo MP'!C49</f>
        <v>100000</v>
      </c>
    </row>
    <row r="32" spans="2:7" x14ac:dyDescent="0.25">
      <c r="B32" s="145" t="s">
        <v>26</v>
      </c>
      <c r="C32" s="93" t="s">
        <v>42</v>
      </c>
      <c r="D32" s="11" t="s">
        <v>47</v>
      </c>
      <c r="E32" s="54">
        <f>'∆ Stock Prom. MP'!C10</f>
        <v>172.1925</v>
      </c>
      <c r="F32" s="51">
        <f>'∆ Stock Prom. MP'!C23-'∆ Stock Prom. MP'!C10</f>
        <v>140.3075</v>
      </c>
      <c r="G32" s="52">
        <f>'∆ Stock Prom. MP'!C36-'∆ Stock Prom. MP'!C23</f>
        <v>0</v>
      </c>
    </row>
    <row r="33" spans="2:7" x14ac:dyDescent="0.25">
      <c r="B33" s="146"/>
      <c r="C33" s="93" t="s">
        <v>43</v>
      </c>
      <c r="D33" s="11" t="s">
        <v>47</v>
      </c>
      <c r="E33" s="54">
        <f>'∆ Stock Prom. MP'!C11</f>
        <v>22.959</v>
      </c>
      <c r="F33" s="51">
        <f>'∆ Stock Prom. MP'!C24-'∆ Stock Prom. MP'!C11</f>
        <v>18.707666666666665</v>
      </c>
      <c r="G33" s="52">
        <f>'∆ Stock Prom. MP'!C37-'∆ Stock Prom. MP'!C24</f>
        <v>0</v>
      </c>
    </row>
    <row r="34" spans="2:7" x14ac:dyDescent="0.25">
      <c r="B34" s="146"/>
      <c r="C34" s="93" t="s">
        <v>44</v>
      </c>
      <c r="D34" s="11" t="s">
        <v>47</v>
      </c>
      <c r="E34" s="54">
        <f>'∆ Stock Prom. MP'!C12</f>
        <v>4.8726562499999995</v>
      </c>
      <c r="F34" s="51">
        <f>'∆ Stock Prom. MP'!C25-'∆ Stock Prom. MP'!C12</f>
        <v>5.8695312500000005</v>
      </c>
      <c r="G34" s="52">
        <f>'∆ Stock Prom. MP'!C38-'∆ Stock Prom. MP'!C25</f>
        <v>0</v>
      </c>
    </row>
    <row r="35" spans="2:7" x14ac:dyDescent="0.25">
      <c r="B35" s="146"/>
      <c r="C35" s="93" t="s">
        <v>45</v>
      </c>
      <c r="D35" s="11" t="s">
        <v>48</v>
      </c>
      <c r="E35" s="54">
        <f>'∆ Stock Prom. MP'!C13</f>
        <v>84375</v>
      </c>
      <c r="F35" s="51">
        <f>'∆ Stock Prom. MP'!C26-'∆ Stock Prom. MP'!C13</f>
        <v>71875</v>
      </c>
      <c r="G35" s="52">
        <f>'∆ Stock Prom. MP'!C39-'∆ Stock Prom. MP'!C26</f>
        <v>0</v>
      </c>
    </row>
    <row r="36" spans="2:7" x14ac:dyDescent="0.25">
      <c r="B36" s="146"/>
      <c r="C36" s="93" t="s">
        <v>49</v>
      </c>
      <c r="D36" s="11" t="s">
        <v>47</v>
      </c>
      <c r="E36" s="54">
        <f>'∆ Stock Prom. MP'!C14</f>
        <v>258.75</v>
      </c>
      <c r="F36" s="51">
        <f>'∆ Stock Prom. MP'!C27-'∆ Stock Prom. MP'!C14</f>
        <v>220.41666666666669</v>
      </c>
      <c r="G36" s="52">
        <f>'∆ Stock Prom. MP'!C40-'∆ Stock Prom. MP'!C27</f>
        <v>0</v>
      </c>
    </row>
    <row r="37" spans="2:7" x14ac:dyDescent="0.25">
      <c r="B37" s="146"/>
      <c r="C37" s="94" t="s">
        <v>50</v>
      </c>
      <c r="D37" s="11" t="s">
        <v>48</v>
      </c>
      <c r="E37" s="54">
        <f>'∆ Stock Prom. MP'!C15</f>
        <v>473.625</v>
      </c>
      <c r="F37" s="51">
        <f>'∆ Stock Prom. MP'!C28-'∆ Stock Prom. MP'!C15</f>
        <v>445.12500000000011</v>
      </c>
      <c r="G37" s="52">
        <f>'∆ Stock Prom. MP'!C41-'∆ Stock Prom. MP'!C28</f>
        <v>0</v>
      </c>
    </row>
    <row r="38" spans="2:7" x14ac:dyDescent="0.25">
      <c r="B38" s="146"/>
      <c r="C38" s="94" t="s">
        <v>46</v>
      </c>
      <c r="D38" s="11" t="s">
        <v>54</v>
      </c>
      <c r="E38" s="54">
        <f>'∆ Stock Prom. MP'!C16</f>
        <v>4500</v>
      </c>
      <c r="F38" s="51">
        <f>'∆ Stock Prom. MP'!C29-'∆ Stock Prom. MP'!C16</f>
        <v>3833.3333333333339</v>
      </c>
      <c r="G38" s="52">
        <f>'∆ Stock Prom. MP'!C42-'∆ Stock Prom. MP'!C29</f>
        <v>0</v>
      </c>
    </row>
    <row r="39" spans="2:7" x14ac:dyDescent="0.25">
      <c r="B39" s="147"/>
      <c r="C39" s="94" t="s">
        <v>67</v>
      </c>
      <c r="D39" s="70" t="s">
        <v>54</v>
      </c>
      <c r="E39" s="54">
        <f>'∆ Stock Prom. MP'!C17</f>
        <v>1125</v>
      </c>
      <c r="F39" s="51">
        <f>'∆ Stock Prom. MP'!C30-'∆ Stock Prom. MP'!C17</f>
        <v>958.33333333333348</v>
      </c>
      <c r="G39" s="52">
        <f>'∆ Stock Prom. MP'!C43-'∆ Stock Prom. MP'!C30</f>
        <v>0</v>
      </c>
    </row>
    <row r="40" spans="2:7" x14ac:dyDescent="0.25">
      <c r="B40" s="145" t="s">
        <v>27</v>
      </c>
      <c r="C40" s="93" t="s">
        <v>42</v>
      </c>
      <c r="D40" s="11" t="s">
        <v>47</v>
      </c>
      <c r="E40" s="54">
        <f t="shared" ref="E40:E47" si="1">E32</f>
        <v>172.1925</v>
      </c>
      <c r="F40" s="51">
        <f t="shared" ref="F40:G47" si="2">F24+F32-E32</f>
        <v>12835.158695652175</v>
      </c>
      <c r="G40" s="52">
        <f t="shared" si="2"/>
        <v>14859.692499999999</v>
      </c>
    </row>
    <row r="41" spans="2:7" x14ac:dyDescent="0.25">
      <c r="B41" s="148"/>
      <c r="C41" s="93" t="s">
        <v>43</v>
      </c>
      <c r="D41" s="11" t="s">
        <v>47</v>
      </c>
      <c r="E41" s="54">
        <f t="shared" si="1"/>
        <v>22.959</v>
      </c>
      <c r="F41" s="51">
        <f t="shared" si="2"/>
        <v>1711.3544927536232</v>
      </c>
      <c r="G41" s="52">
        <f t="shared" si="2"/>
        <v>1981.2923333333333</v>
      </c>
    </row>
    <row r="42" spans="2:7" x14ac:dyDescent="0.25">
      <c r="B42" s="148"/>
      <c r="C42" s="93" t="s">
        <v>44</v>
      </c>
      <c r="D42" s="11" t="s">
        <v>47</v>
      </c>
      <c r="E42" s="54">
        <f t="shared" si="1"/>
        <v>4.8726562499999995</v>
      </c>
      <c r="F42" s="51">
        <f t="shared" si="2"/>
        <v>371.33892663043486</v>
      </c>
      <c r="G42" s="52">
        <f t="shared" si="2"/>
        <v>509.75546874999998</v>
      </c>
    </row>
    <row r="43" spans="2:7" x14ac:dyDescent="0.25">
      <c r="B43" s="148"/>
      <c r="C43" s="93" t="s">
        <v>45</v>
      </c>
      <c r="D43" s="11" t="s">
        <v>48</v>
      </c>
      <c r="E43" s="54">
        <f t="shared" si="1"/>
        <v>84375</v>
      </c>
      <c r="F43" s="51">
        <f t="shared" si="2"/>
        <v>6400366.8478260869</v>
      </c>
      <c r="G43" s="52">
        <f t="shared" si="2"/>
        <v>7428125</v>
      </c>
    </row>
    <row r="44" spans="2:7" x14ac:dyDescent="0.25">
      <c r="B44" s="148"/>
      <c r="C44" s="93" t="s">
        <v>49</v>
      </c>
      <c r="D44" s="11" t="s">
        <v>47</v>
      </c>
      <c r="E44" s="54">
        <f t="shared" si="1"/>
        <v>258.75</v>
      </c>
      <c r="F44" s="51">
        <f t="shared" si="2"/>
        <v>19627.791666666668</v>
      </c>
      <c r="G44" s="52">
        <f t="shared" si="2"/>
        <v>22779.583333333332</v>
      </c>
    </row>
    <row r="45" spans="2:7" x14ac:dyDescent="0.25">
      <c r="B45" s="148"/>
      <c r="C45" s="94" t="s">
        <v>50</v>
      </c>
      <c r="D45" s="11" t="s">
        <v>48</v>
      </c>
      <c r="E45" s="54">
        <f t="shared" si="1"/>
        <v>473.625</v>
      </c>
      <c r="F45" s="51">
        <f t="shared" si="2"/>
        <v>35969.054347826088</v>
      </c>
      <c r="G45" s="52">
        <f t="shared" si="2"/>
        <v>43654.875000000007</v>
      </c>
    </row>
    <row r="46" spans="2:7" x14ac:dyDescent="0.25">
      <c r="B46" s="148"/>
      <c r="C46" s="94" t="s">
        <v>46</v>
      </c>
      <c r="D46" s="11" t="s">
        <v>54</v>
      </c>
      <c r="E46" s="54">
        <f t="shared" si="1"/>
        <v>4500</v>
      </c>
      <c r="F46" s="51">
        <f t="shared" si="2"/>
        <v>341352.89855072461</v>
      </c>
      <c r="G46" s="52">
        <f t="shared" si="2"/>
        <v>396166.66666666669</v>
      </c>
    </row>
    <row r="47" spans="2:7" ht="15.75" thickBot="1" x14ac:dyDescent="0.3">
      <c r="B47" s="149"/>
      <c r="C47" s="102" t="s">
        <v>67</v>
      </c>
      <c r="D47" s="98" t="s">
        <v>54</v>
      </c>
      <c r="E47" s="90">
        <f t="shared" si="1"/>
        <v>1125</v>
      </c>
      <c r="F47" s="91">
        <f t="shared" si="2"/>
        <v>85338.224637681153</v>
      </c>
      <c r="G47" s="92">
        <f t="shared" si="2"/>
        <v>99041.666666666672</v>
      </c>
    </row>
  </sheetData>
  <mergeCells count="9">
    <mergeCell ref="B16:B23"/>
    <mergeCell ref="B24:B31"/>
    <mergeCell ref="B32:B39"/>
    <mergeCell ref="B40:B47"/>
    <mergeCell ref="B4:D4"/>
    <mergeCell ref="B5:D5"/>
    <mergeCell ref="B6:D6"/>
    <mergeCell ref="B7:D7"/>
    <mergeCell ref="B8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∆ Stock Prom. PT</vt:lpstr>
      <vt:lpstr>Evolución de la Producción</vt:lpstr>
      <vt:lpstr>MC y SE</vt:lpstr>
      <vt:lpstr>% DNR</vt:lpstr>
      <vt:lpstr>Consumo MP</vt:lpstr>
      <vt:lpstr>∆ Stock Prom. MP</vt:lpstr>
      <vt:lpstr>Cuadro de Ev. de la Merc.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Julián Agustín</dc:creator>
  <cp:lastModifiedBy>Julián Agustín</cp:lastModifiedBy>
  <dcterms:created xsi:type="dcterms:W3CDTF">2016-09-07T15:32:05Z</dcterms:created>
  <dcterms:modified xsi:type="dcterms:W3CDTF">2016-09-16T23:28:49Z</dcterms:modified>
</cp:coreProperties>
</file>