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anuel Contreras\Desktop\Cursada 2022\EDP\2do cuatri\Variacion de costos\"/>
    </mc:Choice>
  </mc:AlternateContent>
  <xr:revisionPtr revIDLastSave="0" documentId="13_ncr:1_{65D74661-325C-41A6-9AF6-482E66BC11F8}" xr6:coauthVersionLast="47" xr6:coauthVersionMax="47" xr10:uidLastSave="{00000000-0000-0000-0000-000000000000}"/>
  <bookViews>
    <workbookView xWindow="-120" yWindow="-120" windowWidth="20730" windowHeight="11160" tabRatio="908" firstSheet="7" activeTab="20" xr2:uid="{00000000-000D-0000-FFFF-FFFF00000000}"/>
  </bookViews>
  <sheets>
    <sheet name="InfoInicial-CálcAux" sheetId="1" r:id="rId1"/>
    <sheet name="InfoInicial" sheetId="2" r:id="rId2"/>
    <sheet name="CA Inv AF y Am" sheetId="3" r:id="rId3"/>
    <sheet name="CA Inv AT" sheetId="4" r:id="rId4"/>
    <sheet name="Hoja1" sheetId="6" state="hidden" r:id="rId5"/>
    <sheet name="CA COSTOS" sheetId="7" r:id="rId6"/>
    <sheet name="E-Inv AF y Am" sheetId="5" r:id="rId7"/>
    <sheet name="E-Costos" sheetId="8" r:id="rId8"/>
    <sheet name="E-InvAT" sheetId="9" r:id="rId9"/>
    <sheet name="E-IVA " sheetId="10" r:id="rId10"/>
    <sheet name="E-Cal Inv." sheetId="11" r:id="rId11"/>
    <sheet name="E-Form" sheetId="12" r:id="rId12"/>
    <sheet name="Ej 50-66" sheetId="22" r:id="rId13"/>
    <sheet name="tecnico" sheetId="31" r:id="rId14"/>
    <sheet name="F-Cred" sheetId="21" r:id="rId15"/>
    <sheet name="F-CRes" sheetId="23" r:id="rId16"/>
    <sheet name="F-2 Estructura" sheetId="25" r:id="rId17"/>
    <sheet name="F-IVA" sheetId="26" r:id="rId18"/>
    <sheet name="F- CFyU" sheetId="27" r:id="rId19"/>
    <sheet name="F-Balance" sheetId="29" r:id="rId20"/>
    <sheet name="F- Form" sheetId="30" r:id="rId21"/>
    <sheet name="Análisis de riesgo" sheetId="20" state="hidden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24" roundtripDataSignature="AMtx7mhQNH7SE80Mu/9EI3UKcXC6kakpXw=="/>
    </ext>
  </extLst>
</workbook>
</file>

<file path=xl/calcChain.xml><?xml version="1.0" encoding="utf-8"?>
<calcChain xmlns="http://schemas.openxmlformats.org/spreadsheetml/2006/main">
  <c r="B2" i="4" l="1"/>
  <c r="E12" i="11"/>
  <c r="F12" i="11"/>
  <c r="G12" i="11"/>
  <c r="H12" i="11"/>
  <c r="D12" i="11"/>
  <c r="D5" i="21"/>
  <c r="A78" i="25"/>
  <c r="C98" i="25"/>
  <c r="C97" i="25"/>
  <c r="C96" i="25"/>
  <c r="C95" i="25"/>
  <c r="C94" i="25"/>
  <c r="C93" i="25"/>
  <c r="C92" i="25"/>
  <c r="C91" i="25"/>
  <c r="C90" i="25"/>
  <c r="C89" i="25"/>
  <c r="C88" i="25"/>
  <c r="C87" i="25"/>
  <c r="C86" i="25"/>
  <c r="C85" i="25"/>
  <c r="C84" i="25"/>
  <c r="C83" i="25"/>
  <c r="C82" i="25"/>
  <c r="C81" i="25"/>
  <c r="C80" i="25"/>
  <c r="C79" i="25"/>
  <c r="C78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52" i="25"/>
  <c r="A52" i="25"/>
  <c r="D9" i="1"/>
  <c r="B8" i="5"/>
  <c r="C8" i="5"/>
  <c r="B33" i="5"/>
  <c r="G10" i="27"/>
  <c r="G62" i="22"/>
  <c r="C26" i="30"/>
  <c r="D24" i="30"/>
  <c r="G4" i="23"/>
  <c r="G7" i="23"/>
  <c r="F10" i="23"/>
  <c r="D29" i="30"/>
  <c r="D28" i="30"/>
  <c r="D27" i="30"/>
  <c r="D26" i="30"/>
  <c r="D25" i="30"/>
  <c r="C12" i="25"/>
  <c r="B8" i="29"/>
  <c r="G11" i="29"/>
  <c r="C34" i="29"/>
  <c r="C28" i="23"/>
  <c r="B16" i="26"/>
  <c r="E24" i="23"/>
  <c r="C20" i="21"/>
  <c r="C19" i="21"/>
  <c r="C5" i="22"/>
  <c r="G4" i="22"/>
  <c r="E4" i="22"/>
  <c r="E15" i="29"/>
  <c r="O18" i="21"/>
  <c r="P18" i="21"/>
  <c r="Q18" i="21"/>
  <c r="N18" i="21"/>
  <c r="H21" i="27"/>
  <c r="H23" i="27"/>
  <c r="F24" i="30"/>
  <c r="C27" i="30"/>
  <c r="C28" i="30"/>
  <c r="B16" i="5"/>
  <c r="C78" i="22"/>
  <c r="F78" i="22"/>
  <c r="L86" i="22" s="1"/>
  <c r="E90" i="22" s="1"/>
  <c r="C47" i="22"/>
  <c r="F47" i="22" s="1"/>
  <c r="J31" i="31"/>
  <c r="C21" i="31"/>
  <c r="J22" i="31" s="1"/>
  <c r="I17" i="31"/>
  <c r="I16" i="31"/>
  <c r="F29" i="31" s="1"/>
  <c r="F31" i="31" s="1"/>
  <c r="F34" i="31" s="1"/>
  <c r="I13" i="31"/>
  <c r="J10" i="31"/>
  <c r="E7" i="31"/>
  <c r="K6" i="31"/>
  <c r="J6" i="31"/>
  <c r="L6" i="31" s="1"/>
  <c r="K5" i="31"/>
  <c r="J5" i="31"/>
  <c r="L5" i="31" s="1"/>
  <c r="K4" i="31"/>
  <c r="L8" i="31" s="1"/>
  <c r="J4" i="31"/>
  <c r="L4" i="31" s="1"/>
  <c r="L7" i="31" s="1"/>
  <c r="N3" i="31"/>
  <c r="F15" i="29"/>
  <c r="G15" i="29"/>
  <c r="B9" i="29"/>
  <c r="B19" i="25"/>
  <c r="B18" i="25"/>
  <c r="B17" i="25"/>
  <c r="B13" i="25"/>
  <c r="D28" i="25"/>
  <c r="C6" i="25"/>
  <c r="I8" i="7"/>
  <c r="I5" i="7"/>
  <c r="I4" i="7"/>
  <c r="I6" i="7"/>
  <c r="B8" i="27"/>
  <c r="C6" i="27"/>
  <c r="J4" i="7"/>
  <c r="E38" i="7"/>
  <c r="H4" i="7"/>
  <c r="D6" i="3"/>
  <c r="D125" i="7"/>
  <c r="E5" i="1"/>
  <c r="F5" i="1"/>
  <c r="G5" i="1"/>
  <c r="D5" i="1"/>
  <c r="M3" i="1"/>
  <c r="N3" i="1"/>
  <c r="O3" i="1"/>
  <c r="L3" i="1"/>
  <c r="M12" i="1"/>
  <c r="C64" i="8"/>
  <c r="E64" i="8"/>
  <c r="J29" i="8"/>
  <c r="K20" i="1"/>
  <c r="C7" i="1"/>
  <c r="G22" i="1"/>
  <c r="H34" i="8"/>
  <c r="D126" i="7"/>
  <c r="L17" i="1"/>
  <c r="C10" i="1"/>
  <c r="E37" i="3"/>
  <c r="D85" i="3"/>
  <c r="D68" i="7"/>
  <c r="D61" i="7"/>
  <c r="E61" i="7"/>
  <c r="C62" i="7"/>
  <c r="E36" i="3"/>
  <c r="E35" i="3"/>
  <c r="E34" i="3"/>
  <c r="D28" i="3"/>
  <c r="D15" i="3"/>
  <c r="D13" i="3"/>
  <c r="D12" i="3"/>
  <c r="D11" i="3"/>
  <c r="H7" i="7"/>
  <c r="H5" i="7"/>
  <c r="B11" i="7"/>
  <c r="C10" i="4"/>
  <c r="B10" i="9" s="1"/>
  <c r="D129" i="7"/>
  <c r="E11" i="3"/>
  <c r="F4" i="4"/>
  <c r="D4" i="4"/>
  <c r="D49" i="3"/>
  <c r="D41" i="3"/>
  <c r="D42" i="3"/>
  <c r="D43" i="3"/>
  <c r="D44" i="3"/>
  <c r="E6" i="3"/>
  <c r="D86" i="3"/>
  <c r="C86" i="3"/>
  <c r="C85" i="3"/>
  <c r="D84" i="3"/>
  <c r="C84" i="3"/>
  <c r="E84" i="3" s="1"/>
  <c r="E85" i="3"/>
  <c r="E86" i="3"/>
  <c r="L14" i="1"/>
  <c r="O12" i="1"/>
  <c r="F21" i="11"/>
  <c r="E21" i="11"/>
  <c r="E75" i="3"/>
  <c r="G31" i="1"/>
  <c r="C27" i="1"/>
  <c r="E73" i="3" s="1"/>
  <c r="C180" i="7"/>
  <c r="D180" i="7" s="1"/>
  <c r="E180" i="7" s="1"/>
  <c r="D5" i="4"/>
  <c r="N72" i="7"/>
  <c r="O72" i="7" s="1"/>
  <c r="N71" i="7"/>
  <c r="O71" i="7" s="1"/>
  <c r="N69" i="7"/>
  <c r="O69" i="7" s="1"/>
  <c r="N67" i="7"/>
  <c r="O67" i="7" s="1"/>
  <c r="N68" i="7"/>
  <c r="O68" i="7" s="1"/>
  <c r="S71" i="7"/>
  <c r="O78" i="7"/>
  <c r="M54" i="7"/>
  <c r="N54" i="7" s="1"/>
  <c r="M56" i="7"/>
  <c r="M58" i="7"/>
  <c r="M57" i="7"/>
  <c r="D64" i="3"/>
  <c r="C109" i="7" s="1"/>
  <c r="D109" i="7" s="1"/>
  <c r="C90" i="8" s="1"/>
  <c r="C89" i="8"/>
  <c r="C69" i="8"/>
  <c r="E39" i="7"/>
  <c r="E40" i="7"/>
  <c r="L28" i="1"/>
  <c r="H103" i="7"/>
  <c r="H104" i="7"/>
  <c r="J104" i="7"/>
  <c r="G6" i="1"/>
  <c r="G7" i="1" s="1"/>
  <c r="F6" i="1"/>
  <c r="F7" i="1" s="1"/>
  <c r="E6" i="1"/>
  <c r="E7" i="1" s="1"/>
  <c r="D6" i="1"/>
  <c r="D7" i="1" s="1"/>
  <c r="C6" i="1"/>
  <c r="D7" i="4"/>
  <c r="M7" i="1"/>
  <c r="N7" i="1"/>
  <c r="O7" i="1"/>
  <c r="L4" i="1"/>
  <c r="M4" i="1"/>
  <c r="M5" i="1" s="1"/>
  <c r="E106" i="8" s="1"/>
  <c r="N4" i="1"/>
  <c r="N5" i="1" s="1"/>
  <c r="F106" i="8" s="1"/>
  <c r="O4" i="1"/>
  <c r="O5" i="1" s="1"/>
  <c r="G106" i="8" s="1"/>
  <c r="K4" i="1"/>
  <c r="K3" i="1"/>
  <c r="C1" i="1"/>
  <c r="E9" i="1"/>
  <c r="F9" i="1"/>
  <c r="G9" i="1"/>
  <c r="C9" i="1"/>
  <c r="C107" i="8"/>
  <c r="B7" i="11"/>
  <c r="M20" i="12"/>
  <c r="M70" i="7"/>
  <c r="N70" i="7" s="1"/>
  <c r="O70" i="7" s="1"/>
  <c r="K76" i="7"/>
  <c r="N64" i="7"/>
  <c r="N62" i="7"/>
  <c r="O54" i="7"/>
  <c r="M92" i="7"/>
  <c r="M60" i="7"/>
  <c r="M59" i="7"/>
  <c r="D66" i="3"/>
  <c r="D68" i="3"/>
  <c r="B28" i="5" s="1"/>
  <c r="C45" i="5"/>
  <c r="C54" i="5"/>
  <c r="C47" i="5"/>
  <c r="C48" i="5"/>
  <c r="C49" i="5"/>
  <c r="C50" i="5"/>
  <c r="C51" i="5"/>
  <c r="C46" i="5"/>
  <c r="C29" i="5"/>
  <c r="E49" i="3"/>
  <c r="B12" i="5" s="1"/>
  <c r="C37" i="3"/>
  <c r="E15" i="7"/>
  <c r="G15" i="7" s="1"/>
  <c r="E18" i="7"/>
  <c r="G18" i="7" s="1"/>
  <c r="B25" i="5"/>
  <c r="D45" i="3"/>
  <c r="M26" i="1"/>
  <c r="L26" i="1"/>
  <c r="M19" i="1"/>
  <c r="M30" i="1" s="1"/>
  <c r="M18" i="1"/>
  <c r="M17" i="1"/>
  <c r="M16" i="1"/>
  <c r="G23" i="1" s="1"/>
  <c r="M14" i="1"/>
  <c r="M25" i="1" s="1"/>
  <c r="M13" i="1"/>
  <c r="M24" i="1" s="1"/>
  <c r="M23" i="1"/>
  <c r="L19" i="1"/>
  <c r="L30" i="1" s="1"/>
  <c r="L18" i="1"/>
  <c r="L16" i="1"/>
  <c r="L13" i="1"/>
  <c r="L24" i="1" s="1"/>
  <c r="L12" i="1"/>
  <c r="L23" i="1" s="1"/>
  <c r="D46" i="3"/>
  <c r="B14" i="2"/>
  <c r="C45" i="3"/>
  <c r="E45" i="3" s="1"/>
  <c r="C44" i="3"/>
  <c r="E44" i="3" s="1"/>
  <c r="C43" i="3"/>
  <c r="E43" i="3" s="1"/>
  <c r="C42" i="3"/>
  <c r="E42" i="3" s="1"/>
  <c r="C41" i="3"/>
  <c r="C17" i="1"/>
  <c r="N55" i="7"/>
  <c r="O55" i="7" s="1"/>
  <c r="N56" i="7"/>
  <c r="N57" i="7"/>
  <c r="N58" i="7"/>
  <c r="N59" i="7"/>
  <c r="N60" i="7"/>
  <c r="N61" i="7"/>
  <c r="N63" i="7"/>
  <c r="N65" i="7"/>
  <c r="N66" i="7"/>
  <c r="E37" i="7"/>
  <c r="J15" i="7"/>
  <c r="E27" i="7"/>
  <c r="G27" i="7" s="1"/>
  <c r="E20" i="7"/>
  <c r="G20" i="7" s="1"/>
  <c r="E16" i="7"/>
  <c r="G16" i="7" s="1"/>
  <c r="J5" i="7"/>
  <c r="B34" i="2"/>
  <c r="E33" i="3"/>
  <c r="D24" i="3"/>
  <c r="D29" i="3"/>
  <c r="D30" i="3"/>
  <c r="D31" i="3"/>
  <c r="D32" i="3"/>
  <c r="H33" i="8" l="1"/>
  <c r="D133" i="7"/>
  <c r="D132" i="7"/>
  <c r="D131" i="7"/>
  <c r="B13" i="22"/>
  <c r="I7" i="7"/>
  <c r="I9" i="7" s="1"/>
  <c r="J7" i="7"/>
  <c r="H9" i="7"/>
  <c r="C33" i="8"/>
  <c r="B13" i="21"/>
  <c r="B14" i="21"/>
  <c r="M59" i="22"/>
  <c r="D58" i="22"/>
  <c r="I88" i="22"/>
  <c r="D86" i="22"/>
  <c r="D57" i="22"/>
  <c r="D55" i="22"/>
  <c r="M11" i="31"/>
  <c r="J9" i="31"/>
  <c r="K27" i="31"/>
  <c r="I31" i="31" s="1"/>
  <c r="J25" i="31"/>
  <c r="E30" i="31"/>
  <c r="F30" i="31" s="1"/>
  <c r="I14" i="31"/>
  <c r="F33" i="31"/>
  <c r="E33" i="31"/>
  <c r="B17" i="5"/>
  <c r="G91" i="8"/>
  <c r="D91" i="8"/>
  <c r="E91" i="8"/>
  <c r="F91" i="8"/>
  <c r="C91" i="8"/>
  <c r="E87" i="3"/>
  <c r="E78" i="3"/>
  <c r="E79" i="3" s="1"/>
  <c r="L29" i="1"/>
  <c r="C10" i="9"/>
  <c r="M29" i="1"/>
  <c r="D10" i="9"/>
  <c r="B46" i="5"/>
  <c r="F5" i="4"/>
  <c r="G64" i="8"/>
  <c r="F64" i="8"/>
  <c r="D64" i="8"/>
  <c r="H105" i="7"/>
  <c r="C100" i="7" s="1"/>
  <c r="D100" i="7" s="1"/>
  <c r="C70" i="8" s="1"/>
  <c r="O8" i="1"/>
  <c r="N8" i="1"/>
  <c r="M8" i="1"/>
  <c r="K7" i="1"/>
  <c r="K5" i="1"/>
  <c r="C106" i="8" s="1"/>
  <c r="L7" i="1"/>
  <c r="L5" i="1"/>
  <c r="D106" i="8" s="1"/>
  <c r="D154" i="7"/>
  <c r="L25" i="1"/>
  <c r="L27" i="1"/>
  <c r="D155" i="7"/>
  <c r="M27" i="1"/>
  <c r="D128" i="7"/>
  <c r="M28" i="1"/>
  <c r="E41" i="3"/>
  <c r="C46" i="3"/>
  <c r="E46" i="3"/>
  <c r="B11" i="5" s="1"/>
  <c r="O66" i="7"/>
  <c r="O65" i="7"/>
  <c r="O64" i="7"/>
  <c r="O63" i="7"/>
  <c r="O62" i="7"/>
  <c r="O61" i="7"/>
  <c r="O60" i="7"/>
  <c r="O59" i="7"/>
  <c r="O58" i="7"/>
  <c r="O57" i="7"/>
  <c r="O56" i="7"/>
  <c r="B11" i="9"/>
  <c r="B10" i="29" s="1"/>
  <c r="D33" i="8" l="1"/>
  <c r="E22" i="21"/>
  <c r="E24" i="21"/>
  <c r="E26" i="21"/>
  <c r="E28" i="21"/>
  <c r="E20" i="21"/>
  <c r="F31" i="21"/>
  <c r="F32" i="21" s="1"/>
  <c r="B14" i="22"/>
  <c r="B15" i="22" s="1"/>
  <c r="B16" i="22" s="1"/>
  <c r="B17" i="22" s="1"/>
  <c r="E22" i="22" s="1"/>
  <c r="B9" i="9"/>
  <c r="D87" i="22"/>
  <c r="D89" i="22" s="1"/>
  <c r="D90" i="22" s="1"/>
  <c r="D91" i="22" s="1"/>
  <c r="I86" i="22"/>
  <c r="C9" i="27"/>
  <c r="F87" i="22"/>
  <c r="F88" i="22" s="1"/>
  <c r="H88" i="22" s="1"/>
  <c r="J88" i="22"/>
  <c r="E91" i="22"/>
  <c r="E92" i="22"/>
  <c r="E93" i="22"/>
  <c r="E94" i="22"/>
  <c r="E95" i="22"/>
  <c r="E96" i="22"/>
  <c r="E97" i="22"/>
  <c r="E98" i="22"/>
  <c r="E99" i="22"/>
  <c r="G99" i="22" s="1"/>
  <c r="D60" i="22"/>
  <c r="D61" i="22"/>
  <c r="D62" i="22" s="1"/>
  <c r="E62" i="22"/>
  <c r="C21" i="21" s="1"/>
  <c r="E63" i="22"/>
  <c r="E64" i="22"/>
  <c r="C23" i="21" s="1"/>
  <c r="E65" i="22"/>
  <c r="E66" i="22"/>
  <c r="C25" i="21" s="1"/>
  <c r="E67" i="22"/>
  <c r="C26" i="21" s="1"/>
  <c r="E68" i="22"/>
  <c r="C27" i="21" s="1"/>
  <c r="E69" i="22"/>
  <c r="C28" i="21" s="1"/>
  <c r="I56" i="22"/>
  <c r="I57" i="22"/>
  <c r="I55" i="22"/>
  <c r="F56" i="22"/>
  <c r="D56" i="22"/>
  <c r="K31" i="31"/>
  <c r="I32" i="31"/>
  <c r="E31" i="31"/>
  <c r="E34" i="31" s="1"/>
  <c r="J20" i="31"/>
  <c r="I15" i="31"/>
  <c r="E29" i="31" s="1"/>
  <c r="B13" i="5"/>
  <c r="B14" i="5"/>
  <c r="B9" i="5"/>
  <c r="B47" i="5" s="1"/>
  <c r="E46" i="5"/>
  <c r="D46" i="5"/>
  <c r="G46" i="5" s="1"/>
  <c r="F7" i="4"/>
  <c r="L8" i="1"/>
  <c r="K8" i="1"/>
  <c r="C53" i="20"/>
  <c r="J50" i="20"/>
  <c r="J49" i="20"/>
  <c r="L48" i="20"/>
  <c r="J48" i="20"/>
  <c r="L47" i="20"/>
  <c r="J47" i="20"/>
  <c r="J40" i="20"/>
  <c r="J39" i="20"/>
  <c r="J38" i="20"/>
  <c r="C35" i="20"/>
  <c r="J34" i="20"/>
  <c r="C24" i="20"/>
  <c r="K23" i="20"/>
  <c r="I23" i="20"/>
  <c r="C15" i="20"/>
  <c r="K14" i="20"/>
  <c r="I14" i="20"/>
  <c r="K4" i="12"/>
  <c r="G1" i="12"/>
  <c r="H8" i="11"/>
  <c r="G8" i="11"/>
  <c r="G21" i="11" s="1"/>
  <c r="F8" i="11"/>
  <c r="E8" i="11"/>
  <c r="G1" i="11"/>
  <c r="G9" i="10"/>
  <c r="F9" i="10"/>
  <c r="E9" i="10"/>
  <c r="D9" i="10"/>
  <c r="C9" i="10"/>
  <c r="G1" i="10"/>
  <c r="E1" i="9"/>
  <c r="G127" i="8"/>
  <c r="F127" i="8"/>
  <c r="E127" i="8"/>
  <c r="D127" i="8"/>
  <c r="C127" i="8"/>
  <c r="G111" i="8"/>
  <c r="F111" i="8"/>
  <c r="E111" i="8"/>
  <c r="D111" i="8"/>
  <c r="C111" i="8"/>
  <c r="D107" i="8"/>
  <c r="E107" i="8" s="1"/>
  <c r="F107" i="8" s="1"/>
  <c r="G107" i="8" s="1"/>
  <c r="G89" i="8"/>
  <c r="F89" i="8"/>
  <c r="E89" i="8"/>
  <c r="D89" i="8"/>
  <c r="G69" i="8"/>
  <c r="F69" i="8"/>
  <c r="E69" i="8"/>
  <c r="D69" i="8"/>
  <c r="G15" i="8"/>
  <c r="F15" i="8"/>
  <c r="E15" i="8"/>
  <c r="D15" i="8"/>
  <c r="C15" i="8"/>
  <c r="F2" i="8"/>
  <c r="C16" i="8"/>
  <c r="J28" i="7"/>
  <c r="E28" i="7"/>
  <c r="D138" i="7" s="1"/>
  <c r="J27" i="7"/>
  <c r="J24" i="7"/>
  <c r="E24" i="7"/>
  <c r="G24" i="7" s="1"/>
  <c r="J26" i="7"/>
  <c r="E26" i="7"/>
  <c r="G26" i="7" s="1"/>
  <c r="J23" i="7"/>
  <c r="E23" i="7"/>
  <c r="G23" i="7" s="1"/>
  <c r="J22" i="7"/>
  <c r="E22" i="7"/>
  <c r="G22" i="7" s="1"/>
  <c r="J21" i="7"/>
  <c r="E21" i="7"/>
  <c r="G21" i="7" s="1"/>
  <c r="J20" i="7"/>
  <c r="J19" i="7"/>
  <c r="E19" i="7"/>
  <c r="G19" i="7" s="1"/>
  <c r="J18" i="7"/>
  <c r="J25" i="7"/>
  <c r="E25" i="7"/>
  <c r="G25" i="7" s="1"/>
  <c r="J17" i="7"/>
  <c r="E17" i="7"/>
  <c r="G17" i="7" s="1"/>
  <c r="J16" i="7"/>
  <c r="J29" i="7" s="1"/>
  <c r="J8" i="7"/>
  <c r="J6" i="7"/>
  <c r="C7" i="8"/>
  <c r="J9" i="7"/>
  <c r="D38" i="5"/>
  <c r="D35" i="5"/>
  <c r="D59" i="3"/>
  <c r="B26" i="5" s="1"/>
  <c r="D37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4" i="3"/>
  <c r="E13" i="3"/>
  <c r="E12" i="3"/>
  <c r="B36" i="2"/>
  <c r="C24" i="21" l="1"/>
  <c r="G66" i="22"/>
  <c r="C22" i="21"/>
  <c r="G64" i="22"/>
  <c r="D63" i="22"/>
  <c r="D64" i="22" s="1"/>
  <c r="D65" i="22" s="1"/>
  <c r="D66" i="22" s="1"/>
  <c r="D67" i="22" s="1"/>
  <c r="D68" i="22" s="1"/>
  <c r="D69" i="22" s="1"/>
  <c r="D70" i="22" s="1"/>
  <c r="B27" i="29"/>
  <c r="B25" i="29" s="1"/>
  <c r="C19" i="27"/>
  <c r="E30" i="21"/>
  <c r="B29" i="29" s="1"/>
  <c r="G19" i="27"/>
  <c r="F27" i="29"/>
  <c r="E27" i="29"/>
  <c r="F19" i="27"/>
  <c r="D27" i="29"/>
  <c r="E19" i="27"/>
  <c r="G27" i="29"/>
  <c r="C27" i="29"/>
  <c r="D19" i="27"/>
  <c r="B21" i="22"/>
  <c r="B22" i="22"/>
  <c r="B23" i="22"/>
  <c r="B24" i="22"/>
  <c r="B25" i="22"/>
  <c r="B26" i="22"/>
  <c r="B27" i="22"/>
  <c r="B28" i="22"/>
  <c r="B29" i="22"/>
  <c r="B30" i="22"/>
  <c r="B31" i="22"/>
  <c r="B20" i="22"/>
  <c r="E101" i="22"/>
  <c r="G97" i="22"/>
  <c r="G95" i="22"/>
  <c r="G93" i="22"/>
  <c r="D92" i="22"/>
  <c r="D93" i="22" s="1"/>
  <c r="D94" i="22" s="1"/>
  <c r="D95" i="22" s="1"/>
  <c r="D96" i="22" s="1"/>
  <c r="D97" i="22" s="1"/>
  <c r="D98" i="22" s="1"/>
  <c r="D99" i="22" s="1"/>
  <c r="D100" i="22" s="1"/>
  <c r="F57" i="22"/>
  <c r="I59" i="22"/>
  <c r="G68" i="22"/>
  <c r="F61" i="22"/>
  <c r="C30" i="21"/>
  <c r="G70" i="22"/>
  <c r="G71" i="22"/>
  <c r="E71" i="22"/>
  <c r="F62" i="22"/>
  <c r="J62" i="22" s="1"/>
  <c r="G91" i="22"/>
  <c r="G101" i="22" s="1"/>
  <c r="F90" i="22"/>
  <c r="D36" i="31"/>
  <c r="J24" i="31"/>
  <c r="I33" i="31"/>
  <c r="I44" i="31"/>
  <c r="D7" i="8"/>
  <c r="D6" i="10" s="1"/>
  <c r="C6" i="10"/>
  <c r="E33" i="8"/>
  <c r="F33" i="8" s="1"/>
  <c r="G33" i="8" s="1"/>
  <c r="D47" i="5"/>
  <c r="E47" i="5"/>
  <c r="G47" i="5"/>
  <c r="B31" i="5"/>
  <c r="C7" i="11" s="1"/>
  <c r="B48" i="5"/>
  <c r="C30" i="9"/>
  <c r="D14" i="11"/>
  <c r="C14" i="11"/>
  <c r="B30" i="9"/>
  <c r="B34" i="9" s="1"/>
  <c r="B21" i="25" s="1"/>
  <c r="I15" i="7"/>
  <c r="F84" i="7"/>
  <c r="G28" i="7"/>
  <c r="D139" i="7"/>
  <c r="D140" i="7" s="1"/>
  <c r="I84" i="7"/>
  <c r="H84" i="7"/>
  <c r="J84" i="7"/>
  <c r="G84" i="7"/>
  <c r="G29" i="7"/>
  <c r="F85" i="7" s="1"/>
  <c r="O73" i="7"/>
  <c r="D55" i="7" s="1"/>
  <c r="E55" i="7" s="1"/>
  <c r="F55" i="7" s="1"/>
  <c r="G55" i="7" s="1"/>
  <c r="D158" i="7" s="1"/>
  <c r="D161" i="7" s="1"/>
  <c r="F70" i="8"/>
  <c r="G70" i="8"/>
  <c r="G16" i="8"/>
  <c r="E15" i="3"/>
  <c r="D90" i="8"/>
  <c r="G90" i="8"/>
  <c r="F90" i="8"/>
  <c r="E90" i="8"/>
  <c r="B19" i="5"/>
  <c r="D110" i="8"/>
  <c r="D114" i="8" s="1"/>
  <c r="G110" i="8"/>
  <c r="F110" i="8"/>
  <c r="F114" i="8" s="1"/>
  <c r="E110" i="8"/>
  <c r="E114" i="8" s="1"/>
  <c r="D16" i="8"/>
  <c r="D70" i="8"/>
  <c r="C110" i="8"/>
  <c r="C114" i="8" s="1"/>
  <c r="E16" i="8"/>
  <c r="E70" i="8"/>
  <c r="F16" i="8"/>
  <c r="E14" i="11"/>
  <c r="D30" i="9"/>
  <c r="E10" i="9"/>
  <c r="H21" i="11"/>
  <c r="H62" i="22" l="1"/>
  <c r="J61" i="22"/>
  <c r="B28" i="29"/>
  <c r="C29" i="29"/>
  <c r="D29" i="29" s="1"/>
  <c r="B4" i="23"/>
  <c r="C6" i="9"/>
  <c r="E6" i="9"/>
  <c r="E7" i="29" s="1"/>
  <c r="F6" i="9"/>
  <c r="F7" i="29" s="1"/>
  <c r="D6" i="9"/>
  <c r="D7" i="29" s="1"/>
  <c r="C21" i="22"/>
  <c r="C22" i="22"/>
  <c r="C23" i="22"/>
  <c r="C24" i="22"/>
  <c r="C25" i="22"/>
  <c r="C26" i="22"/>
  <c r="C27" i="22"/>
  <c r="C28" i="22"/>
  <c r="C29" i="22"/>
  <c r="C30" i="22"/>
  <c r="C31" i="22"/>
  <c r="C20" i="22"/>
  <c r="I14" i="21"/>
  <c r="I18" i="21" s="1"/>
  <c r="I30" i="21" s="1"/>
  <c r="B30" i="25"/>
  <c r="D30" i="25" s="1"/>
  <c r="F58" i="22"/>
  <c r="F59" i="22" s="1"/>
  <c r="F91" i="22"/>
  <c r="J90" i="22"/>
  <c r="F63" i="22"/>
  <c r="K44" i="31"/>
  <c r="F35" i="31"/>
  <c r="E35" i="31"/>
  <c r="E36" i="31" s="1"/>
  <c r="F36" i="31" s="1"/>
  <c r="D4" i="23"/>
  <c r="E10" i="27" s="1"/>
  <c r="E4" i="23"/>
  <c r="F10" i="27" s="1"/>
  <c r="C4" i="23"/>
  <c r="D10" i="27" s="1"/>
  <c r="C22" i="10"/>
  <c r="C13" i="26" s="1"/>
  <c r="C10" i="27"/>
  <c r="B21" i="5"/>
  <c r="B35" i="5" s="1"/>
  <c r="C85" i="8"/>
  <c r="C7" i="9"/>
  <c r="E85" i="8"/>
  <c r="E22" i="10"/>
  <c r="E13" i="26" s="1"/>
  <c r="E7" i="9"/>
  <c r="E9" i="29" s="1"/>
  <c r="F85" i="8"/>
  <c r="F22" i="10"/>
  <c r="F13" i="26" s="1"/>
  <c r="F7" i="9"/>
  <c r="F9" i="29" s="1"/>
  <c r="D85" i="8"/>
  <c r="D22" i="10"/>
  <c r="D13" i="26" s="1"/>
  <c r="D7" i="9"/>
  <c r="D9" i="29" s="1"/>
  <c r="D48" i="5"/>
  <c r="E48" i="5"/>
  <c r="G48" i="5"/>
  <c r="D165" i="7"/>
  <c r="C116" i="8"/>
  <c r="J85" i="7"/>
  <c r="D137" i="7"/>
  <c r="D141" i="7" s="1"/>
  <c r="E141" i="7"/>
  <c r="C8" i="8"/>
  <c r="I25" i="7"/>
  <c r="D146" i="7" s="1"/>
  <c r="B50" i="5"/>
  <c r="D50" i="5" s="1"/>
  <c r="B51" i="5"/>
  <c r="B52" i="5" s="1"/>
  <c r="D51" i="5"/>
  <c r="E51" i="5"/>
  <c r="G51" i="5"/>
  <c r="J83" i="7"/>
  <c r="J82" i="7"/>
  <c r="J86" i="7"/>
  <c r="C8" i="11"/>
  <c r="C21" i="11" s="1"/>
  <c r="B166" i="8"/>
  <c r="F14" i="11"/>
  <c r="F10" i="9"/>
  <c r="E30" i="9"/>
  <c r="G114" i="8"/>
  <c r="E11" i="11"/>
  <c r="G85" i="7"/>
  <c r="I85" i="7"/>
  <c r="H85" i="7"/>
  <c r="D147" i="7"/>
  <c r="E147" i="7" s="1"/>
  <c r="E146" i="7"/>
  <c r="F146" i="7" s="1"/>
  <c r="C37" i="8" s="1"/>
  <c r="G138" i="7"/>
  <c r="F28" i="9"/>
  <c r="C117" i="8"/>
  <c r="C34" i="8"/>
  <c r="D34" i="8" s="1"/>
  <c r="E34" i="8" s="1"/>
  <c r="F34" i="8" s="1"/>
  <c r="G34" i="8" s="1"/>
  <c r="B19" i="21" l="1"/>
  <c r="B20" i="21" s="1"/>
  <c r="J63" i="22"/>
  <c r="B21" i="21"/>
  <c r="B22" i="21" s="1"/>
  <c r="F22" i="21"/>
  <c r="F20" i="21"/>
  <c r="E29" i="29"/>
  <c r="D28" i="29"/>
  <c r="G6" i="9"/>
  <c r="G7" i="29" s="1"/>
  <c r="D167" i="8"/>
  <c r="D170" i="8"/>
  <c r="B6" i="9"/>
  <c r="C7" i="29"/>
  <c r="D11" i="11"/>
  <c r="B23" i="21"/>
  <c r="B24" i="21" s="1"/>
  <c r="C9" i="29"/>
  <c r="C13" i="25"/>
  <c r="D13" i="25" s="1"/>
  <c r="D21" i="21"/>
  <c r="D20" i="21"/>
  <c r="D19" i="21"/>
  <c r="C114" i="22"/>
  <c r="C21" i="23" s="1"/>
  <c r="C115" i="22"/>
  <c r="C22" i="23" s="1"/>
  <c r="C116" i="22"/>
  <c r="C23" i="23" s="1"/>
  <c r="C117" i="22"/>
  <c r="C24" i="23" s="1"/>
  <c r="C113" i="22"/>
  <c r="E21" i="22"/>
  <c r="E23" i="22"/>
  <c r="E24" i="22"/>
  <c r="E25" i="22"/>
  <c r="E26" i="22"/>
  <c r="E27" i="22"/>
  <c r="E28" i="22"/>
  <c r="E29" i="22"/>
  <c r="E30" i="22"/>
  <c r="E31" i="22"/>
  <c r="E20" i="22"/>
  <c r="D18" i="21"/>
  <c r="H59" i="22"/>
  <c r="B9" i="27"/>
  <c r="H9" i="27" s="1"/>
  <c r="B4" i="12"/>
  <c r="B6" i="11"/>
  <c r="B8" i="11" s="1"/>
  <c r="B6" i="25"/>
  <c r="B19" i="29" s="1"/>
  <c r="B22" i="29" s="1"/>
  <c r="C19" i="29" s="1"/>
  <c r="F64" i="22"/>
  <c r="F92" i="22"/>
  <c r="J91" i="22"/>
  <c r="H91" i="22"/>
  <c r="D113" i="22" s="1"/>
  <c r="D20" i="23" s="1"/>
  <c r="F4" i="23"/>
  <c r="H10" i="27" s="1"/>
  <c r="B21" i="11"/>
  <c r="B23" i="11" s="1"/>
  <c r="B25" i="11"/>
  <c r="G85" i="8"/>
  <c r="G22" i="10"/>
  <c r="G13" i="26" s="1"/>
  <c r="G7" i="9"/>
  <c r="G9" i="29" s="1"/>
  <c r="D28" i="9"/>
  <c r="E28" i="9"/>
  <c r="C28" i="9"/>
  <c r="F83" i="7"/>
  <c r="F147" i="7"/>
  <c r="D37" i="8" s="1"/>
  <c r="E37" i="8" s="1"/>
  <c r="F37" i="8" s="1"/>
  <c r="G37" i="8" s="1"/>
  <c r="C11" i="8"/>
  <c r="D11" i="8" s="1"/>
  <c r="D8" i="8"/>
  <c r="B36" i="5"/>
  <c r="D52" i="5"/>
  <c r="E50" i="5"/>
  <c r="E52" i="5" s="1"/>
  <c r="G50" i="5"/>
  <c r="G52" i="5" s="1"/>
  <c r="E11" i="8"/>
  <c r="F11" i="8" s="1"/>
  <c r="G11" i="8" s="1"/>
  <c r="J89" i="7"/>
  <c r="K89" i="7" s="1"/>
  <c r="J87" i="7"/>
  <c r="K87" i="7" s="1"/>
  <c r="J88" i="7"/>
  <c r="E158" i="7"/>
  <c r="F158" i="7" s="1"/>
  <c r="D159" i="7"/>
  <c r="E159" i="7" s="1"/>
  <c r="F159" i="7" s="1"/>
  <c r="G140" i="7"/>
  <c r="G139" i="7"/>
  <c r="F11" i="11"/>
  <c r="F30" i="9"/>
  <c r="G10" i="9"/>
  <c r="G14" i="11"/>
  <c r="D186" i="8"/>
  <c r="F140" i="22" s="1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69" i="8"/>
  <c r="D168" i="8"/>
  <c r="D117" i="8"/>
  <c r="E166" i="7"/>
  <c r="F166" i="7" s="1"/>
  <c r="G166" i="7" s="1"/>
  <c r="H166" i="7" s="1"/>
  <c r="E8" i="8"/>
  <c r="G28" i="9"/>
  <c r="B191" i="8"/>
  <c r="E33" i="22" l="1"/>
  <c r="E35" i="22" s="1"/>
  <c r="D6" i="21" s="1"/>
  <c r="E26" i="29"/>
  <c r="G26" i="29"/>
  <c r="G25" i="29" s="1"/>
  <c r="C26" i="29"/>
  <c r="C29" i="25"/>
  <c r="C118" i="22"/>
  <c r="C20" i="23"/>
  <c r="G21" i="29"/>
  <c r="F21" i="29"/>
  <c r="D21" i="29"/>
  <c r="E21" i="29"/>
  <c r="C21" i="29"/>
  <c r="J64" i="22"/>
  <c r="H64" i="22"/>
  <c r="D22" i="21"/>
  <c r="G22" i="21" s="1"/>
  <c r="G20" i="21"/>
  <c r="B25" i="21"/>
  <c r="B26" i="21" s="1"/>
  <c r="F24" i="21"/>
  <c r="F29" i="29"/>
  <c r="E28" i="29"/>
  <c r="B7" i="29"/>
  <c r="B15" i="9"/>
  <c r="C11" i="11"/>
  <c r="B12" i="25"/>
  <c r="D12" i="25" s="1"/>
  <c r="D8" i="21"/>
  <c r="C40" i="21"/>
  <c r="C39" i="21"/>
  <c r="G14" i="21"/>
  <c r="J59" i="22"/>
  <c r="B113" i="22" s="1"/>
  <c r="B20" i="23" s="1"/>
  <c r="B114" i="22"/>
  <c r="B21" i="23" s="1"/>
  <c r="B115" i="22"/>
  <c r="B22" i="23" s="1"/>
  <c r="B38" i="5"/>
  <c r="C22" i="29"/>
  <c r="D19" i="29" s="1"/>
  <c r="D6" i="25"/>
  <c r="F93" i="22"/>
  <c r="J92" i="22"/>
  <c r="F65" i="22"/>
  <c r="G141" i="7"/>
  <c r="D166" i="7"/>
  <c r="G11" i="11"/>
  <c r="E117" i="8"/>
  <c r="F8" i="8"/>
  <c r="D210" i="8"/>
  <c r="D206" i="8"/>
  <c r="D211" i="8"/>
  <c r="D207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208" i="8"/>
  <c r="D204" i="8"/>
  <c r="D209" i="8"/>
  <c r="D205" i="8"/>
  <c r="G30" i="9"/>
  <c r="H14" i="11"/>
  <c r="I14" i="11" s="1"/>
  <c r="D26" i="29" l="1"/>
  <c r="D25" i="29" s="1"/>
  <c r="D30" i="29" s="1"/>
  <c r="C25" i="29"/>
  <c r="F26" i="29"/>
  <c r="F25" i="29" s="1"/>
  <c r="E25" i="29"/>
  <c r="E30" i="29" s="1"/>
  <c r="J65" i="22"/>
  <c r="D23" i="21"/>
  <c r="F28" i="29"/>
  <c r="F30" i="29" s="1"/>
  <c r="G29" i="29"/>
  <c r="G28" i="29" s="1"/>
  <c r="G30" i="29" s="1"/>
  <c r="B27" i="21"/>
  <c r="B28" i="21" s="1"/>
  <c r="F26" i="21"/>
  <c r="H20" i="21"/>
  <c r="I6" i="30"/>
  <c r="H22" i="21"/>
  <c r="I7" i="30"/>
  <c r="B30" i="29"/>
  <c r="F142" i="22"/>
  <c r="F143" i="22"/>
  <c r="F144" i="22"/>
  <c r="F141" i="22"/>
  <c r="C28" i="29"/>
  <c r="C30" i="29" s="1"/>
  <c r="D103" i="22"/>
  <c r="H14" i="21"/>
  <c r="G18" i="21"/>
  <c r="B118" i="22"/>
  <c r="H127" i="22" s="1"/>
  <c r="E113" i="22"/>
  <c r="D22" i="29"/>
  <c r="F66" i="22"/>
  <c r="F94" i="22"/>
  <c r="J93" i="22"/>
  <c r="H93" i="22"/>
  <c r="D114" i="22" s="1"/>
  <c r="D21" i="23" s="1"/>
  <c r="E20" i="23" s="1"/>
  <c r="B10" i="23" s="1"/>
  <c r="H11" i="11"/>
  <c r="F117" i="8"/>
  <c r="G8" i="8"/>
  <c r="G117" i="8" s="1"/>
  <c r="J66" i="22" l="1"/>
  <c r="D24" i="21"/>
  <c r="G24" i="21" s="1"/>
  <c r="H66" i="22"/>
  <c r="B29" i="21"/>
  <c r="F28" i="21"/>
  <c r="F30" i="21" s="1"/>
  <c r="I5" i="30"/>
  <c r="B7" i="25"/>
  <c r="B41" i="21"/>
  <c r="B40" i="21"/>
  <c r="B33" i="21"/>
  <c r="E19" i="29"/>
  <c r="E22" i="29" s="1"/>
  <c r="F19" i="29" s="1"/>
  <c r="F22" i="29" s="1"/>
  <c r="G19" i="29" s="1"/>
  <c r="G22" i="29" s="1"/>
  <c r="B43" i="25"/>
  <c r="B18" i="21"/>
  <c r="E40" i="21"/>
  <c r="B39" i="21"/>
  <c r="E114" i="22"/>
  <c r="E140" i="22"/>
  <c r="F95" i="22"/>
  <c r="J94" i="22"/>
  <c r="F67" i="22"/>
  <c r="F82" i="7"/>
  <c r="F86" i="7" s="1"/>
  <c r="F87" i="7" s="1"/>
  <c r="C12" i="8" s="1"/>
  <c r="C7" i="10" s="1"/>
  <c r="I83" i="7"/>
  <c r="H83" i="7"/>
  <c r="I82" i="7"/>
  <c r="G83" i="7"/>
  <c r="H82" i="7"/>
  <c r="G82" i="7"/>
  <c r="I11" i="11"/>
  <c r="J67" i="22" l="1"/>
  <c r="D25" i="21"/>
  <c r="H24" i="21"/>
  <c r="I8" i="30"/>
  <c r="C41" i="21"/>
  <c r="K18" i="21"/>
  <c r="B8" i="25"/>
  <c r="B14" i="29"/>
  <c r="B17" i="29" s="1"/>
  <c r="C14" i="29" s="1"/>
  <c r="L5" i="30"/>
  <c r="C9" i="26"/>
  <c r="B44" i="21"/>
  <c r="E39" i="21"/>
  <c r="E141" i="22"/>
  <c r="F68" i="22"/>
  <c r="F96" i="22"/>
  <c r="J95" i="22"/>
  <c r="H95" i="22"/>
  <c r="D115" i="22" s="1"/>
  <c r="D22" i="23" s="1"/>
  <c r="E21" i="23" s="1"/>
  <c r="C10" i="23" s="1"/>
  <c r="I6" i="11"/>
  <c r="J68" i="22" l="1"/>
  <c r="D26" i="21"/>
  <c r="G26" i="21" s="1"/>
  <c r="B9" i="25"/>
  <c r="B15" i="27"/>
  <c r="B5" i="30" s="1"/>
  <c r="E115" i="22"/>
  <c r="C43" i="25"/>
  <c r="D9" i="26" s="1"/>
  <c r="F97" i="22"/>
  <c r="J96" i="22"/>
  <c r="H68" i="22"/>
  <c r="F69" i="22"/>
  <c r="C25" i="20"/>
  <c r="D35" i="20" s="1"/>
  <c r="C16" i="20"/>
  <c r="D53" i="20" s="1"/>
  <c r="J69" i="22" l="1"/>
  <c r="D27" i="21"/>
  <c r="H26" i="21"/>
  <c r="I9" i="30"/>
  <c r="C42" i="21"/>
  <c r="B33" i="25"/>
  <c r="B17" i="26" s="1"/>
  <c r="B10" i="25"/>
  <c r="B25" i="25" s="1"/>
  <c r="E142" i="22"/>
  <c r="F70" i="22"/>
  <c r="F98" i="22"/>
  <c r="J97" i="22"/>
  <c r="H97" i="22"/>
  <c r="D116" i="22" s="1"/>
  <c r="D23" i="23" s="1"/>
  <c r="E22" i="23" s="1"/>
  <c r="D10" i="23" s="1"/>
  <c r="C23" i="20"/>
  <c r="B35" i="20" s="1"/>
  <c r="C14" i="20"/>
  <c r="B53" i="20" s="1"/>
  <c r="J70" i="22" l="1"/>
  <c r="D28" i="21"/>
  <c r="G28" i="21" s="1"/>
  <c r="E116" i="22"/>
  <c r="D30" i="21"/>
  <c r="D43" i="25"/>
  <c r="E9" i="26" s="1"/>
  <c r="E41" i="21"/>
  <c r="F99" i="22"/>
  <c r="J98" i="22"/>
  <c r="F101" i="22"/>
  <c r="F71" i="22"/>
  <c r="J71" i="22"/>
  <c r="H70" i="22"/>
  <c r="H71" i="22" s="1"/>
  <c r="G86" i="7"/>
  <c r="G88" i="7"/>
  <c r="D87" i="8"/>
  <c r="D19" i="10" s="1"/>
  <c r="D8" i="26" s="1"/>
  <c r="H86" i="7"/>
  <c r="H87" i="7"/>
  <c r="E12" i="8" s="1"/>
  <c r="E7" i="10" s="1"/>
  <c r="J95" i="7"/>
  <c r="E7" i="8"/>
  <c r="E6" i="10" s="1"/>
  <c r="F7" i="8"/>
  <c r="F6" i="10" s="1"/>
  <c r="I86" i="7"/>
  <c r="H28" i="21" l="1"/>
  <c r="I10" i="30"/>
  <c r="I12" i="30" s="1"/>
  <c r="C43" i="21"/>
  <c r="G30" i="21"/>
  <c r="H19" i="27"/>
  <c r="B30" i="21"/>
  <c r="E143" i="22"/>
  <c r="J99" i="22"/>
  <c r="J101" i="22" s="1"/>
  <c r="H99" i="22"/>
  <c r="H89" i="7"/>
  <c r="E66" i="8" s="1"/>
  <c r="H88" i="7"/>
  <c r="E87" i="8" s="1"/>
  <c r="E19" i="10" s="1"/>
  <c r="E8" i="26" s="1"/>
  <c r="I87" i="7"/>
  <c r="F12" i="8" s="1"/>
  <c r="F7" i="10" s="1"/>
  <c r="I89" i="7"/>
  <c r="F66" i="8" s="1"/>
  <c r="I88" i="7"/>
  <c r="F87" i="8" s="1"/>
  <c r="F19" i="10" s="1"/>
  <c r="F8" i="26" s="1"/>
  <c r="F116" i="8"/>
  <c r="G7" i="8"/>
  <c r="G6" i="10" s="1"/>
  <c r="E116" i="8"/>
  <c r="D116" i="8"/>
  <c r="G89" i="7"/>
  <c r="D66" i="8" s="1"/>
  <c r="G87" i="7"/>
  <c r="H101" i="22" l="1"/>
  <c r="D117" i="22"/>
  <c r="D24" i="23" s="1"/>
  <c r="E23" i="23" s="1"/>
  <c r="E10" i="23" s="1"/>
  <c r="G10" i="23" s="1"/>
  <c r="E43" i="25"/>
  <c r="F9" i="26" s="1"/>
  <c r="D151" i="7"/>
  <c r="E151" i="7" s="1"/>
  <c r="D12" i="8"/>
  <c r="D7" i="10" s="1"/>
  <c r="G116" i="8"/>
  <c r="E117" i="22" l="1"/>
  <c r="D118" i="22"/>
  <c r="F151" i="7"/>
  <c r="D38" i="8" s="1"/>
  <c r="E144" i="22" l="1"/>
  <c r="E118" i="22"/>
  <c r="G12" i="8"/>
  <c r="G7" i="10" s="1"/>
  <c r="F43" i="25" l="1"/>
  <c r="G9" i="26" s="1"/>
  <c r="E38" i="8"/>
  <c r="F38" i="8" s="1"/>
  <c r="G38" i="8" s="1"/>
  <c r="E170" i="7"/>
  <c r="F170" i="7" s="1"/>
  <c r="G170" i="7" s="1"/>
  <c r="H170" i="7" s="1"/>
  <c r="K88" i="7" l="1"/>
  <c r="G66" i="8"/>
  <c r="G87" i="8"/>
  <c r="G19" i="10" s="1"/>
  <c r="G8" i="26" s="1"/>
  <c r="K90" i="7" l="1"/>
  <c r="C11" i="9" s="1"/>
  <c r="C31" i="9"/>
  <c r="D11" i="9"/>
  <c r="D15" i="11"/>
  <c r="D31" i="9" l="1"/>
  <c r="C15" i="11"/>
  <c r="C18" i="11" s="1"/>
  <c r="E15" i="11"/>
  <c r="E11" i="9"/>
  <c r="B14" i="25" l="1"/>
  <c r="B15" i="25"/>
  <c r="B22" i="9"/>
  <c r="C22" i="11"/>
  <c r="C23" i="11" s="1"/>
  <c r="B24" i="9"/>
  <c r="B16" i="27" s="1"/>
  <c r="B25" i="9"/>
  <c r="B36" i="9" s="1"/>
  <c r="E31" i="9"/>
  <c r="F15" i="11"/>
  <c r="F11" i="9"/>
  <c r="B22" i="25" l="1"/>
  <c r="B20" i="25"/>
  <c r="B23" i="25" s="1"/>
  <c r="C5" i="30"/>
  <c r="B26" i="10"/>
  <c r="F31" i="9"/>
  <c r="G15" i="11"/>
  <c r="G11" i="9"/>
  <c r="C4" i="12"/>
  <c r="B27" i="10" l="1"/>
  <c r="C25" i="11"/>
  <c r="D4" i="12"/>
  <c r="G31" i="9"/>
  <c r="H15" i="11"/>
  <c r="B26" i="25" l="1"/>
  <c r="B27" i="25" s="1"/>
  <c r="B31" i="25" s="1"/>
  <c r="C25" i="10"/>
  <c r="I15" i="11"/>
  <c r="B24" i="30" l="1"/>
  <c r="C24" i="30" s="1"/>
  <c r="G24" i="30" s="1"/>
  <c r="B32" i="29"/>
  <c r="B32" i="25"/>
  <c r="F88" i="7"/>
  <c r="C87" i="8"/>
  <c r="C19" i="10" s="1"/>
  <c r="C8" i="26" s="1"/>
  <c r="F89" i="7" l="1"/>
  <c r="C66" i="8" s="1"/>
  <c r="D150" i="7" l="1"/>
  <c r="E165" i="7"/>
  <c r="E150" i="7"/>
  <c r="D153" i="7" l="1"/>
  <c r="F150" i="7"/>
  <c r="C38" i="8"/>
  <c r="C32" i="9" s="1"/>
  <c r="H38" i="8"/>
  <c r="F165" i="7"/>
  <c r="G165" i="7" l="1"/>
  <c r="D170" i="7"/>
  <c r="H165" i="7" l="1"/>
  <c r="P56" i="7"/>
  <c r="Q56" i="7"/>
  <c r="R56" i="7"/>
  <c r="S56" i="7" s="1"/>
  <c r="R54" i="7"/>
  <c r="S54" i="7" s="1"/>
  <c r="P66" i="7"/>
  <c r="Q66" i="7"/>
  <c r="P57" i="7"/>
  <c r="Q57" i="7"/>
  <c r="P58" i="7"/>
  <c r="Q58" i="7"/>
  <c r="P59" i="7"/>
  <c r="Q59" i="7"/>
  <c r="P60" i="7"/>
  <c r="Q60" i="7"/>
  <c r="P61" i="7"/>
  <c r="Q61" i="7"/>
  <c r="P62" i="7"/>
  <c r="Q62" i="7"/>
  <c r="P63" i="7"/>
  <c r="Q63" i="7"/>
  <c r="P64" i="7"/>
  <c r="Q64" i="7"/>
  <c r="P65" i="7"/>
  <c r="Q65" i="7"/>
  <c r="Q68" i="7"/>
  <c r="Q69" i="7"/>
  <c r="Q71" i="7"/>
  <c r="U71" i="7" s="1"/>
  <c r="Q72" i="7"/>
  <c r="P55" i="7"/>
  <c r="Q55" i="7"/>
  <c r="S67" i="7"/>
  <c r="R66" i="7"/>
  <c r="S66" i="7" s="1"/>
  <c r="R65" i="7"/>
  <c r="S65" i="7" s="1"/>
  <c r="R63" i="7"/>
  <c r="S63" i="7" s="1"/>
  <c r="R61" i="7"/>
  <c r="S61" i="7" s="1"/>
  <c r="R60" i="7"/>
  <c r="S60" i="7" s="1"/>
  <c r="R59" i="7"/>
  <c r="S59" i="7" s="1"/>
  <c r="R58" i="7"/>
  <c r="S58" i="7" s="1"/>
  <c r="R57" i="7"/>
  <c r="S57" i="7" s="1"/>
  <c r="R64" i="7"/>
  <c r="S64" i="7" s="1"/>
  <c r="R62" i="7"/>
  <c r="S62" i="7" s="1"/>
  <c r="S72" i="7"/>
  <c r="S70" i="7"/>
  <c r="S69" i="7"/>
  <c r="S68" i="7"/>
  <c r="R55" i="7"/>
  <c r="Q67" i="7"/>
  <c r="U67" i="7" s="1"/>
  <c r="P54" i="7"/>
  <c r="Q54" i="7" s="1"/>
  <c r="U54" i="7" s="1"/>
  <c r="V54" i="7" s="1"/>
  <c r="U65" i="7" l="1"/>
  <c r="U64" i="7"/>
  <c r="U63" i="7"/>
  <c r="U62" i="7"/>
  <c r="U61" i="7"/>
  <c r="U60" i="7"/>
  <c r="U59" i="7"/>
  <c r="U58" i="7"/>
  <c r="U57" i="7"/>
  <c r="U66" i="7"/>
  <c r="U56" i="7"/>
  <c r="U68" i="7"/>
  <c r="U72" i="7"/>
  <c r="V72" i="7" s="1"/>
  <c r="U69" i="7"/>
  <c r="V69" i="7" s="1"/>
  <c r="Q70" i="7"/>
  <c r="U70" i="7" s="1"/>
  <c r="V70" i="7" s="1"/>
  <c r="P73" i="7"/>
  <c r="V67" i="7"/>
  <c r="R73" i="7"/>
  <c r="S55" i="7"/>
  <c r="U55" i="7" s="1"/>
  <c r="V55" i="7"/>
  <c r="V71" i="7"/>
  <c r="V65" i="7"/>
  <c r="V64" i="7"/>
  <c r="V63" i="7"/>
  <c r="V62" i="7"/>
  <c r="V61" i="7"/>
  <c r="V60" i="7"/>
  <c r="V59" i="7"/>
  <c r="V58" i="7"/>
  <c r="V57" i="7"/>
  <c r="V66" i="7"/>
  <c r="S73" i="7"/>
  <c r="D56" i="7" s="1"/>
  <c r="E56" i="7" s="1"/>
  <c r="F56" i="7" s="1"/>
  <c r="G56" i="7" s="1"/>
  <c r="V56" i="7"/>
  <c r="V68" i="7" l="1"/>
  <c r="T81" i="7"/>
  <c r="Q73" i="7"/>
  <c r="D57" i="7" s="1"/>
  <c r="E57" i="7" s="1"/>
  <c r="F57" i="7" s="1"/>
  <c r="G57" i="7" s="1"/>
  <c r="U73" i="7" l="1"/>
  <c r="V73" i="7"/>
  <c r="T82" i="7"/>
  <c r="T83" i="7" s="1"/>
  <c r="T85" i="7" s="1"/>
  <c r="T47" i="7" s="1"/>
  <c r="U47" i="7" l="1"/>
  <c r="C61" i="7"/>
  <c r="F61" i="7" s="1"/>
  <c r="T86" i="7"/>
  <c r="U48" i="7"/>
  <c r="D69" i="7" l="1"/>
  <c r="C13" i="8" s="1"/>
  <c r="C8" i="10" s="1"/>
  <c r="C12" i="10" s="1"/>
  <c r="D63" i="7"/>
  <c r="D64" i="7"/>
  <c r="D70" i="7" l="1"/>
  <c r="C93" i="8" s="1"/>
  <c r="F69" i="7"/>
  <c r="F68" i="7"/>
  <c r="D71" i="7"/>
  <c r="E68" i="7"/>
  <c r="F71" i="7" l="1"/>
  <c r="E71" i="7"/>
  <c r="D13" i="8"/>
  <c r="D8" i="10" s="1"/>
  <c r="F70" i="7"/>
  <c r="C67" i="8"/>
  <c r="C18" i="10" s="1"/>
  <c r="C7" i="26" s="1"/>
  <c r="G93" i="8"/>
  <c r="F93" i="8"/>
  <c r="E93" i="8"/>
  <c r="D93" i="8"/>
  <c r="E70" i="7"/>
  <c r="D67" i="8"/>
  <c r="D18" i="10" s="1"/>
  <c r="D7" i="26" s="1"/>
  <c r="E67" i="8"/>
  <c r="E18" i="10" s="1"/>
  <c r="E7" i="26" s="1"/>
  <c r="F67" i="8"/>
  <c r="F18" i="10" s="1"/>
  <c r="F7" i="26" s="1"/>
  <c r="G67" i="8"/>
  <c r="G18" i="10" s="1"/>
  <c r="G7" i="26" s="1"/>
  <c r="E69" i="7"/>
  <c r="E13" i="8"/>
  <c r="E8" i="10" s="1"/>
  <c r="F13" i="8"/>
  <c r="F8" i="10" s="1"/>
  <c r="D72" i="7"/>
  <c r="F72" i="7" s="1"/>
  <c r="G13" i="8"/>
  <c r="G8" i="10" s="1"/>
  <c r="H39" i="8" l="1"/>
  <c r="C39" i="8"/>
  <c r="G12" i="10"/>
  <c r="D39" i="8"/>
  <c r="E171" i="7" s="1"/>
  <c r="E39" i="8"/>
  <c r="E72" i="7"/>
  <c r="K75" i="7" s="1"/>
  <c r="F12" i="10"/>
  <c r="E12" i="10"/>
  <c r="D12" i="10"/>
  <c r="D171" i="7" l="1"/>
  <c r="C33" i="9" s="1"/>
  <c r="C34" i="9" s="1"/>
  <c r="C21" i="25" s="1"/>
  <c r="F171" i="7"/>
  <c r="F39" i="8"/>
  <c r="H44" i="8"/>
  <c r="H45" i="8" s="1"/>
  <c r="C52" i="8" s="1"/>
  <c r="D21" i="25" l="1"/>
  <c r="D33" i="9"/>
  <c r="G39" i="8"/>
  <c r="C16" i="10"/>
  <c r="C15" i="10"/>
  <c r="G171" i="7"/>
  <c r="E33" i="9"/>
  <c r="C13" i="10" l="1"/>
  <c r="C17" i="10" s="1"/>
  <c r="C6" i="26" s="1"/>
  <c r="C123" i="8"/>
  <c r="C27" i="5"/>
  <c r="E16" i="10"/>
  <c r="H171" i="7"/>
  <c r="G33" i="9" s="1"/>
  <c r="F33" i="9"/>
  <c r="D16" i="10"/>
  <c r="C10" i="26" l="1"/>
  <c r="C12" i="26" s="1"/>
  <c r="C14" i="26" s="1"/>
  <c r="C21" i="10"/>
  <c r="C23" i="10" s="1"/>
  <c r="C31" i="5"/>
  <c r="C33" i="5" s="1"/>
  <c r="F16" i="10"/>
  <c r="G16" i="10"/>
  <c r="C35" i="5" l="1"/>
  <c r="B54" i="5"/>
  <c r="D54" i="5" s="1"/>
  <c r="C7" i="25"/>
  <c r="D7" i="11"/>
  <c r="C15" i="29" l="1"/>
  <c r="C8" i="25"/>
  <c r="D57" i="5"/>
  <c r="E16" i="29"/>
  <c r="C16" i="29"/>
  <c r="C17" i="29" s="1"/>
  <c r="D8" i="25"/>
  <c r="D7" i="25"/>
  <c r="B57" i="5"/>
  <c r="D8" i="11"/>
  <c r="B5" i="21" s="1"/>
  <c r="I7" i="11"/>
  <c r="E54" i="5"/>
  <c r="G4" i="12"/>
  <c r="C36" i="5"/>
  <c r="C15" i="27" l="1"/>
  <c r="C9" i="25"/>
  <c r="C10" i="25" s="1"/>
  <c r="C25" i="25" s="1"/>
  <c r="C27" i="27"/>
  <c r="J6" i="30" s="1"/>
  <c r="D14" i="29"/>
  <c r="C12" i="29"/>
  <c r="E57" i="5"/>
  <c r="F27" i="27" s="1"/>
  <c r="G16" i="29"/>
  <c r="F16" i="29"/>
  <c r="D16" i="29"/>
  <c r="D17" i="29" s="1"/>
  <c r="D12" i="29" s="1"/>
  <c r="H15" i="27"/>
  <c r="B6" i="30"/>
  <c r="C10" i="8"/>
  <c r="E10" i="8"/>
  <c r="D10" i="8"/>
  <c r="E35" i="7"/>
  <c r="C38" i="5"/>
  <c r="C33" i="25"/>
  <c r="C17" i="26" s="1"/>
  <c r="E14" i="29"/>
  <c r="G10" i="8"/>
  <c r="F10" i="8"/>
  <c r="D21" i="11"/>
  <c r="I8" i="11"/>
  <c r="B5" i="12"/>
  <c r="L4" i="12"/>
  <c r="G54" i="5"/>
  <c r="E36" i="7"/>
  <c r="E41" i="7" s="1"/>
  <c r="D50" i="7" s="1"/>
  <c r="L36" i="7"/>
  <c r="O36" i="7" s="1"/>
  <c r="I8" i="12"/>
  <c r="I9" i="12"/>
  <c r="H35" i="7" l="1"/>
  <c r="D48" i="7" s="1"/>
  <c r="C36" i="8" s="1"/>
  <c r="H36" i="7"/>
  <c r="D49" i="7" s="1"/>
  <c r="D27" i="27"/>
  <c r="J7" i="30" s="1"/>
  <c r="E27" i="27"/>
  <c r="J8" i="30" s="1"/>
  <c r="G27" i="27"/>
  <c r="J9" i="30"/>
  <c r="E17" i="29"/>
  <c r="F5" i="21"/>
  <c r="G57" i="5"/>
  <c r="M127" i="22" s="1"/>
  <c r="D9" i="25"/>
  <c r="C22" i="27"/>
  <c r="M4" i="12"/>
  <c r="I21" i="11"/>
  <c r="G44" i="7"/>
  <c r="I5" i="12"/>
  <c r="L35" i="7"/>
  <c r="C65" i="8" s="1"/>
  <c r="C75" i="8" s="1"/>
  <c r="I6" i="12"/>
  <c r="I7" i="12"/>
  <c r="F14" i="29" l="1"/>
  <c r="E12" i="29"/>
  <c r="J10" i="30"/>
  <c r="H27" i="27"/>
  <c r="J12" i="30"/>
  <c r="C44" i="8"/>
  <c r="C45" i="8"/>
  <c r="F17" i="29"/>
  <c r="D6" i="30"/>
  <c r="D25" i="25"/>
  <c r="D10" i="25"/>
  <c r="B10" i="30"/>
  <c r="B9" i="12"/>
  <c r="B11" i="12" s="1"/>
  <c r="F36" i="8"/>
  <c r="G36" i="8" s="1"/>
  <c r="I11" i="12"/>
  <c r="M18" i="12" s="1"/>
  <c r="O35" i="7"/>
  <c r="C86" i="8" s="1"/>
  <c r="F65" i="8"/>
  <c r="E65" i="8"/>
  <c r="E75" i="8" s="1"/>
  <c r="D65" i="8"/>
  <c r="D75" i="8" s="1"/>
  <c r="G65" i="8"/>
  <c r="D44" i="7"/>
  <c r="F17" i="9"/>
  <c r="H44" i="7"/>
  <c r="F151" i="8"/>
  <c r="G14" i="29" l="1"/>
  <c r="F12" i="29"/>
  <c r="C12" i="9"/>
  <c r="C46" i="8"/>
  <c r="D16" i="11" s="1"/>
  <c r="C53" i="8"/>
  <c r="D54" i="8" s="1"/>
  <c r="G17" i="29"/>
  <c r="G12" i="29" s="1"/>
  <c r="F44" i="8"/>
  <c r="C96" i="8"/>
  <c r="D36" i="8"/>
  <c r="D44" i="8" s="1"/>
  <c r="D45" i="8" s="1"/>
  <c r="F18" i="9"/>
  <c r="F20" i="9" s="1"/>
  <c r="F22" i="8"/>
  <c r="F23" i="8" s="1"/>
  <c r="G151" i="8"/>
  <c r="G17" i="9"/>
  <c r="G44" i="8"/>
  <c r="G45" i="8" s="1"/>
  <c r="C17" i="9"/>
  <c r="E36" i="8"/>
  <c r="C22" i="8"/>
  <c r="E44" i="7"/>
  <c r="C151" i="8"/>
  <c r="G75" i="8"/>
  <c r="G77" i="8" s="1"/>
  <c r="G79" i="8" s="1"/>
  <c r="G156" i="8" s="1"/>
  <c r="F39" i="25" s="1"/>
  <c r="D77" i="8"/>
  <c r="D79" i="8" s="1"/>
  <c r="D156" i="8" s="1"/>
  <c r="C39" i="25" s="1"/>
  <c r="E77" i="8"/>
  <c r="E79" i="8" s="1"/>
  <c r="E156" i="8" s="1"/>
  <c r="D39" i="25" s="1"/>
  <c r="F75" i="8"/>
  <c r="F77" i="8" s="1"/>
  <c r="F79" i="8" s="1"/>
  <c r="F156" i="8" s="1"/>
  <c r="E39" i="25" s="1"/>
  <c r="G86" i="8"/>
  <c r="F86" i="8"/>
  <c r="E86" i="8"/>
  <c r="D86" i="8"/>
  <c r="C77" i="8"/>
  <c r="C80" i="8" s="1"/>
  <c r="F45" i="8" l="1"/>
  <c r="G53" i="8"/>
  <c r="D53" i="8"/>
  <c r="G12" i="9"/>
  <c r="F46" i="8"/>
  <c r="F12" i="9"/>
  <c r="D17" i="9"/>
  <c r="F118" i="8"/>
  <c r="F120" i="8" s="1"/>
  <c r="C98" i="8"/>
  <c r="C79" i="8"/>
  <c r="C156" i="8" s="1"/>
  <c r="B39" i="25" s="1"/>
  <c r="C157" i="8"/>
  <c r="B40" i="25" s="1"/>
  <c r="C135" i="8"/>
  <c r="B8" i="23" s="1"/>
  <c r="D96" i="8"/>
  <c r="D98" i="8" s="1"/>
  <c r="D136" i="8" s="1"/>
  <c r="C9" i="23" s="1"/>
  <c r="E96" i="8"/>
  <c r="E98" i="8" s="1"/>
  <c r="E100" i="8" s="1"/>
  <c r="E158" i="8" s="1"/>
  <c r="D41" i="25" s="1"/>
  <c r="F96" i="8"/>
  <c r="F98" i="8" s="1"/>
  <c r="F136" i="8" s="1"/>
  <c r="E9" i="23" s="1"/>
  <c r="C136" i="8"/>
  <c r="B9" i="23" s="1"/>
  <c r="G96" i="8"/>
  <c r="G98" i="8" s="1"/>
  <c r="G136" i="8" s="1"/>
  <c r="F9" i="23" s="1"/>
  <c r="F80" i="8"/>
  <c r="F157" i="8" s="1"/>
  <c r="E40" i="25" s="1"/>
  <c r="F135" i="8"/>
  <c r="E8" i="23" s="1"/>
  <c r="E80" i="8"/>
  <c r="E157" i="8" s="1"/>
  <c r="D40" i="25" s="1"/>
  <c r="E135" i="8"/>
  <c r="D8" i="23" s="1"/>
  <c r="D80" i="8"/>
  <c r="D157" i="8" s="1"/>
  <c r="C40" i="25" s="1"/>
  <c r="D135" i="8"/>
  <c r="C8" i="23" s="1"/>
  <c r="G80" i="8"/>
  <c r="G157" i="8" s="1"/>
  <c r="F40" i="25" s="1"/>
  <c r="G135" i="8"/>
  <c r="F8" i="23" s="1"/>
  <c r="F44" i="7"/>
  <c r="D151" i="8"/>
  <c r="C18" i="9"/>
  <c r="C23" i="8"/>
  <c r="C50" i="8" s="1"/>
  <c r="C55" i="8" s="1"/>
  <c r="E17" i="9"/>
  <c r="E44" i="8"/>
  <c r="C124" i="8"/>
  <c r="G46" i="8"/>
  <c r="H16" i="11" s="1"/>
  <c r="G124" i="8"/>
  <c r="G18" i="9"/>
  <c r="G20" i="9" s="1"/>
  <c r="G22" i="8"/>
  <c r="G23" i="8" s="1"/>
  <c r="F25" i="8"/>
  <c r="F154" i="8" s="1"/>
  <c r="E37" i="25" s="1"/>
  <c r="F50" i="8"/>
  <c r="F26" i="8"/>
  <c r="F155" i="8" s="1"/>
  <c r="E38" i="25" s="1"/>
  <c r="G8" i="23" l="1"/>
  <c r="C20" i="9"/>
  <c r="C17" i="25"/>
  <c r="F53" i="8"/>
  <c r="E45" i="8"/>
  <c r="C56" i="8"/>
  <c r="E54" i="8"/>
  <c r="D12" i="9"/>
  <c r="E12" i="9"/>
  <c r="D32" i="9"/>
  <c r="F32" i="9"/>
  <c r="G32" i="9"/>
  <c r="D46" i="8"/>
  <c r="E16" i="11" s="1"/>
  <c r="D124" i="8"/>
  <c r="G118" i="8"/>
  <c r="G120" i="8" s="1"/>
  <c r="G126" i="8" s="1"/>
  <c r="G128" i="8" s="1"/>
  <c r="E136" i="8"/>
  <c r="D9" i="23" s="1"/>
  <c r="G9" i="23" s="1"/>
  <c r="F100" i="8"/>
  <c r="F158" i="8" s="1"/>
  <c r="E41" i="25" s="1"/>
  <c r="G100" i="8"/>
  <c r="G158" i="8" s="1"/>
  <c r="F41" i="25" s="1"/>
  <c r="D100" i="8"/>
  <c r="D158" i="8" s="1"/>
  <c r="C41" i="25" s="1"/>
  <c r="C100" i="8"/>
  <c r="C158" i="8" s="1"/>
  <c r="B41" i="25" s="1"/>
  <c r="C101" i="8"/>
  <c r="C159" i="8" s="1"/>
  <c r="B42" i="25" s="1"/>
  <c r="C26" i="8"/>
  <c r="C118" i="8"/>
  <c r="C120" i="8" s="1"/>
  <c r="C126" i="8" s="1"/>
  <c r="G25" i="8"/>
  <c r="G154" i="8" s="1"/>
  <c r="F37" i="25" s="1"/>
  <c r="G50" i="8"/>
  <c r="G26" i="8"/>
  <c r="G155" i="8" s="1"/>
  <c r="F38" i="25" s="1"/>
  <c r="E46" i="8"/>
  <c r="E124" i="8"/>
  <c r="F124" i="8"/>
  <c r="F126" i="8" s="1"/>
  <c r="F128" i="8" s="1"/>
  <c r="D18" i="9"/>
  <c r="D20" i="9" s="1"/>
  <c r="D22" i="8"/>
  <c r="D23" i="8" s="1"/>
  <c r="E151" i="8"/>
  <c r="G101" i="8"/>
  <c r="G159" i="8" s="1"/>
  <c r="F42" i="25" s="1"/>
  <c r="F101" i="8"/>
  <c r="F159" i="8" s="1"/>
  <c r="E101" i="8"/>
  <c r="E159" i="8" s="1"/>
  <c r="D42" i="25" s="1"/>
  <c r="D101" i="8"/>
  <c r="D159" i="8" s="1"/>
  <c r="C42" i="25" s="1"/>
  <c r="F16" i="11" l="1"/>
  <c r="G16" i="11"/>
  <c r="E98" i="25"/>
  <c r="D79" i="25"/>
  <c r="D80" i="25"/>
  <c r="D81" i="25"/>
  <c r="D82" i="25"/>
  <c r="D83" i="25"/>
  <c r="D84" i="25"/>
  <c r="D85" i="25"/>
  <c r="D86" i="25"/>
  <c r="D87" i="25"/>
  <c r="D88" i="25"/>
  <c r="D89" i="25"/>
  <c r="D90" i="25"/>
  <c r="D91" i="25"/>
  <c r="D92" i="25"/>
  <c r="D93" i="25"/>
  <c r="D94" i="25"/>
  <c r="D95" i="25"/>
  <c r="D96" i="25"/>
  <c r="D97" i="25"/>
  <c r="D98" i="25"/>
  <c r="F98" i="25" s="1"/>
  <c r="D78" i="25"/>
  <c r="D17" i="25"/>
  <c r="C18" i="25"/>
  <c r="D18" i="25"/>
  <c r="G54" i="8"/>
  <c r="G55" i="8" s="1"/>
  <c r="G56" i="8"/>
  <c r="E53" i="8"/>
  <c r="F54" i="8" s="1"/>
  <c r="F44" i="25"/>
  <c r="F45" i="25" s="1"/>
  <c r="F160" i="8"/>
  <c r="E42" i="25"/>
  <c r="E44" i="25" s="1"/>
  <c r="E45" i="25" s="1"/>
  <c r="G15" i="10"/>
  <c r="G17" i="10" s="1"/>
  <c r="G34" i="9"/>
  <c r="F15" i="10"/>
  <c r="F17" i="10" s="1"/>
  <c r="F34" i="9"/>
  <c r="D15" i="10"/>
  <c r="D17" i="10" s="1"/>
  <c r="D34" i="9"/>
  <c r="E32" i="9"/>
  <c r="F161" i="8"/>
  <c r="C25" i="8"/>
  <c r="C58" i="8" s="1"/>
  <c r="D118" i="8"/>
  <c r="D120" i="8" s="1"/>
  <c r="D126" i="8" s="1"/>
  <c r="D128" i="8" s="1"/>
  <c r="N97" i="7" s="1"/>
  <c r="O98" i="7" s="1"/>
  <c r="C155" i="8"/>
  <c r="B38" i="25" s="1"/>
  <c r="C128" i="8"/>
  <c r="M97" i="7" s="1"/>
  <c r="M99" i="7" s="1"/>
  <c r="E18" i="9"/>
  <c r="E20" i="9" s="1"/>
  <c r="E22" i="8"/>
  <c r="E23" i="8" s="1"/>
  <c r="D25" i="8"/>
  <c r="D154" i="8" s="1"/>
  <c r="C37" i="25" s="1"/>
  <c r="D50" i="8"/>
  <c r="D55" i="8" s="1"/>
  <c r="D56" i="8" s="1"/>
  <c r="D26" i="8"/>
  <c r="D155" i="8" s="1"/>
  <c r="C38" i="25" s="1"/>
  <c r="C44" i="25" s="1"/>
  <c r="C59" i="8"/>
  <c r="Q97" i="7"/>
  <c r="P97" i="7"/>
  <c r="G160" i="8"/>
  <c r="G161" i="8" s="1"/>
  <c r="E191" i="8"/>
  <c r="E211" i="8"/>
  <c r="E205" i="8"/>
  <c r="E195" i="8"/>
  <c r="E194" i="8"/>
  <c r="E196" i="8"/>
  <c r="E208" i="8"/>
  <c r="E204" i="8"/>
  <c r="E201" i="8"/>
  <c r="E192" i="8"/>
  <c r="E206" i="8"/>
  <c r="E203" i="8"/>
  <c r="E197" i="8"/>
  <c r="E207" i="8"/>
  <c r="E198" i="8"/>
  <c r="E202" i="8"/>
  <c r="E193" i="8"/>
  <c r="E200" i="8"/>
  <c r="E210" i="8"/>
  <c r="E199" i="8"/>
  <c r="E209" i="8"/>
  <c r="G59" i="8"/>
  <c r="G58" i="8"/>
  <c r="B44" i="25" l="1"/>
  <c r="E72" i="25"/>
  <c r="E97" i="25"/>
  <c r="F97" i="25" s="1"/>
  <c r="E79" i="25"/>
  <c r="F79" i="25" s="1"/>
  <c r="E80" i="25"/>
  <c r="F80" i="25" s="1"/>
  <c r="E81" i="25"/>
  <c r="F81" i="25" s="1"/>
  <c r="E82" i="25"/>
  <c r="F82" i="25" s="1"/>
  <c r="E83" i="25"/>
  <c r="F83" i="25" s="1"/>
  <c r="E84" i="25"/>
  <c r="F84" i="25" s="1"/>
  <c r="E85" i="25"/>
  <c r="F85" i="25" s="1"/>
  <c r="E86" i="25"/>
  <c r="F86" i="25" s="1"/>
  <c r="E87" i="25"/>
  <c r="F87" i="25" s="1"/>
  <c r="E88" i="25"/>
  <c r="F88" i="25" s="1"/>
  <c r="E89" i="25"/>
  <c r="F89" i="25" s="1"/>
  <c r="E90" i="25"/>
  <c r="F90" i="25" s="1"/>
  <c r="E91" i="25"/>
  <c r="F91" i="25" s="1"/>
  <c r="E92" i="25"/>
  <c r="F92" i="25" s="1"/>
  <c r="E93" i="25"/>
  <c r="F93" i="25" s="1"/>
  <c r="E94" i="25"/>
  <c r="F94" i="25" s="1"/>
  <c r="E95" i="25"/>
  <c r="F95" i="25" s="1"/>
  <c r="E96" i="25"/>
  <c r="F96" i="25" s="1"/>
  <c r="E78" i="25"/>
  <c r="F78" i="25" s="1"/>
  <c r="D142" i="22"/>
  <c r="D143" i="22"/>
  <c r="D144" i="22"/>
  <c r="D141" i="22"/>
  <c r="F55" i="8"/>
  <c r="F21" i="10"/>
  <c r="F23" i="10" s="1"/>
  <c r="F6" i="26"/>
  <c r="F10" i="26" s="1"/>
  <c r="F12" i="26" s="1"/>
  <c r="F14" i="26" s="1"/>
  <c r="G21" i="10"/>
  <c r="G23" i="10" s="1"/>
  <c r="G6" i="26"/>
  <c r="G10" i="26" s="1"/>
  <c r="G12" i="26" s="1"/>
  <c r="G14" i="26" s="1"/>
  <c r="D21" i="10"/>
  <c r="D23" i="10" s="1"/>
  <c r="D6" i="26"/>
  <c r="D10" i="26" s="1"/>
  <c r="C45" i="25"/>
  <c r="D160" i="8"/>
  <c r="C160" i="8"/>
  <c r="E15" i="10"/>
  <c r="E17" i="10" s="1"/>
  <c r="E34" i="9"/>
  <c r="N98" i="7"/>
  <c r="C154" i="8"/>
  <c r="B37" i="25" s="1"/>
  <c r="F186" i="8"/>
  <c r="E118" i="8"/>
  <c r="E120" i="8" s="1"/>
  <c r="E126" i="8" s="1"/>
  <c r="E128" i="8" s="1"/>
  <c r="O97" i="7" s="1"/>
  <c r="P98" i="7" s="1"/>
  <c r="P99" i="7" s="1"/>
  <c r="F131" i="8" s="1"/>
  <c r="F133" i="8" s="1"/>
  <c r="N99" i="7"/>
  <c r="D131" i="8" s="1"/>
  <c r="D133" i="8" s="1"/>
  <c r="C131" i="8"/>
  <c r="I16" i="11"/>
  <c r="Q98" i="7"/>
  <c r="Q99" i="7" s="1"/>
  <c r="G131" i="8" s="1"/>
  <c r="G133" i="8" s="1"/>
  <c r="H58" i="8"/>
  <c r="H59" i="8"/>
  <c r="D161" i="8"/>
  <c r="D58" i="8"/>
  <c r="D59" i="8"/>
  <c r="E25" i="8"/>
  <c r="E154" i="8" s="1"/>
  <c r="D37" i="25" s="1"/>
  <c r="E50" i="8"/>
  <c r="E55" i="8" s="1"/>
  <c r="E26" i="8"/>
  <c r="E155" i="8" s="1"/>
  <c r="D38" i="25" s="1"/>
  <c r="D44" i="25" s="1"/>
  <c r="C133" i="8" l="1"/>
  <c r="B5" i="23" s="1"/>
  <c r="C13" i="30"/>
  <c r="C38" i="9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F72" i="25" s="1"/>
  <c r="D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66" i="25"/>
  <c r="E67" i="25"/>
  <c r="E68" i="25"/>
  <c r="E69" i="25"/>
  <c r="E70" i="25"/>
  <c r="E71" i="25"/>
  <c r="E52" i="25"/>
  <c r="B6" i="23"/>
  <c r="F168" i="8"/>
  <c r="C140" i="22"/>
  <c r="D12" i="26"/>
  <c r="D14" i="26" s="1"/>
  <c r="B45" i="25"/>
  <c r="F58" i="8"/>
  <c r="F59" i="8"/>
  <c r="F56" i="8"/>
  <c r="E56" i="8"/>
  <c r="E21" i="10"/>
  <c r="E23" i="10" s="1"/>
  <c r="E6" i="26"/>
  <c r="E10" i="26" s="1"/>
  <c r="E12" i="26" s="1"/>
  <c r="E14" i="26" s="1"/>
  <c r="D45" i="25"/>
  <c r="E160" i="8"/>
  <c r="G138" i="8"/>
  <c r="F5" i="23"/>
  <c r="F138" i="8"/>
  <c r="E5" i="23"/>
  <c r="C138" i="8"/>
  <c r="C142" i="8" s="1"/>
  <c r="C17" i="27"/>
  <c r="D138" i="8"/>
  <c r="C5" i="23"/>
  <c r="F167" i="8"/>
  <c r="O99" i="7"/>
  <c r="E131" i="8" s="1"/>
  <c r="E166" i="8"/>
  <c r="E181" i="8"/>
  <c r="E182" i="8"/>
  <c r="E176" i="8"/>
  <c r="E172" i="8"/>
  <c r="E186" i="8"/>
  <c r="E174" i="8"/>
  <c r="E183" i="8"/>
  <c r="E173" i="8"/>
  <c r="E167" i="8"/>
  <c r="G167" i="8" s="1"/>
  <c r="E185" i="8"/>
  <c r="E179" i="8"/>
  <c r="E175" i="8"/>
  <c r="E171" i="8"/>
  <c r="E169" i="8"/>
  <c r="E184" i="8"/>
  <c r="E178" i="8"/>
  <c r="E170" i="8"/>
  <c r="E180" i="8"/>
  <c r="E177" i="8"/>
  <c r="E168" i="8"/>
  <c r="C161" i="8"/>
  <c r="C140" i="8"/>
  <c r="C13" i="9" s="1"/>
  <c r="E161" i="8"/>
  <c r="E59" i="8"/>
  <c r="E58" i="8"/>
  <c r="F166" i="8"/>
  <c r="G166" i="8" s="1"/>
  <c r="G168" i="8"/>
  <c r="F169" i="8"/>
  <c r="F170" i="8"/>
  <c r="F171" i="8"/>
  <c r="F172" i="8"/>
  <c r="G172" i="8" s="1"/>
  <c r="F173" i="8"/>
  <c r="F174" i="8"/>
  <c r="F175" i="8"/>
  <c r="G175" i="8" s="1"/>
  <c r="F176" i="8"/>
  <c r="G176" i="8" s="1"/>
  <c r="F177" i="8"/>
  <c r="G177" i="8" s="1"/>
  <c r="F178" i="8"/>
  <c r="F179" i="8"/>
  <c r="G179" i="8" s="1"/>
  <c r="F180" i="8"/>
  <c r="F182" i="8"/>
  <c r="F183" i="8"/>
  <c r="G183" i="8" s="1"/>
  <c r="F184" i="8"/>
  <c r="G184" i="8" s="1"/>
  <c r="F185" i="8"/>
  <c r="F181" i="8"/>
  <c r="G142" i="8"/>
  <c r="G140" i="8"/>
  <c r="F142" i="8"/>
  <c r="H8" i="12" s="1"/>
  <c r="F140" i="8"/>
  <c r="D13" i="9" l="1"/>
  <c r="C10" i="29"/>
  <c r="C9" i="9"/>
  <c r="D17" i="11"/>
  <c r="C14" i="9"/>
  <c r="E133" i="8"/>
  <c r="E13" i="9"/>
  <c r="F13" i="9" s="1"/>
  <c r="G13" i="9" s="1"/>
  <c r="E10" i="29"/>
  <c r="F10" i="29"/>
  <c r="F52" i="25"/>
  <c r="F71" i="25"/>
  <c r="F70" i="25"/>
  <c r="F69" i="25"/>
  <c r="F68" i="25"/>
  <c r="F67" i="25"/>
  <c r="F66" i="25"/>
  <c r="F65" i="25"/>
  <c r="F64" i="25"/>
  <c r="F63" i="25"/>
  <c r="F62" i="25"/>
  <c r="F61" i="25"/>
  <c r="F60" i="25"/>
  <c r="F59" i="25"/>
  <c r="F58" i="25"/>
  <c r="F57" i="25"/>
  <c r="F56" i="25"/>
  <c r="F55" i="25"/>
  <c r="F54" i="25"/>
  <c r="F53" i="25"/>
  <c r="B11" i="23"/>
  <c r="G170" i="8"/>
  <c r="G186" i="8"/>
  <c r="D140" i="22"/>
  <c r="G140" i="22" s="1"/>
  <c r="B18" i="26"/>
  <c r="B22" i="27"/>
  <c r="B24" i="27" s="1"/>
  <c r="D5" i="30"/>
  <c r="C6" i="23"/>
  <c r="D17" i="27"/>
  <c r="E6" i="23"/>
  <c r="E11" i="23" s="1"/>
  <c r="F17" i="27"/>
  <c r="F6" i="23"/>
  <c r="F11" i="23" s="1"/>
  <c r="G17" i="27"/>
  <c r="B12" i="30"/>
  <c r="L25" i="30" s="1"/>
  <c r="H17" i="11"/>
  <c r="F9" i="9"/>
  <c r="F15" i="9" s="1"/>
  <c r="F14" i="9"/>
  <c r="E138" i="8"/>
  <c r="D5" i="23"/>
  <c r="G5" i="23" s="1"/>
  <c r="D142" i="8"/>
  <c r="D140" i="8"/>
  <c r="G178" i="8"/>
  <c r="G173" i="8"/>
  <c r="G181" i="8"/>
  <c r="G174" i="8"/>
  <c r="G182" i="8"/>
  <c r="G185" i="8"/>
  <c r="G180" i="8"/>
  <c r="G169" i="8"/>
  <c r="G171" i="8"/>
  <c r="E142" i="8"/>
  <c r="E140" i="8"/>
  <c r="C143" i="8"/>
  <c r="H5" i="12"/>
  <c r="F143" i="8"/>
  <c r="E8" i="12" s="1"/>
  <c r="H9" i="12"/>
  <c r="G143" i="8"/>
  <c r="E9" i="12" s="1"/>
  <c r="E9" i="9"/>
  <c r="E15" i="9" s="1"/>
  <c r="F17" i="11"/>
  <c r="E14" i="9"/>
  <c r="G17" i="11"/>
  <c r="G9" i="9" l="1"/>
  <c r="G15" i="9" s="1"/>
  <c r="G24" i="9" s="1"/>
  <c r="G16" i="27" s="1"/>
  <c r="G14" i="9"/>
  <c r="G10" i="29"/>
  <c r="C15" i="9"/>
  <c r="C24" i="9" s="1"/>
  <c r="C16" i="27" s="1"/>
  <c r="C6" i="30" s="1"/>
  <c r="C14" i="25"/>
  <c r="D10" i="29"/>
  <c r="D9" i="9"/>
  <c r="D15" i="9" s="1"/>
  <c r="D14" i="9"/>
  <c r="E17" i="11"/>
  <c r="F13" i="23"/>
  <c r="F14" i="23" s="1"/>
  <c r="F12" i="23"/>
  <c r="E13" i="23"/>
  <c r="E14" i="23" s="1"/>
  <c r="E12" i="23"/>
  <c r="E9" i="30" s="1"/>
  <c r="C11" i="23"/>
  <c r="B13" i="23"/>
  <c r="B14" i="23" s="1"/>
  <c r="B12" i="23"/>
  <c r="B15" i="23"/>
  <c r="C33" i="29" s="1"/>
  <c r="D34" i="29" s="1"/>
  <c r="C16" i="26"/>
  <c r="B19" i="26"/>
  <c r="H10" i="30"/>
  <c r="F15" i="23"/>
  <c r="G33" i="29" s="1"/>
  <c r="H9" i="30"/>
  <c r="E15" i="23"/>
  <c r="F33" i="29" s="1"/>
  <c r="H7" i="30"/>
  <c r="C18" i="26"/>
  <c r="D6" i="23"/>
  <c r="G6" i="23" s="1"/>
  <c r="E17" i="27"/>
  <c r="H17" i="27"/>
  <c r="G20" i="27"/>
  <c r="E10" i="30"/>
  <c r="F20" i="27"/>
  <c r="F10" i="30"/>
  <c r="G18" i="27"/>
  <c r="F9" i="30"/>
  <c r="F18" i="27"/>
  <c r="C9" i="30"/>
  <c r="H6" i="12"/>
  <c r="D143" i="8"/>
  <c r="F211" i="8"/>
  <c r="E143" i="8"/>
  <c r="H7" i="12"/>
  <c r="F144" i="8"/>
  <c r="F8" i="12" s="1"/>
  <c r="G144" i="8"/>
  <c r="F9" i="12" s="1"/>
  <c r="F198" i="8"/>
  <c r="G198" i="8" s="1"/>
  <c r="F194" i="8"/>
  <c r="G194" i="8" s="1"/>
  <c r="E5" i="12"/>
  <c r="C144" i="8"/>
  <c r="C146" i="8" s="1"/>
  <c r="C147" i="8" s="1"/>
  <c r="I17" i="11"/>
  <c r="F24" i="9"/>
  <c r="F16" i="27" s="1"/>
  <c r="F205" i="8"/>
  <c r="G205" i="8" s="1"/>
  <c r="F195" i="8"/>
  <c r="G195" i="8" s="1"/>
  <c r="F196" i="8"/>
  <c r="G196" i="8" s="1"/>
  <c r="F208" i="8"/>
  <c r="G208" i="8" s="1"/>
  <c r="F204" i="8"/>
  <c r="G204" i="8" s="1"/>
  <c r="F191" i="8"/>
  <c r="G191" i="8" s="1"/>
  <c r="F201" i="8"/>
  <c r="G201" i="8" s="1"/>
  <c r="F192" i="8"/>
  <c r="G192" i="8" s="1"/>
  <c r="F206" i="8"/>
  <c r="G206" i="8" s="1"/>
  <c r="F203" i="8"/>
  <c r="G203" i="8" s="1"/>
  <c r="F197" i="8"/>
  <c r="G197" i="8" s="1"/>
  <c r="F207" i="8"/>
  <c r="G207" i="8" s="1"/>
  <c r="F202" i="8"/>
  <c r="G202" i="8" s="1"/>
  <c r="F193" i="8"/>
  <c r="G193" i="8" s="1"/>
  <c r="F200" i="8"/>
  <c r="G200" i="8" s="1"/>
  <c r="F210" i="8"/>
  <c r="G210" i="8" s="1"/>
  <c r="F199" i="8"/>
  <c r="G199" i="8" s="1"/>
  <c r="F209" i="8"/>
  <c r="G209" i="8" s="1"/>
  <c r="G211" i="8"/>
  <c r="D24" i="9" l="1"/>
  <c r="D16" i="27" s="1"/>
  <c r="C7" i="30" s="1"/>
  <c r="E24" i="9"/>
  <c r="E16" i="27" s="1"/>
  <c r="D14" i="25"/>
  <c r="C15" i="25"/>
  <c r="C8" i="30"/>
  <c r="C19" i="25"/>
  <c r="C20" i="25" s="1"/>
  <c r="C23" i="25" s="1"/>
  <c r="C13" i="23"/>
  <c r="C14" i="23" s="1"/>
  <c r="C12" i="23"/>
  <c r="C142" i="22"/>
  <c r="G142" i="22" s="1"/>
  <c r="C143" i="22"/>
  <c r="G143" i="22" s="1"/>
  <c r="C144" i="22"/>
  <c r="G144" i="22" s="1"/>
  <c r="C141" i="22"/>
  <c r="G141" i="22" s="1"/>
  <c r="C19" i="26"/>
  <c r="B11" i="29" s="1"/>
  <c r="C21" i="26"/>
  <c r="K6" i="30"/>
  <c r="C11" i="27"/>
  <c r="B23" i="29" s="1"/>
  <c r="B12" i="29" s="1"/>
  <c r="D16" i="26"/>
  <c r="D11" i="23"/>
  <c r="H16" i="27"/>
  <c r="F6" i="30"/>
  <c r="C18" i="27"/>
  <c r="H6" i="30"/>
  <c r="C20" i="27"/>
  <c r="E6" i="12"/>
  <c r="D144" i="8"/>
  <c r="G146" i="8"/>
  <c r="F146" i="8"/>
  <c r="E7" i="12"/>
  <c r="E11" i="12" s="1"/>
  <c r="E144" i="8"/>
  <c r="H11" i="12"/>
  <c r="F5" i="12"/>
  <c r="C19" i="9"/>
  <c r="D15" i="25" l="1"/>
  <c r="C22" i="25"/>
  <c r="D22" i="25" s="1"/>
  <c r="D13" i="23"/>
  <c r="D14" i="23" s="1"/>
  <c r="D12" i="23"/>
  <c r="G11" i="23"/>
  <c r="C15" i="23"/>
  <c r="D33" i="29" s="1"/>
  <c r="E34" i="29" s="1"/>
  <c r="E7" i="30"/>
  <c r="D20" i="27"/>
  <c r="G12" i="23"/>
  <c r="F7" i="30"/>
  <c r="D18" i="27"/>
  <c r="G14" i="23"/>
  <c r="B5" i="29"/>
  <c r="B24" i="29" s="1"/>
  <c r="H8" i="30"/>
  <c r="G5" i="30"/>
  <c r="M5" i="30" s="1"/>
  <c r="E6" i="30"/>
  <c r="C24" i="27"/>
  <c r="G6" i="30"/>
  <c r="H12" i="30"/>
  <c r="L6" i="30"/>
  <c r="D19" i="25"/>
  <c r="C10" i="30"/>
  <c r="F6" i="12"/>
  <c r="D146" i="8"/>
  <c r="G147" i="8"/>
  <c r="G19" i="9" s="1"/>
  <c r="G150" i="8"/>
  <c r="G152" i="8" s="1"/>
  <c r="F150" i="8"/>
  <c r="F152" i="8" s="1"/>
  <c r="F147" i="8"/>
  <c r="F19" i="9" s="1"/>
  <c r="F7" i="12"/>
  <c r="F11" i="12" s="1"/>
  <c r="H13" i="12" s="1"/>
  <c r="E146" i="8"/>
  <c r="C150" i="8"/>
  <c r="C152" i="8" s="1"/>
  <c r="M6" i="30" l="1"/>
  <c r="B29" i="30"/>
  <c r="C29" i="30" s="1"/>
  <c r="G13" i="23"/>
  <c r="D15" i="23"/>
  <c r="F8" i="30"/>
  <c r="E18" i="27"/>
  <c r="E20" i="27"/>
  <c r="E8" i="30"/>
  <c r="E12" i="30" s="1"/>
  <c r="C12" i="30"/>
  <c r="L27" i="30" s="1"/>
  <c r="N5" i="30"/>
  <c r="C26" i="25"/>
  <c r="D20" i="25"/>
  <c r="D147" i="8"/>
  <c r="D19" i="9" s="1"/>
  <c r="D150" i="8"/>
  <c r="D152" i="8" s="1"/>
  <c r="C22" i="9"/>
  <c r="C25" i="9" s="1"/>
  <c r="C36" i="9" s="1"/>
  <c r="F22" i="9"/>
  <c r="G18" i="11"/>
  <c r="G22" i="9"/>
  <c r="H18" i="11"/>
  <c r="E150" i="8"/>
  <c r="E152" i="8" s="1"/>
  <c r="E147" i="8"/>
  <c r="E19" i="9" s="1"/>
  <c r="H18" i="27" l="1"/>
  <c r="G15" i="23"/>
  <c r="E33" i="29"/>
  <c r="F34" i="29" s="1"/>
  <c r="G34" i="29" s="1"/>
  <c r="C27" i="25"/>
  <c r="C31" i="25" s="1"/>
  <c r="F12" i="30"/>
  <c r="D31" i="30"/>
  <c r="H20" i="27"/>
  <c r="N6" i="30"/>
  <c r="D23" i="25"/>
  <c r="D22" i="9"/>
  <c r="D25" i="9" s="1"/>
  <c r="D36" i="9" s="1"/>
  <c r="E18" i="11"/>
  <c r="E22" i="9"/>
  <c r="F25" i="9" s="1"/>
  <c r="F36" i="9" s="1"/>
  <c r="F18" i="11"/>
  <c r="H22" i="11"/>
  <c r="H23" i="11" s="1"/>
  <c r="G17" i="26" s="1"/>
  <c r="G22" i="11"/>
  <c r="G23" i="11" s="1"/>
  <c r="F17" i="26" s="1"/>
  <c r="C8" i="12"/>
  <c r="G25" i="9"/>
  <c r="G36" i="9" s="1"/>
  <c r="I12" i="11"/>
  <c r="D18" i="11"/>
  <c r="H25" i="11" l="1"/>
  <c r="G25" i="11"/>
  <c r="E25" i="9"/>
  <c r="E36" i="9" s="1"/>
  <c r="B25" i="30"/>
  <c r="C25" i="30" s="1"/>
  <c r="C31" i="30" s="1"/>
  <c r="C32" i="29"/>
  <c r="D32" i="29" s="1"/>
  <c r="E32" i="29" s="1"/>
  <c r="D31" i="25"/>
  <c r="D34" i="30"/>
  <c r="B6" i="21"/>
  <c r="C32" i="25"/>
  <c r="D26" i="25"/>
  <c r="C6" i="12"/>
  <c r="E22" i="11"/>
  <c r="E23" i="11" s="1"/>
  <c r="D17" i="26" s="1"/>
  <c r="C5" i="12"/>
  <c r="D22" i="11"/>
  <c r="D23" i="11" s="1"/>
  <c r="D8" i="12"/>
  <c r="G8" i="12" s="1"/>
  <c r="F26" i="10"/>
  <c r="F22" i="27" s="1"/>
  <c r="F24" i="27" s="1"/>
  <c r="D9" i="12"/>
  <c r="G26" i="10"/>
  <c r="G22" i="27" s="1"/>
  <c r="G24" i="27" s="1"/>
  <c r="I18" i="11"/>
  <c r="C9" i="12" s="1"/>
  <c r="F22" i="11"/>
  <c r="F23" i="11" s="1"/>
  <c r="E17" i="26" s="1"/>
  <c r="C7" i="12"/>
  <c r="G9" i="12" l="1"/>
  <c r="E25" i="11"/>
  <c r="F25" i="11"/>
  <c r="F32" i="29"/>
  <c r="E31" i="29"/>
  <c r="D31" i="29"/>
  <c r="D35" i="29" s="1"/>
  <c r="D18" i="26"/>
  <c r="D19" i="26" s="1"/>
  <c r="F6" i="21"/>
  <c r="D27" i="25"/>
  <c r="E30" i="25" s="1"/>
  <c r="D10" i="30"/>
  <c r="G10" i="30" s="1"/>
  <c r="D9" i="30"/>
  <c r="G9" i="30" s="1"/>
  <c r="D6" i="12"/>
  <c r="G6" i="12" s="1"/>
  <c r="D26" i="10"/>
  <c r="C26" i="10"/>
  <c r="C27" i="10" s="1"/>
  <c r="C28" i="10" s="1"/>
  <c r="C30" i="10" s="1"/>
  <c r="B7" i="21"/>
  <c r="E5" i="21" s="1"/>
  <c r="E26" i="10"/>
  <c r="E22" i="27" s="1"/>
  <c r="E24" i="27" s="1"/>
  <c r="D7" i="12"/>
  <c r="G7" i="12" s="1"/>
  <c r="I22" i="11"/>
  <c r="C11" i="12"/>
  <c r="E16" i="26" l="1"/>
  <c r="E18" i="26" s="1"/>
  <c r="G32" i="29"/>
  <c r="G31" i="29" s="1"/>
  <c r="G35" i="29" s="1"/>
  <c r="F31" i="29"/>
  <c r="E6" i="21"/>
  <c r="E8" i="21" s="1"/>
  <c r="D21" i="26"/>
  <c r="C11" i="29"/>
  <c r="B8" i="21"/>
  <c r="C5" i="21" s="1"/>
  <c r="D22" i="27"/>
  <c r="D24" i="27" s="1"/>
  <c r="D8" i="30"/>
  <c r="G8" i="30" s="1"/>
  <c r="D7" i="30"/>
  <c r="C7" i="27"/>
  <c r="D5" i="12"/>
  <c r="I23" i="11"/>
  <c r="D25" i="11"/>
  <c r="I25" i="11" s="1"/>
  <c r="G5" i="21" l="1"/>
  <c r="G6" i="21"/>
  <c r="C7" i="21"/>
  <c r="G7" i="21" s="1"/>
  <c r="F16" i="26"/>
  <c r="E19" i="26"/>
  <c r="E21" i="26" s="1"/>
  <c r="C6" i="21"/>
  <c r="H22" i="27"/>
  <c r="H24" i="27" s="1"/>
  <c r="B10" i="21"/>
  <c r="D12" i="30"/>
  <c r="G7" i="30"/>
  <c r="D11" i="12"/>
  <c r="G5" i="12"/>
  <c r="G8" i="21" l="1"/>
  <c r="D11" i="29"/>
  <c r="F18" i="26"/>
  <c r="G16" i="26" s="1"/>
  <c r="G18" i="26" s="1"/>
  <c r="G12" i="30"/>
  <c r="C8" i="21"/>
  <c r="G11" i="12"/>
  <c r="D25" i="10"/>
  <c r="D27" i="10" s="1"/>
  <c r="D28" i="10" s="1"/>
  <c r="G19" i="26" l="1"/>
  <c r="G21" i="26" s="1"/>
  <c r="F19" i="26"/>
  <c r="D11" i="27"/>
  <c r="K7" i="30"/>
  <c r="J5" i="12"/>
  <c r="D30" i="10"/>
  <c r="J6" i="12"/>
  <c r="K6" i="12" s="1"/>
  <c r="L6" i="12" s="1"/>
  <c r="E25" i="10"/>
  <c r="F11" i="29" l="1"/>
  <c r="E11" i="29"/>
  <c r="F21" i="26"/>
  <c r="E27" i="10"/>
  <c r="F25" i="10" s="1"/>
  <c r="L7" i="30"/>
  <c r="K5" i="12"/>
  <c r="F27" i="10" l="1"/>
  <c r="G25" i="10" s="1"/>
  <c r="M7" i="30"/>
  <c r="E28" i="10"/>
  <c r="L5" i="12"/>
  <c r="G27" i="10" l="1"/>
  <c r="E30" i="10"/>
  <c r="J7" i="12"/>
  <c r="K7" i="12" s="1"/>
  <c r="L7" i="12" s="1"/>
  <c r="N7" i="30"/>
  <c r="F28" i="10"/>
  <c r="M5" i="12"/>
  <c r="F30" i="10" l="1"/>
  <c r="J8" i="12"/>
  <c r="K8" i="30"/>
  <c r="E11" i="27"/>
  <c r="G28" i="10"/>
  <c r="D14" i="12"/>
  <c r="M6" i="12"/>
  <c r="M7" i="12" s="1"/>
  <c r="G30" i="10" l="1"/>
  <c r="J9" i="12"/>
  <c r="K9" i="12" s="1"/>
  <c r="L9" i="12" s="1"/>
  <c r="L8" i="30"/>
  <c r="K8" i="12"/>
  <c r="K9" i="30"/>
  <c r="F11" i="27"/>
  <c r="J11" i="12" l="1"/>
  <c r="M19" i="12" s="1"/>
  <c r="L9" i="30"/>
  <c r="M9" i="30" s="1"/>
  <c r="L8" i="12"/>
  <c r="K11" i="12"/>
  <c r="M8" i="30"/>
  <c r="K10" i="30"/>
  <c r="G11" i="27"/>
  <c r="H11" i="27" s="1"/>
  <c r="F8" i="21"/>
  <c r="C8" i="27"/>
  <c r="H8" i="27" s="1"/>
  <c r="C12" i="27"/>
  <c r="C26" i="27" s="1"/>
  <c r="C29" i="27"/>
  <c r="D6" i="27" s="1"/>
  <c r="D29" i="25"/>
  <c r="E29" i="25" s="1"/>
  <c r="C30" i="27" l="1"/>
  <c r="C8" i="29"/>
  <c r="L10" i="30"/>
  <c r="K12" i="30"/>
  <c r="L26" i="30" s="1"/>
  <c r="N8" i="30"/>
  <c r="L11" i="12"/>
  <c r="D15" i="12"/>
  <c r="M8" i="12"/>
  <c r="M9" i="12" s="1"/>
  <c r="N9" i="30"/>
  <c r="C5" i="29" l="1"/>
  <c r="C24" i="29" s="1"/>
  <c r="D13" i="12"/>
  <c r="M21" i="12"/>
  <c r="M10" i="30"/>
  <c r="L12" i="30"/>
  <c r="D12" i="27"/>
  <c r="E25" i="30"/>
  <c r="D17" i="30" l="1"/>
  <c r="D26" i="27"/>
  <c r="D16" i="30"/>
  <c r="M12" i="30"/>
  <c r="N10" i="30"/>
  <c r="D15" i="30" s="1"/>
  <c r="F25" i="30"/>
  <c r="D29" i="27" l="1"/>
  <c r="N12" i="30"/>
  <c r="D14" i="30"/>
  <c r="L28" i="30"/>
  <c r="E6" i="27"/>
  <c r="G25" i="30"/>
  <c r="D30" i="27" l="1"/>
  <c r="E26" i="30" s="1"/>
  <c r="D8" i="29"/>
  <c r="D5" i="29" s="1"/>
  <c r="D24" i="29" s="1"/>
  <c r="E12" i="27"/>
  <c r="E26" i="27" s="1"/>
  <c r="E29" i="27" l="1"/>
  <c r="F26" i="30"/>
  <c r="G26" i="30" s="1"/>
  <c r="E8" i="29" l="1"/>
  <c r="E5" i="29" s="1"/>
  <c r="E24" i="29" s="1"/>
  <c r="F6" i="27"/>
  <c r="E30" i="27"/>
  <c r="E27" i="30" l="1"/>
  <c r="F12" i="27"/>
  <c r="F26" i="27" s="1"/>
  <c r="F29" i="27" l="1"/>
  <c r="F27" i="30"/>
  <c r="F8" i="29" l="1"/>
  <c r="F5" i="29" s="1"/>
  <c r="F24" i="29" s="1"/>
  <c r="G6" i="27"/>
  <c r="G27" i="30"/>
  <c r="F30" i="27"/>
  <c r="E28" i="30" l="1"/>
  <c r="F28" i="30" l="1"/>
  <c r="G28" i="30" l="1"/>
  <c r="C44" i="21" l="1"/>
  <c r="E42" i="21"/>
  <c r="E43" i="21"/>
  <c r="E44" i="21" s="1"/>
  <c r="D32" i="25"/>
  <c r="E32" i="25" s="1"/>
  <c r="D40" i="29"/>
  <c r="D38" i="29"/>
  <c r="B31" i="30"/>
  <c r="C34" i="25"/>
  <c r="B34" i="25"/>
  <c r="B7" i="27"/>
  <c r="B31" i="29"/>
  <c r="B35" i="29" s="1"/>
  <c r="B38" i="29"/>
  <c r="B40" i="29" l="1"/>
  <c r="H7" i="27"/>
  <c r="B12" i="27"/>
  <c r="F35" i="29"/>
  <c r="F38" i="29" s="1"/>
  <c r="E35" i="29"/>
  <c r="C31" i="29"/>
  <c r="C35" i="29" s="1"/>
  <c r="E31" i="25"/>
  <c r="C40" i="29" l="1"/>
  <c r="C38" i="29"/>
  <c r="E40" i="29"/>
  <c r="E38" i="29"/>
  <c r="F40" i="29"/>
  <c r="H24" i="30"/>
  <c r="H25" i="30" l="1"/>
  <c r="H26" i="30" s="1"/>
  <c r="H27" i="30" s="1"/>
  <c r="H28" i="30" s="1"/>
  <c r="H6" i="27"/>
  <c r="H12" i="27" s="1"/>
  <c r="G12" i="27"/>
  <c r="G26" i="27" s="1"/>
  <c r="H26" i="27" s="1"/>
  <c r="G29" i="27" l="1"/>
  <c r="G30" i="27" s="1"/>
  <c r="H30" i="27" s="1"/>
  <c r="G8" i="29" l="1"/>
  <c r="G5" i="29" s="1"/>
  <c r="G24" i="29" s="1"/>
  <c r="L36" i="30" s="1"/>
  <c r="H29" i="27"/>
  <c r="E29" i="30"/>
  <c r="F29" i="30" s="1"/>
  <c r="G38" i="29" l="1"/>
  <c r="E31" i="30"/>
  <c r="G40" i="29"/>
  <c r="F31" i="30"/>
  <c r="G29" i="30"/>
  <c r="D37" i="30" l="1"/>
  <c r="H29" i="30"/>
  <c r="G31" i="30"/>
  <c r="D36" i="30"/>
  <c r="L34" i="30" l="1"/>
  <c r="L31" i="30"/>
  <c r="L30" i="30"/>
  <c r="L33" i="30"/>
  <c r="L32" i="30"/>
  <c r="D35" i="30"/>
  <c r="H31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tc={C6A36AB6-6A97-4294-AB33-D56732A9E410}</author>
  </authors>
  <commentList>
    <comment ref="D4" authorId="0" shapeId="0" xr:uid="{C6A36AB6-6A97-4294-AB33-D56732A9E41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Sale del técnico (ej 6 a 11)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tc={F3C2F626-B91D-4F46-B9B2-2311D736F6CB}</author>
    <author>tc={42141B42-B524-413F-9B65-A83336A63F0D}</author>
    <author>tc={F7BD38D8-FDBD-4B4D-941D-8F26CAD1CF6B}</author>
  </authors>
  <commentList>
    <comment ref="D72" authorId="0" shapeId="0" xr:uid="{F3C2F626-B91D-4F46-B9B2-2311D736F6C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porcentajes salen de práctica dada por catedra</t>
      </text>
    </comment>
    <comment ref="D82" authorId="1" shapeId="0" xr:uid="{42141B42-B524-413F-9B65-A83336A63F0D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datos optenidos del  ejercicio 19- I4DT1 EJERCICIOS DE APLICADION
</t>
      </text>
    </comment>
    <comment ref="E87" authorId="2" shapeId="0" xr:uid="{F7BD38D8-FDBD-4B4D-941D-8F26CAD1CF6B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Estos porcentaje es obtenido del ejercicio 14 de amortización 
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tc={7F9A97BA-A8C5-464C-8897-6213A3A75426}</author>
  </authors>
  <commentList>
    <comment ref="A24" authorId="0" shapeId="0" xr:uid="{7F9A97BA-A8C5-464C-8897-6213A3A7542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ACTIVO TOTAL=PASIVO+PATRIMONIO NETO</t>
      </text>
    </comment>
  </commentList>
</comments>
</file>

<file path=xl/sharedStrings.xml><?xml version="1.0" encoding="utf-8"?>
<sst xmlns="http://schemas.openxmlformats.org/spreadsheetml/2006/main" count="2012" uniqueCount="1111">
  <si>
    <t>Plan de Ventas (Dim Comercial)</t>
  </si>
  <si>
    <t xml:space="preserve">Año </t>
  </si>
  <si>
    <t>Año 1</t>
  </si>
  <si>
    <t>Año 2</t>
  </si>
  <si>
    <t>Año 3</t>
  </si>
  <si>
    <t>Año 4</t>
  </si>
  <si>
    <t>Año 5</t>
  </si>
  <si>
    <t>Cantidad [Tn]</t>
  </si>
  <si>
    <t>Peso c/bobina</t>
  </si>
  <si>
    <t>Cantidad [u]</t>
  </si>
  <si>
    <t>Peso c/bobina [KG)</t>
  </si>
  <si>
    <t>Precio de venta [$/kg]</t>
  </si>
  <si>
    <t xml:space="preserve">Ingreso Total </t>
  </si>
  <si>
    <t xml:space="preserve">Cuadro evolucion mercaderia </t>
  </si>
  <si>
    <t>Año 0</t>
  </si>
  <si>
    <t xml:space="preserve">Año 1 </t>
  </si>
  <si>
    <t>Año 2 a 5</t>
  </si>
  <si>
    <t>unidades</t>
  </si>
  <si>
    <t>Dólar septiembre 2022</t>
  </si>
  <si>
    <t>Ventas</t>
  </si>
  <si>
    <t>kg</t>
  </si>
  <si>
    <t xml:space="preserve">Fuente: </t>
  </si>
  <si>
    <t>https://dolarhoy.com/cotizacion-dolar-banco-nacion</t>
  </si>
  <si>
    <t>Stock promedio de elaborados</t>
  </si>
  <si>
    <t xml:space="preserve">Se tomará para los cálculos el promedio entre compra y venta </t>
  </si>
  <si>
    <t>Producción</t>
  </si>
  <si>
    <t>Compra:</t>
  </si>
  <si>
    <t>$</t>
  </si>
  <si>
    <t>Mermas y desperdicios</t>
  </si>
  <si>
    <t>Venta:</t>
  </si>
  <si>
    <t>Mercadería en proceso</t>
  </si>
  <si>
    <t>en curso y semi elab</t>
  </si>
  <si>
    <t>Promedio:</t>
  </si>
  <si>
    <t>Consumo de materias primas</t>
  </si>
  <si>
    <t>Stock promedio de materias primas</t>
  </si>
  <si>
    <t xml:space="preserve">Tasa de crédito Bancario Banco Nación </t>
  </si>
  <si>
    <t>Compras de materias primas</t>
  </si>
  <si>
    <t>https://www.bice.com.ar/productos/linea-pymes/</t>
  </si>
  <si>
    <t>Transformación kg a un.</t>
  </si>
  <si>
    <t>un</t>
  </si>
  <si>
    <t xml:space="preserve">cuadro evolucion de bobinas </t>
  </si>
  <si>
    <t>Tasa</t>
  </si>
  <si>
    <t>%</t>
  </si>
  <si>
    <t>%MCySE año 1</t>
  </si>
  <si>
    <t>Porcentaje a financiar</t>
  </si>
  <si>
    <t>unidad de bobina de hilo de 4kg</t>
  </si>
  <si>
    <t xml:space="preserve">Gastos bancarios </t>
  </si>
  <si>
    <t>Perimetro de planta</t>
  </si>
  <si>
    <t>mtrs</t>
  </si>
  <si>
    <t>Calculo a partir de Lay Out</t>
  </si>
  <si>
    <t>Meses</t>
  </si>
  <si>
    <t>Horas por dia</t>
  </si>
  <si>
    <t>dias habiles</t>
  </si>
  <si>
    <t>Horas totales</t>
  </si>
  <si>
    <t>Periodo de instalación industrial</t>
  </si>
  <si>
    <t>un de 250 gr</t>
  </si>
  <si>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</si>
  <si>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</si>
  <si>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</si>
  <si>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rgb="FFFFFFFF"/>
        <rFont val="Arial"/>
        <family val="2"/>
      </rPr>
      <t xml:space="preserve">1. TODAS las celdas que tomen datos de otra parte del archivo deben estar linkeadas con una </t>
    </r>
    <r>
      <rPr>
        <b/>
        <sz val="10"/>
        <color rgb="FFFFFFFF"/>
        <rFont val="Arial"/>
        <family val="2"/>
      </rPr>
      <t>FÓRMULA</t>
    </r>
    <r>
      <rPr>
        <sz val="10"/>
        <color rgb="FFFFFFFF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</si>
  <si>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</si>
  <si>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</si>
  <si>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</si>
  <si>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</si>
  <si>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</si>
  <si>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rgb="FFFFFFFF"/>
        <rFont val="Arial"/>
        <family val="2"/>
      </rPr>
      <t>2. TODOS</t>
    </r>
    <r>
      <rPr>
        <sz val="10"/>
        <color rgb="FFFFFFFF"/>
        <rFont val="Arial"/>
        <family val="2"/>
      </rPr>
      <t xml:space="preserve"> los valores que se ingresen al archivo por primera vez deben tener su respectiva referencia o </t>
    </r>
    <r>
      <rPr>
        <b/>
        <sz val="10"/>
        <color rgb="FFFFFFFF"/>
        <rFont val="Arial"/>
        <family val="2"/>
      </rPr>
      <t>FUENTE</t>
    </r>
    <r>
      <rPr>
        <sz val="10"/>
        <color rgb="FFFFFFFF"/>
        <rFont val="Arial"/>
        <family val="2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</si>
  <si>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</si>
  <si>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</si>
  <si>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</si>
  <si>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rgb="FFFFFFFF"/>
        <rFont val="Arial"/>
        <family val="2"/>
      </rPr>
      <t>3.</t>
    </r>
    <r>
      <rPr>
        <sz val="10"/>
        <color rgb="FFFFFFFF"/>
        <rFont val="Arial"/>
        <family val="2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</si>
  <si>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</si>
  <si>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rgb="FFFFFFFF"/>
        <rFont val="Arial"/>
        <family val="2"/>
      </rPr>
      <t>4.</t>
    </r>
    <r>
      <rPr>
        <sz val="10"/>
        <color rgb="FFFFFFFF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</si>
  <si>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</si>
  <si>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</si>
  <si>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rgb="FFFFFFFF"/>
        <rFont val="Arial"/>
        <family val="2"/>
      </rPr>
      <t xml:space="preserve">5. </t>
    </r>
    <r>
      <rPr>
        <sz val="10"/>
        <color rgb="FFFFFFFF"/>
        <rFont val="Arial"/>
        <family val="2"/>
      </rPr>
      <t>El SET "A", “B” y “C” de verificaciones en la hoja “F-Form” debe estar OK antes de la entrega final</t>
    </r>
  </si>
  <si>
    <t>Otros Activos y Cargos Diferidos</t>
  </si>
  <si>
    <t>Imprevistos</t>
  </si>
  <si>
    <t>Nombre del Producto</t>
  </si>
  <si>
    <t>Hilos R-PET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</si>
  <si>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</si>
  <si>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</si>
  <si>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</si>
  <si>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</si>
  <si>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</si>
  <si>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</si>
  <si>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</si>
  <si>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</si>
  <si>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</si>
  <si>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</si>
  <si>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</si>
  <si>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*ver plano de Planta Dim. Físico</t>
  </si>
  <si>
    <t>Periodo de Instalación</t>
  </si>
  <si>
    <t>en meses</t>
  </si>
  <si>
    <t>*ver cronograma de ejecución Dim. Físico</t>
  </si>
  <si>
    <t>Período de Puesta en Marcha</t>
  </si>
  <si>
    <t>Tasa de Cambio</t>
  </si>
  <si>
    <t>$ por cada</t>
  </si>
  <si>
    <t>U$S</t>
  </si>
  <si>
    <t>Tasa de Crédito Bancario</t>
  </si>
  <si>
    <t>anual</t>
  </si>
  <si>
    <t>Rubro a financiar</t>
  </si>
  <si>
    <t>Textil</t>
  </si>
  <si>
    <t>Año 6</t>
  </si>
  <si>
    <t>% sobre el total del Rubro</t>
  </si>
  <si>
    <t>Días de Financiación de Proveedores</t>
  </si>
  <si>
    <t>% sobre Compras</t>
  </si>
  <si>
    <t>Tasa de financiación</t>
  </si>
  <si>
    <t>Maidana</t>
  </si>
  <si>
    <t>BIENES DE USO</t>
  </si>
  <si>
    <t>Edificio y obras complementarias</t>
  </si>
  <si>
    <t>Equipo</t>
  </si>
  <si>
    <t>Cantidad</t>
  </si>
  <si>
    <t>Precio unitario</t>
  </si>
  <si>
    <t>Precio total</t>
  </si>
  <si>
    <t>Referencia</t>
  </si>
  <si>
    <t>Galpón parque industrial. Lote 18, 2154m2</t>
  </si>
  <si>
    <t>https://terreno.mercadolibre.com.ar/MLA-1201627773-ultimo-lote-de-8600m2-en-parque-industrial-en-197-panamericana-_JM#position=1&amp;search_layout=grid&amp;type=item&amp;tracking_id=3282a7a9-e3ac-4b56-b7f2-59d12d40354e</t>
  </si>
  <si>
    <t>Muebles y útiles</t>
  </si>
  <si>
    <t>(Dim. Físico-Listado de Equipos auxiliares, MyU)</t>
  </si>
  <si>
    <t>Denominación</t>
  </si>
  <si>
    <t>Precio [$]</t>
  </si>
  <si>
    <t>Total [$]</t>
  </si>
  <si>
    <t>Fuente</t>
  </si>
  <si>
    <t>Escritorio</t>
  </si>
  <si>
    <t>https://listado.mercadolibre.com.ar/escritorio-de-oficina#D[A:escritorio%20de%20oficina]</t>
  </si>
  <si>
    <t>Silla de escritorio</t>
  </si>
  <si>
    <t>https://desillas.com/producto-2676-sillon-lancaster.html?gclid=Cj0KCQjwhsmaBhCvARIsAIbEbH4MuD7ASmt43CdgDowSvyp9MPxIAppzlQqUzO61EI8ERo9v6WdSVHwaAltnEALw_wcB#12676052</t>
  </si>
  <si>
    <t>Aire acondicionado frio/calor</t>
  </si>
  <si>
    <t>https://www.mercadolibre.com.ar/aire-acondicionado-bgh-split-friocalor-3000-frigorias-blanco-220v-bs35wcat/p/MLA18705457?pdp_filters=category:MLA1644#searchVariation=MLA18705457&amp;position=1&amp;search_layout=stack&amp;type=product&amp;tracking_id=51262458-6bba-4c69-bf07-13fb2da80d18</t>
  </si>
  <si>
    <t>Notebook</t>
  </si>
  <si>
    <t>https://www.musimundo.com/informatica/notebook/notebook-hp-14-dq2029la-intel-core-i5/p/00454005?&amp;utm_source=braindw&amp;utm_medium=g%C3%B3ndola-masvendidos-cateogoria&amp;utm_campaign=g%C3%B3ndola-masvendidos-cateogoria</t>
  </si>
  <si>
    <t>Computadoras</t>
  </si>
  <si>
    <t>https://articulo.mercadolibre.com.ar/MLA-1125288930-computadora-pc-cpu-solarmax-intel-core-i5-16gb-480-ssd-wifi-_JM#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</t>
  </si>
  <si>
    <t>Impresora</t>
  </si>
  <si>
    <t>https://www.mercadolibre.com.ar/impresora-multifuncion-canon-imageclass-mf264dw-con-wifi-negra-120v230v/p/MLA15712570?pdp_filters=category:MLA1676#searchVariation=MLA15712570&amp;position=3&amp;search_layout=stack&amp;type=product&amp;tracking_id=7b9e6bec-57d8-446f-8bc3-a4ad31366a67</t>
  </si>
  <si>
    <t>Armario</t>
  </si>
  <si>
    <t>https://articulo.mercadolibre.com.ar/MLA-776320001-mueble-auxiliar-bajo-oficina-escritorio-ote-muebles-_JM#position=2&amp;search_layout=grid&amp;type=item&amp;tracking_id=0578791d-eb0b-48e2-88db-9723fd138cd3</t>
  </si>
  <si>
    <t>Caja fuerte</t>
  </si>
  <si>
    <t>https://articulo.mercadolibre.com.ar/MLA-611291859-caja-fuerte-digital-llave-tamano-apto-notebook-43x20x37cm-_JM#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</t>
  </si>
  <si>
    <t>Telefono de oficina</t>
  </si>
  <si>
    <t>https://www.mercadolibre.com.ar/telefono-fijo-noblex-nct300-negro/p/MLA7979292#reco_item_pos=0&amp;reco_backend=machinalis-pdp-v2p&amp;reco_backend_type=low_level&amp;reco_client=pdp-v2p&amp;reco_id=14a3901e-a85c-46bb-90ae-509749f0aa93</t>
  </si>
  <si>
    <t>TV</t>
  </si>
  <si>
    <t>https://www.mercadolibre.com.ar/smart-tv-tcl-s60a-series-l32s60a-led-hd-32-100v240v/p/MLA16266563#searchVariation=MLA16266563&amp;position=1&amp;search_layout=stack&amp;type=product&amp;tracking_id=7c9d82e7-eccc-457a-ba45-7cabe5d0d358</t>
  </si>
  <si>
    <t>Heladera</t>
  </si>
  <si>
    <t>https://www.mercadolibre.com.ar/heladera-patrick-hpk135m00b01-blanca-con-freezer-264l-220v/p/MLA17827341?pdp_filters=category:MLA398582#searchVariation=MLA17827341&amp;position=1&amp;search_layout=stack&amp;type=product&amp;tracking_id=cf35afda-f493-4217-b220-7f68514f6bc6</t>
  </si>
  <si>
    <t>Cafetera</t>
  </si>
  <si>
    <t>https://www.mercadolibre.com.ar/cafetera-oster-bvstdc10ss-automatica-negra-220v/p/MLA15589099?pdp_filters=category:MLA4340#searchVariation=MLA15589099&amp;position=1&amp;search_layout=stack&amp;type=product&amp;tracking_id=b6a19907-4e9a-4b34-80d7-41e2ee314e58</t>
  </si>
  <si>
    <t>Horno microondas</t>
  </si>
  <si>
    <t>https://www.mercadolibre.com.ar/microondas-bgh-quick-chef-b120db9-blanco-20l-220v/p/MLA15237032?pdp_filters=category:MLA1577#searchVariation=MLA15237032&amp;position=2&amp;search_layout=grid&amp;type=product&amp;tracking_id=dada3120-26c1-48df-a83d-22f4b113ad10</t>
  </si>
  <si>
    <t>Fax</t>
  </si>
  <si>
    <t>https://articulo.mercadolibre.com.ar/MLA-761587527-telefono-fax-panasonic-kx-tf982-caller-id-en-stock-ya-_JM?matt_tool=13046721&amp;matt_word=&amp;matt_source=google&amp;matt_campaign_id=14508409574&amp;matt_ad_group_id=124055982182&amp;matt_match_type=&amp;matt_network=g&amp;matt_device=c&amp;matt_creative=543251949507&amp;matt_keyword=&amp;matt_ad_position=&amp;matt_ad_type=pla&amp;matt_merchant_id=243808153&amp;matt_product_id=MLA761587527&amp;matt_product_partition_id=1636123262574&amp;matt_target_id=pla-1636123262574&amp;gclid=CjwKCAjwx7GYBhB7EiwA0d8oe_5sg6lkr4mHYLhZENbknD0x_EkTpEMJW852XjM71vXa0kaavyGd_RoCxVoQAvD_BwE</t>
  </si>
  <si>
    <t>Fichero de entrada</t>
  </si>
  <si>
    <t>Reloj Control Personal Tarjeta Fichero Entrada/salida | Envío gratis (mercadolibre.com.ar)</t>
  </si>
  <si>
    <t>Pava Electrica</t>
  </si>
  <si>
    <t>https://articulo.mercadolibre.com.ar/MLA-1158566259-pava-electrica-jarra-acero-inoxidable-mate-cafe-2-litros-_JM#position=29&amp;search_layout=stack&amp;type=item&amp;tracking_id=d4da9a15-9b11-4042-8a49-f16b01251702</t>
  </si>
  <si>
    <t>Mesa De Reuniones</t>
  </si>
  <si>
    <t>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</t>
  </si>
  <si>
    <t>Celulares</t>
  </si>
  <si>
    <t>https://tienda.personal.com.ar/tienda/motorola-moto-g200-remote-morado-128-gb</t>
  </si>
  <si>
    <t>Detectores de humo</t>
  </si>
  <si>
    <t>https://articulo.mercadolibre.com.ar/MLA-617546425-detector-de-humo-para-alarmas-dsc-alonso-marshall-_JM#position=1&amp;search_layout=stack&amp;type=pad&amp;tracking_id=f0e11f35-041e-4f68-bc75-f507f4221c5e#position=1&amp;search_layout=stack&amp;type=pad&amp;tracking_id=f0e11f35-041e-4f68-bc75-f507f4221c5e&amp;is_advertising=true&amp;ad_domain=VQCATCORE_LST&amp;ad_position=1&amp;ad_click_id=NWM4MDY5OGYtMGExMC00OWQyLTg1ZDQtYjE2ZTQ1ZWZjYzUy</t>
  </si>
  <si>
    <t>Alarma contra incendios</t>
  </si>
  <si>
    <t>https://articulo.mercadolibre.com.ar/MLA-864678244-sirena-con-strobo-incendio-interior-system-sensor-1224-v-_JM#position=14&amp;search_layout=stack&amp;type=item&amp;tracking_id=e140c3b9-d171-4000-abd4-cc83a3eb85c7</t>
  </si>
  <si>
    <t>Matafuegos A, B, C</t>
  </si>
  <si>
    <t>https://articulo.mercadolibre.com.ar/MLA-870343938-matafuego-abc-de-10kg-con-habilitacion-y-soporte-cabaprov-_JM#position=3&amp;search_layout=stack&amp;type=item&amp;tracking_id=da14b8cb-3675-4454-aa6f-1fdc93d370dc</t>
  </si>
  <si>
    <t>Aspersores</t>
  </si>
  <si>
    <t>https://articulo.mercadolibre.com.ar/MLA-723206844-sprinkler-de-incendio-ul-bronce-rosca-de-12-bulbo-68-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632501405&amp;matt_product_id=MLA723206844&amp;matt_product_partition_id=1730485668402&amp;matt_target_id=pla-1730485668402&amp;gclid=Cj0KCQjwvZCZBhCiARIsAPXbajtsLgDXaI8fqBXCMD3LqXSxWn89hWYSs2uWFQ-rxn0XqIybBWN8JQkaAlfaEALw_wcB</t>
  </si>
  <si>
    <t>Zorra Hidraulica</t>
  </si>
  <si>
    <t>https://articulo.mercadolibre.com.ar/MLA-603877434-zorra-hidraulica-para-palets-capacidad-de-carga-3000-kg-ancha-680-mm-nueva-reforzada-_JM#position=1&amp;search_layout=stack&amp;type=item&amp;tracking_id=489b1133-0d3c-43f1-822c-c2d05b3eb548</t>
  </si>
  <si>
    <t xml:space="preserve">Horno </t>
  </si>
  <si>
    <t>https://www.musimundo.com/electrohogar/cocinas/cocina-morelli-forza-900-puerta-visor-5-h/p/00188006?gclid=Cj0KCQjwhsmaBhCvARIsAIbEbH4FqQ4eyJ4V7g65MXjyHox_hOaHy31Dny5ZMSYbL07ibCsYwq7VgD8aAmfmEALw_wcB</t>
  </si>
  <si>
    <t>Sillas Comedor</t>
  </si>
  <si>
    <t>https://articulo.mercadolibre.com.ar/MLA-1124900352-silla-comedor-industrial-metal-reforzada-apilable-tolix-x6-_JM?searchVariation=174240299027#searchVariation=174240299027&amp;position=3&amp;search_layout=grid&amp;type=item&amp;tracking_id=22c2007f-d6da-428e-a03f-def9688d5934</t>
  </si>
  <si>
    <t>Mesas Comedor</t>
  </si>
  <si>
    <t>https://articulo.mercadolibre.com.ar/MLA-723278664-mesa-industrial-80x180-patas-de-hierro-tapa-color-madera-_JM?searchVariation=36130025560#searchVariation=36130025560&amp;position=24&amp;search_layout=grid&amp;type=item&amp;tracking_id=ed2f0b67-c03d-48e6-ac40-acd109796042</t>
  </si>
  <si>
    <t>TOTALES</t>
  </si>
  <si>
    <t>Máquinas operativas importadas</t>
  </si>
  <si>
    <t>Extrusora para PET - JWM 55/25</t>
  </si>
  <si>
    <t>Precio cotizado vía email por el proveedor</t>
  </si>
  <si>
    <t>Incluye 5% de repuestos</t>
  </si>
  <si>
    <t>TAMIZ MALLA - 1MM</t>
  </si>
  <si>
    <t>Devanadora Serie Sincro D - D SW 1000m/min</t>
  </si>
  <si>
    <t>Bobinadoras Sincro RT -RC - RT RC 1800m/min</t>
  </si>
  <si>
    <t>Hot Godet (Rodillos) - Jiamei Technology</t>
  </si>
  <si>
    <t>Máquinas operativas nacionales</t>
  </si>
  <si>
    <t>Maquina universal de ensayos digimess MX- 5000</t>
  </si>
  <si>
    <t>GASTOS ASIMILABLES O CARGOS DIFERIDOS</t>
  </si>
  <si>
    <t>Constitución y organización de la empresa</t>
  </si>
  <si>
    <t>Total</t>
  </si>
  <si>
    <t>http://www.portalsocietario.com.ar/constitucionsrl-ciudad.html</t>
  </si>
  <si>
    <t>Gastos de Admin. e Ing. En en período de Instalación</t>
  </si>
  <si>
    <t>Precio por hora de ingeniero industrial</t>
  </si>
  <si>
    <t>Cantidad de horas</t>
  </si>
  <si>
    <t>https://www.nexo-consulting.com/?gclid=Cj0KCQjwtMCKBhDAARIsAG-2Eu8W0pvqS3Og96N-x4PWSN3LM8Xu2I55qD5iFXwVIcci8L6ou3zC83oaAkC4EALw_wcB</t>
  </si>
  <si>
    <t xml:space="preserve">Publicidad y Marca- Patentes y Licencias					</t>
  </si>
  <si>
    <t>Detalles</t>
  </si>
  <si>
    <t>Publicidad y Marca</t>
  </si>
  <si>
    <t>https://www.argentina.gob.ar/inpi/marcas/registrar-una-marca</t>
  </si>
  <si>
    <t>Registro de marca y exposición en stand de feria industrial</t>
  </si>
  <si>
    <t>SISTEMA SALESFORCE</t>
  </si>
  <si>
    <t> </t>
  </si>
  <si>
    <t>Precio mensual</t>
  </si>
  <si>
    <t>SISTEMA TANGO</t>
  </si>
  <si>
    <t>Precio licencia</t>
  </si>
  <si>
    <t>PAQUETE SOFTWARE (office 365)</t>
  </si>
  <si>
    <t>Patentes y Licencias</t>
  </si>
  <si>
    <t>https://www.argentina.gob.ar/sites/default/files/aranceles_vigentesinpi19.pdf</t>
  </si>
  <si>
    <t>Licencia softwares</t>
  </si>
  <si>
    <t>Instalaciones Industriales</t>
  </si>
  <si>
    <t xml:space="preserve">Instalaciones </t>
  </si>
  <si>
    <t>Unidad de medida</t>
  </si>
  <si>
    <t>Conexion de Gas</t>
  </si>
  <si>
    <t>$/metro</t>
  </si>
  <si>
    <t>https://servicio.mercadolibre.com.ar/MLA-1167154428-instalacion-de-gas-natural-gasista-matriculado-110000-_JM#position=4&amp;search_layout=stack&amp;type=item&amp;tracking_id=3b5033f1-e9c8-40a3-a0bd-57e63847851f</t>
  </si>
  <si>
    <t>Habilitación de Gas</t>
  </si>
  <si>
    <t>https://homesolution.net/ar/about/preciosreferencia/gasista</t>
  </si>
  <si>
    <t>Conexión Eléctrica</t>
  </si>
  <si>
    <t>$/hora</t>
  </si>
  <si>
    <t>https://www.iprofesional.com/actualidad/367715-mano-de-obra-electrica-precios-y-tabla-de-costo-2022-argentina</t>
  </si>
  <si>
    <t>Instalación de equipos eléctricos</t>
  </si>
  <si>
    <t>https://homesolution.net/ar/about/preciosreferencia/electricista</t>
  </si>
  <si>
    <t>Habilitación eléctrica</t>
  </si>
  <si>
    <t>Elementos de instalación eléctrica</t>
  </si>
  <si>
    <t>-</t>
  </si>
  <si>
    <t>TOTAL</t>
  </si>
  <si>
    <t>Transformador industrial</t>
  </si>
  <si>
    <t>https://articulo.mercadolibre.com.ar/MLA-912073941-transformador-380v-110v-200w-industrial-celenia-_JM#position=4&amp;search_layout=stack&amp;type=item&amp;tracking_id=a3ee9889-4c16-4682-a0a9-2dad5ce30308</t>
  </si>
  <si>
    <t>Tablero eléctrico</t>
  </si>
  <si>
    <t>https://articulo.mercadolibre.com.ar/MLA-886428461-distribuidor-de-tension-trifasico-63a-_JM#position=30&amp;search_layout=stack&amp;type=item&amp;tracking_id=7d2d7fcc-8f48-436e-9955-c65cd158abca</t>
  </si>
  <si>
    <t>Toma corriente</t>
  </si>
  <si>
    <t>https://articulo.mercadolibre.com.ar/MLA-856919586-llave-toma-corriente-doble-exterior-enchufe-aplicar-jeluz-_JM?searchVariation=56415635697#searchVariation=56415635697&amp;position=6&amp;search_layout=stack&amp;type=item&amp;tracking_id=dbba8ec9-3ea5-4a44-a272-5ab550b2d7eb</t>
  </si>
  <si>
    <t xml:space="preserve">Consumo MP para programa de produccion </t>
  </si>
  <si>
    <t>valor MP</t>
  </si>
  <si>
    <t>VALOR MP</t>
  </si>
  <si>
    <t>$/kg</t>
  </si>
  <si>
    <t xml:space="preserve">Condumo MP año1 </t>
  </si>
  <si>
    <t>Primeros 3 meses  (PM)</t>
  </si>
  <si>
    <t xml:space="preserve">Resto del año </t>
  </si>
  <si>
    <t>Unid</t>
  </si>
  <si>
    <t>Total año 1=</t>
  </si>
  <si>
    <t>Stock de MP Año 0</t>
  </si>
  <si>
    <t>HILO PET- MATERIALES PARA LA CONFORMACION DEL PRODUCTO TERMINADO</t>
  </si>
  <si>
    <t>N° Item</t>
  </si>
  <si>
    <t>Descripción</t>
  </si>
  <si>
    <t>Nivel</t>
  </si>
  <si>
    <t xml:space="preserve">UNIDAD </t>
  </si>
  <si>
    <t>VALOR UNITARIO [$]</t>
  </si>
  <si>
    <t>COSTOS AÑO 1</t>
  </si>
  <si>
    <t>COSTOS AÑO 2 AL N</t>
  </si>
  <si>
    <t>C02</t>
  </si>
  <si>
    <t>Caja carton corrugado</t>
  </si>
  <si>
    <t>Caja Carton Embalaje 40x30x30 Mudanza Doble Reforzada X50 | Envío gratis (mercadolibre.com.ar)</t>
  </si>
  <si>
    <t>BNY01</t>
  </si>
  <si>
    <t>Bolsa de Nylon</t>
  </si>
  <si>
    <t>Bolsa Arranque Rolan 30 X 40 750 Grs. Bulto X 6 Rollos | MercadoLibre</t>
  </si>
  <si>
    <t>B01</t>
  </si>
  <si>
    <t>Bobina</t>
  </si>
  <si>
    <t>Kg</t>
  </si>
  <si>
    <t>Conos Plásticos 11 Cms Vacíos De Hilos De Coser X 36 Unidade | MercadoLibre</t>
  </si>
  <si>
    <t>PE01</t>
  </si>
  <si>
    <t>Pellets reciclados</t>
  </si>
  <si>
    <t>se consulto via mail</t>
  </si>
  <si>
    <t>ET01</t>
  </si>
  <si>
    <t>Etiqueta de embalaje</t>
  </si>
  <si>
    <t>https://articulo.mercadolibre.com.ar/MLA-927700472-12-rollos-de-etiquetas-termicas-troqueladas-de-100-x-190-mm-_JM#position=2&amp;search_layout=stack&amp;type=item&amp;tracking_id=bb216e86-0421-4481-8842-4f09ca6a8059</t>
  </si>
  <si>
    <t>COSTO DEL PRODUCTO TERMINADO</t>
  </si>
  <si>
    <t>MANO DE OBRA- INDUSTRIA TEXTIL</t>
  </si>
  <si>
    <t>Personal</t>
  </si>
  <si>
    <t>Sueldo bruto</t>
  </si>
  <si>
    <t>Sueldo + CS.</t>
  </si>
  <si>
    <t>total mensual</t>
  </si>
  <si>
    <t xml:space="preserve">TOTAL </t>
  </si>
  <si>
    <t>Salario Neto</t>
  </si>
  <si>
    <t>GERENCIA  GENERAL</t>
  </si>
  <si>
    <t>IND.</t>
  </si>
  <si>
    <t>Escalas salariales | Argentina.gob.ar</t>
  </si>
  <si>
    <t>JEFE DEPTO ADMINISTRACION</t>
  </si>
  <si>
    <t>JEFE DEPTO COMERCIAL</t>
  </si>
  <si>
    <t>Sueldo empleado de comercio Argentina 2022 (iprofesional.com)</t>
  </si>
  <si>
    <t>CONTABILIDAD Y FACTURACION</t>
  </si>
  <si>
    <t>RRHH</t>
  </si>
  <si>
    <t>COMPRAS</t>
  </si>
  <si>
    <t>=</t>
  </si>
  <si>
    <t xml:space="preserve">ATENCION AL CLIENTE </t>
  </si>
  <si>
    <t xml:space="preserve">MARKETING </t>
  </si>
  <si>
    <t>VENDEDOR</t>
  </si>
  <si>
    <t>LOGISTICA</t>
  </si>
  <si>
    <t>SALARIOS-MARZO-2022.pdf (fadeeac.org.ar)</t>
  </si>
  <si>
    <t>JEFE DE PRODUCCION</t>
  </si>
  <si>
    <t>MOD</t>
  </si>
  <si>
    <t>Escala salarial junio22-Mayo 2023 FE DE ERRATAS.pdf (setia.org.ar)</t>
  </si>
  <si>
    <t xml:space="preserve">CALIDAD </t>
  </si>
  <si>
    <t>Unión Cortadores de la Indumentaria (uci.org.ar)</t>
  </si>
  <si>
    <t xml:space="preserve">TECNICO DE TALLER </t>
  </si>
  <si>
    <t>OPERARIOS</t>
  </si>
  <si>
    <t>Amortizaciones</t>
  </si>
  <si>
    <t>Gasto de fabricacion (absorve el 95% de las amortizaciones)</t>
  </si>
  <si>
    <t>Gastos adm (absorve el 2,5% de las amortizaciones)</t>
  </si>
  <si>
    <t>Gastos comerciales (absorve el 2,5% de las amortizaciones)</t>
  </si>
  <si>
    <t>Alicuota año 1 al 3</t>
  </si>
  <si>
    <t>año1</t>
  </si>
  <si>
    <t>alic/prod año 1</t>
  </si>
  <si>
    <t>Alicuota año 4 y 5</t>
  </si>
  <si>
    <t>año 2 y 3</t>
  </si>
  <si>
    <t>alic/prod2y3</t>
  </si>
  <si>
    <t>Vol. produc anual (año 2 a 5)</t>
  </si>
  <si>
    <t>kg  (extraido dim.fisico)</t>
  </si>
  <si>
    <t>u</t>
  </si>
  <si>
    <t>Tarifa</t>
  </si>
  <si>
    <t>Precio por KW</t>
  </si>
  <si>
    <t>Vol. Produc anual (año1)</t>
  </si>
  <si>
    <t>Cargo fijo</t>
  </si>
  <si>
    <t>unid</t>
  </si>
  <si>
    <t>Cargo por potencia</t>
  </si>
  <si>
    <t>Imputacion especifica año 4 y 5</t>
  </si>
  <si>
    <t>Cargo Variable</t>
  </si>
  <si>
    <t xml:space="preserve">Amortizaciones </t>
  </si>
  <si>
    <t>Amortizaciones imputadas a la mercaderia en curso y semielaborados</t>
  </si>
  <si>
    <t>Porcentaje Producción:</t>
  </si>
  <si>
    <t>Porcentaje Admin-Comer:</t>
  </si>
  <si>
    <t>DIAS AÑO:</t>
  </si>
  <si>
    <t>año 4 y 5</t>
  </si>
  <si>
    <t>Energía eléctrica</t>
  </si>
  <si>
    <t>Cuadro Tarifario (enre.gov.ar)</t>
  </si>
  <si>
    <t>Consumo unitario  mensual promedio[KW/h]</t>
  </si>
  <si>
    <t>PRODU/HS</t>
  </si>
  <si>
    <t>PRODU ANUAL</t>
  </si>
  <si>
    <t>COMER/HS</t>
  </si>
  <si>
    <t>COMER ANUAL</t>
  </si>
  <si>
    <t>ADMIN/HS</t>
  </si>
  <si>
    <t>ADMIN ANUAL</t>
  </si>
  <si>
    <t>Horas por día [hs]</t>
  </si>
  <si>
    <t>Consumo anual [KW/h]</t>
  </si>
  <si>
    <t>Consumo mesual [KW/h]</t>
  </si>
  <si>
    <t>Consumo anual [Kw/h]</t>
  </si>
  <si>
    <t>Cargo variable mensual</t>
  </si>
  <si>
    <t>Total mensual</t>
  </si>
  <si>
    <t>Total anual</t>
  </si>
  <si>
    <t>Aire acondicionado</t>
  </si>
  <si>
    <t>Consumo anual total: Dim físico</t>
  </si>
  <si>
    <t>Administración</t>
  </si>
  <si>
    <t>Máquina de café</t>
  </si>
  <si>
    <t>Comercialización</t>
  </si>
  <si>
    <t>Televisor</t>
  </si>
  <si>
    <t>Microondas</t>
  </si>
  <si>
    <t>PC de escritorio</t>
  </si>
  <si>
    <t>Costo fijo energía eléctrica</t>
  </si>
  <si>
    <t>Fax/Teléfono</t>
  </si>
  <si>
    <t>$/mes</t>
  </si>
  <si>
    <t>$/Kwh</t>
  </si>
  <si>
    <t>Pava eléctrica</t>
  </si>
  <si>
    <t>%variable</t>
  </si>
  <si>
    <t>%fijo</t>
  </si>
  <si>
    <t>Módem</t>
  </si>
  <si>
    <t>Luminaria LED</t>
  </si>
  <si>
    <t>Variable</t>
  </si>
  <si>
    <t>Fijo</t>
  </si>
  <si>
    <t>Puesta en marcha</t>
  </si>
  <si>
    <t>Gasto anual general</t>
  </si>
  <si>
    <t>Gasto anual producción</t>
  </si>
  <si>
    <t>Gasto anual comer</t>
  </si>
  <si>
    <t>Gasto anual admin</t>
  </si>
  <si>
    <t>Gasto en merc en proc</t>
  </si>
  <si>
    <t>Seguridad e Higiene</t>
  </si>
  <si>
    <t xml:space="preserve">Consumo total de MP año 1:             </t>
  </si>
  <si>
    <t>Sueldo técnico en Seg. e Hig</t>
  </si>
  <si>
    <t>Consumo de MP para merc en curso</t>
  </si>
  <si>
    <t xml:space="preserve">Consumo total de MP año 2 al n:        </t>
  </si>
  <si>
    <t xml:space="preserve">Horas xmes </t>
  </si>
  <si>
    <t xml:space="preserve">MATERIALES </t>
  </si>
  <si>
    <t xml:space="preserve">AÑO 1 </t>
  </si>
  <si>
    <t>AÑO 2</t>
  </si>
  <si>
    <t>AÑO 3</t>
  </si>
  <si>
    <t>AÑO 4</t>
  </si>
  <si>
    <t>AÑO 5</t>
  </si>
  <si>
    <t>Consumo Producción:</t>
  </si>
  <si>
    <t>Mantenimiento</t>
  </si>
  <si>
    <t>1,00%</t>
  </si>
  <si>
    <t>del total anual de bienes de uso</t>
  </si>
  <si>
    <t>Consumo Admin-Comer:</t>
  </si>
  <si>
    <t>Repuestos</t>
  </si>
  <si>
    <t>1,60 %</t>
  </si>
  <si>
    <t>ventas</t>
  </si>
  <si>
    <t>tn</t>
  </si>
  <si>
    <t>Total:</t>
  </si>
  <si>
    <t>1,50%</t>
  </si>
  <si>
    <t>del total anual del gasto de MP</t>
  </si>
  <si>
    <t>stock prom elab</t>
  </si>
  <si>
    <t>3,00%</t>
  </si>
  <si>
    <t>del total anual de Personal</t>
  </si>
  <si>
    <t xml:space="preserve">produccion </t>
  </si>
  <si>
    <t>Gasto Mensual</t>
  </si>
  <si>
    <t>desperdicio no rec</t>
  </si>
  <si>
    <t>gastos prod</t>
  </si>
  <si>
    <t>gastos comerciales</t>
  </si>
  <si>
    <t>consumo MP</t>
  </si>
  <si>
    <t>Gasto Total Producción:</t>
  </si>
  <si>
    <t>gastos administratios</t>
  </si>
  <si>
    <t>Stock prom MP</t>
  </si>
  <si>
    <t>Gasto Total Admin-Comer:</t>
  </si>
  <si>
    <t>Compra MP</t>
  </si>
  <si>
    <t>Redes y Telecomunicaciones</t>
  </si>
  <si>
    <t>Internet y telefonía</t>
  </si>
  <si>
    <t>https://telecom.com.ar/pymes/productos/conectividad/Infinite?gclid=Cj0KCQjwtMCKBhDAARIsAG-2Eu-707954ChKbcOdkR5cKiyd9WwMOoOTuFt3zjvVAxWaOU8oPXMRGNIaAoCxEALw_wcB</t>
  </si>
  <si>
    <t>Stock elaborado al final-</t>
  </si>
  <si>
    <t>Tasas e impuestos</t>
  </si>
  <si>
    <t>Stock elaborado al final +</t>
  </si>
  <si>
    <t>Variación</t>
  </si>
  <si>
    <t>Tasa municipal</t>
  </si>
  <si>
    <t>del valor del inmueble</t>
  </si>
  <si>
    <t>Correspondiente a Administración</t>
  </si>
  <si>
    <t>Impuesto inmobiliairio</t>
  </si>
  <si>
    <t>Valor del Terreno + Valor del Edificio</t>
  </si>
  <si>
    <t>Promoción y publicidad</t>
  </si>
  <si>
    <t>https://www.abproject.com.ar/es/landing/marketing-para-empresas#</t>
  </si>
  <si>
    <t xml:space="preserve">Calculo consumo MP </t>
  </si>
  <si>
    <t>(Ejercicio 9)</t>
  </si>
  <si>
    <t>Consumo MP PPM</t>
  </si>
  <si>
    <t>Sale del fisico (ejerc 6 a 11). Esta multiplicado por mil para convertir a kilos</t>
  </si>
  <si>
    <t>Costo de MP</t>
  </si>
  <si>
    <t>Gastos MP año 1</t>
  </si>
  <si>
    <t>Gastos MP mercaderia en curso</t>
  </si>
  <si>
    <t>Gastos MP año 2 al n</t>
  </si>
  <si>
    <t>Gasto de MOD</t>
  </si>
  <si>
    <t>GASTO ESPECIFICO</t>
  </si>
  <si>
    <t>Sueldo bruto de los 25 operarios</t>
  </si>
  <si>
    <t>Gasto anual</t>
  </si>
  <si>
    <t>Gastos MOD año 1</t>
  </si>
  <si>
    <t>Gasto PT</t>
  </si>
  <si>
    <t>Gastos MOD años 2 al 5</t>
  </si>
  <si>
    <t>Gasto SE Y MC</t>
  </si>
  <si>
    <t>Gastos MOD merc en curso</t>
  </si>
  <si>
    <t>PM</t>
  </si>
  <si>
    <t>Gasto MOI</t>
  </si>
  <si>
    <t>Gasto Anual</t>
  </si>
  <si>
    <t>Gasto especifico</t>
  </si>
  <si>
    <t>Gasto en la Mercaderia en proceeso</t>
  </si>
  <si>
    <t>año 1</t>
  </si>
  <si>
    <t>año 2 al 5</t>
  </si>
  <si>
    <t>Gasto materiales SE y MC</t>
  </si>
  <si>
    <t>vol produccion año 1</t>
  </si>
  <si>
    <t>stock producto elab</t>
  </si>
  <si>
    <t>Gasto energia SE y MC</t>
  </si>
  <si>
    <t>PT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</si>
  <si>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</si>
  <si>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</si>
  <si>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</si>
  <si>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</si>
  <si>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</si>
  <si>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</si>
  <si>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</si>
  <si>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fabricacion:</t>
  </si>
  <si>
    <t>- Amortizaciones</t>
  </si>
  <si>
    <t>- Personal indirecto</t>
  </si>
  <si>
    <t>- Materiales</t>
  </si>
  <si>
    <t>- Energia electrica</t>
  </si>
  <si>
    <t>- Combustibles</t>
  </si>
  <si>
    <t>- Tasas e imp</t>
  </si>
  <si>
    <t>- Seguros</t>
  </si>
  <si>
    <t>- Imprevistos</t>
  </si>
  <si>
    <t>total gastos fabricacion</t>
  </si>
  <si>
    <t>terciarizacion de logistica</t>
  </si>
  <si>
    <t>mensual</t>
  </si>
  <si>
    <t>ESTA PLANILLA PUEDE SER UTILIZADA SOLAMENTE PARA EL TRABAJO PRACTICO</t>
  </si>
  <si>
    <t>Inversión Inicial en Activo Fijo</t>
  </si>
  <si>
    <t>Gasto interno (en $)</t>
  </si>
  <si>
    <t>Gasto Externo (en $)</t>
  </si>
  <si>
    <t>Observaciones</t>
  </si>
  <si>
    <t>a) Bienes de Uso</t>
  </si>
  <si>
    <t>Terreno y sus mejoras</t>
  </si>
  <si>
    <t xml:space="preserve"> $                       -  </t>
  </si>
  <si>
    <t>Instalaciones industriales</t>
  </si>
  <si>
    <t>Gran parte de la instalación es provista por el parque industrial</t>
  </si>
  <si>
    <t>Máquinas operativas</t>
  </si>
  <si>
    <t xml:space="preserve">    importadas, valor FOB</t>
  </si>
  <si>
    <t xml:space="preserve">    nacionales, precio en fábrica del proveedor</t>
  </si>
  <si>
    <t>Gastos conexos a la importación de maquinaria</t>
  </si>
  <si>
    <t>10% de máquinas operativas</t>
  </si>
  <si>
    <t>Transporte y montaje de la maquinaria</t>
  </si>
  <si>
    <t>15% de máquinas operativas</t>
  </si>
  <si>
    <t>Rodados y equipos auxiliares</t>
  </si>
  <si>
    <t>Muebles y útiles*</t>
  </si>
  <si>
    <t>Infraestructura en Redes y Telecomunicaciones</t>
  </si>
  <si>
    <t>1% del inmueble</t>
  </si>
  <si>
    <t>Infraestructura en predio propio</t>
  </si>
  <si>
    <t>Total Bienes de uso</t>
  </si>
  <si>
    <t>b) Gastos asimilables o cargos diferidos</t>
  </si>
  <si>
    <t>Investigaciones y estudios</t>
  </si>
  <si>
    <t>Gastos de puesta en marcha (AL AÑO 1)</t>
  </si>
  <si>
    <t>Exposición en feria industrial más registro de marca</t>
  </si>
  <si>
    <t>Infraestructura en predio ajeno</t>
  </si>
  <si>
    <t xml:space="preserve">
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</si>
  <si>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</si>
  <si>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</si>
  <si>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</si>
  <si>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</si>
  <si>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*Incluye depósito, matafuegos, etc.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</si>
  <si>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</si>
  <si>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</si>
  <si>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</si>
  <si>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</si>
  <si>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</si>
  <si>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</si>
  <si>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</si>
  <si>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</si>
  <si>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</si>
  <si>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 xml:space="preserve"> $                  -  </t>
  </si>
  <si>
    <t xml:space="preserve"> $                          -  </t>
  </si>
  <si>
    <t>Subtotal</t>
  </si>
  <si>
    <t xml:space="preserve">Cargos Diferidos </t>
  </si>
  <si>
    <t>Totales, s/IVA</t>
  </si>
  <si>
    <t>COSTO TOTAL DE PRODUCCION</t>
  </si>
  <si>
    <t>Gastos en el Area de Producción</t>
  </si>
  <si>
    <t>Gastos de fabricación:</t>
  </si>
  <si>
    <t>Personal indirecto</t>
  </si>
  <si>
    <t>Materiales</t>
  </si>
  <si>
    <t>Combustibles</t>
  </si>
  <si>
    <t>Tratamiento de efluentes y subproductos</t>
  </si>
  <si>
    <t>*libre para insertar costos adicionales*</t>
  </si>
  <si>
    <t>Gastos Total de Producción</t>
  </si>
  <si>
    <t>% Gasto Constante</t>
  </si>
  <si>
    <t>% Gasto Variable</t>
  </si>
  <si>
    <t>ej 9, merc en proceso</t>
  </si>
  <si>
    <t>Gastos a activar</t>
  </si>
  <si>
    <t>Mercadería en Curso y Semielaborada</t>
  </si>
  <si>
    <t xml:space="preserve">  Energía eléctrica</t>
  </si>
  <si>
    <t xml:space="preserve">  Combustibles</t>
  </si>
  <si>
    <t xml:space="preserve">  Tasas e impuestos</t>
  </si>
  <si>
    <t>Otros rubros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</si>
  <si>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</si>
  <si>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</si>
  <si>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</si>
  <si>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</si>
  <si>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</si>
  <si>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(-) Mercaderia en proceso al final</t>
  </si>
  <si>
    <t>(+) Mercaderia en proceso al principio</t>
  </si>
  <si>
    <t>Costo de producción anual</t>
  </si>
  <si>
    <t>Costo de prod. Unitario Promedio</t>
  </si>
  <si>
    <t>Gastos en el Area de Administración</t>
  </si>
  <si>
    <t>Amortizaciones de A. Fijo</t>
  </si>
  <si>
    <t>Electricidad</t>
  </si>
  <si>
    <t>Combustible</t>
  </si>
  <si>
    <t>Cámaras y Seguridad</t>
  </si>
  <si>
    <t>Costo total de Admistración</t>
  </si>
  <si>
    <t>Gastos en el Area de Comercialización</t>
  </si>
  <si>
    <t>Personal (incluye comisiones)</t>
  </si>
  <si>
    <t>3% de comisiones</t>
  </si>
  <si>
    <t>Promoción y Publicidad</t>
  </si>
  <si>
    <t>Logística y Distribución</t>
  </si>
  <si>
    <t>falta</t>
  </si>
  <si>
    <t>ELECTRICIDAD</t>
  </si>
  <si>
    <t>Costo total de Comercialización</t>
  </si>
  <si>
    <t>COSTO TOTAL Y RESULTADO A NIVEL ECONOMICO</t>
  </si>
  <si>
    <t>Venta anual, en Unidades Producto 1</t>
  </si>
  <si>
    <t>Precio de venta Producto 1</t>
  </si>
  <si>
    <t>Venta anual, en Unidades Producto 2</t>
  </si>
  <si>
    <t>Precio de venta Producto 2</t>
  </si>
  <si>
    <t>Venta anual, en Unidades Subproducto</t>
  </si>
  <si>
    <t>Precio de venta Subproducto</t>
  </si>
  <si>
    <t>*agregar adicionales si hace falta*</t>
  </si>
  <si>
    <t>VENTAS ANUALES</t>
  </si>
  <si>
    <t xml:space="preserve">Consumo de materia prima </t>
  </si>
  <si>
    <t>Gastos de fabricación</t>
  </si>
  <si>
    <t>Gastos de Producción</t>
  </si>
  <si>
    <t>Variación Mercadería en proceso</t>
  </si>
  <si>
    <t>COSTO DE PRODUCCION ANUAL</t>
  </si>
  <si>
    <t xml:space="preserve">Producción anual en Unidades (KG) 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</si>
  <si>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</si>
  <si>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</si>
  <si>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</si>
  <si>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</si>
  <si>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</si>
  <si>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</si>
  <si>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 (por kilo)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</si>
  <si>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</si>
  <si>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</si>
  <si>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</si>
  <si>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</si>
  <si>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</si>
  <si>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</si>
  <si>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</si>
  <si>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</si>
  <si>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</si>
  <si>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</si>
  <si>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</si>
  <si>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</si>
  <si>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</si>
  <si>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</si>
  <si>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</si>
  <si>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</si>
  <si>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Total Ventas</t>
  </si>
  <si>
    <t>% plan de ventas</t>
  </si>
  <si>
    <t>% $</t>
  </si>
  <si>
    <t>Fijos</t>
  </si>
  <si>
    <t>Variables</t>
  </si>
  <si>
    <t>Totales</t>
  </si>
  <si>
    <t>=(('E-Costos'!C7-'E-Costos'!C33-'E-'E-Costos'!C7Costos'!H33)/'InfoInicial-CálcAux'!L14)*'InfoInicial-CálcAux'!L13</t>
  </si>
  <si>
    <t>Plazo crédito de vtas</t>
  </si>
  <si>
    <t>dias</t>
  </si>
  <si>
    <t>INVERSIONES EN ACTIVO DE TRABAJO</t>
  </si>
  <si>
    <r>
      <rPr>
        <b/>
        <sz val="10"/>
        <color theme="1"/>
        <rFont val="Arial"/>
        <family val="2"/>
      </rPr>
      <t xml:space="preserve">1. Activo de Trabajo: </t>
    </r>
    <r>
      <rPr>
        <sz val="10"/>
        <color theme="1"/>
        <rFont val="Arial"/>
        <family val="2"/>
      </rPr>
      <t>(valor contable)</t>
    </r>
  </si>
  <si>
    <t xml:space="preserve">   a) Disponibilidad Mínima en Caja y Bancos:</t>
  </si>
  <si>
    <t xml:space="preserve">   b) Crédito por Ventas:</t>
  </si>
  <si>
    <t xml:space="preserve">   c) Bienes de cambio:</t>
  </si>
  <si>
    <t xml:space="preserve">   Stock de materias prima:</t>
  </si>
  <si>
    <t xml:space="preserve">   Stock de materiales:</t>
  </si>
  <si>
    <t xml:space="preserve">   Mercadería en curso y semielaborada</t>
  </si>
  <si>
    <t xml:space="preserve">   Stock de elaborados: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</si>
  <si>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</si>
  <si>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</si>
  <si>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</si>
  <si>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</si>
  <si>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</si>
  <si>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</si>
  <si>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</si>
  <si>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</si>
  <si>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</si>
  <si>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</si>
  <si>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</si>
  <si>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</si>
  <si>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</si>
  <si>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</si>
  <si>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</si>
  <si>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</si>
  <si>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</si>
  <si>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</si>
  <si>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 xml:space="preserve">  Disponibilidad Mínima en Caja y Bancos (Año 1 a 5)</t>
  </si>
  <si>
    <t>ventas anuales</t>
  </si>
  <si>
    <t xml:space="preserve">  Disponibilidad Mínima en Caja y Bancos (Año 0)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</si>
  <si>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</si>
  <si>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</si>
  <si>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</si>
  <si>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</si>
  <si>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</si>
  <si>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Varios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</si>
  <si>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</si>
  <si>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</si>
  <si>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</si>
  <si>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</si>
  <si>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</si>
  <si>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</si>
  <si>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</si>
  <si>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</si>
  <si>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</si>
  <si>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</si>
  <si>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</si>
  <si>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</si>
  <si>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</si>
  <si>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</si>
  <si>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</si>
  <si>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Calendario de Inversiones</t>
  </si>
  <si>
    <t>Año 0: Preinversion</t>
  </si>
  <si>
    <t>Año 0: Instalación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</si>
  <si>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</si>
  <si>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</si>
  <si>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</si>
  <si>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</si>
  <si>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</si>
  <si>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</si>
  <si>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</si>
  <si>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</si>
  <si>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</si>
  <si>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</si>
  <si>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</si>
  <si>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</si>
  <si>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</si>
  <si>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</si>
  <si>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</si>
  <si>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</si>
  <si>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</si>
  <si>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</si>
  <si>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</si>
  <si>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</si>
  <si>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</si>
  <si>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</si>
  <si>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</si>
  <si>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</si>
  <si>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</si>
  <si>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</si>
  <si>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</si>
  <si>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</si>
  <si>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</si>
  <si>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</si>
  <si>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</si>
  <si>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</si>
  <si>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</si>
  <si>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TIR</t>
  </si>
  <si>
    <t>Verificaciones</t>
  </si>
  <si>
    <t>Set A</t>
  </si>
  <si>
    <t>IVA</t>
  </si>
  <si>
    <t>AT</t>
  </si>
  <si>
    <t>BN Proyecto</t>
  </si>
  <si>
    <t>Ej 50.- Primera estructura financiera global</t>
  </si>
  <si>
    <t>La financiación de los proveedores de materias primas, es este caso es a</t>
  </si>
  <si>
    <t>días sobre el</t>
  </si>
  <si>
    <t>de la compra,</t>
  </si>
  <si>
    <t>con tasa de interés del</t>
  </si>
  <si>
    <t>Para la construccion del edificio, es posible tomar un crédito de un banco privado local del</t>
  </si>
  <si>
    <t>del monto total,</t>
  </si>
  <si>
    <t>con tasa del</t>
  </si>
  <si>
    <t>Para la maquinaria, es posible tomar un crédito de un banco privado</t>
  </si>
  <si>
    <t>Inv AT</t>
  </si>
  <si>
    <t>Stock MP</t>
  </si>
  <si>
    <t>Stock Materiales</t>
  </si>
  <si>
    <t>Crédito (50%)</t>
  </si>
  <si>
    <t xml:space="preserve">Intereses </t>
  </si>
  <si>
    <t>meses</t>
  </si>
  <si>
    <t xml:space="preserve">compra </t>
  </si>
  <si>
    <t>credito</t>
  </si>
  <si>
    <t>cancelacion</t>
  </si>
  <si>
    <t>intereses</t>
  </si>
  <si>
    <t>enero año1</t>
  </si>
  <si>
    <t xml:space="preserve">marzo año1 </t>
  </si>
  <si>
    <t>febrero año 1</t>
  </si>
  <si>
    <t>abril año 1</t>
  </si>
  <si>
    <t>marzo año 1</t>
  </si>
  <si>
    <t>mayo año 1</t>
  </si>
  <si>
    <t>junio año 1</t>
  </si>
  <si>
    <t>julio  año 1</t>
  </si>
  <si>
    <t>agosto año 1</t>
  </si>
  <si>
    <t>septiembre año 1</t>
  </si>
  <si>
    <t>octubre año 1</t>
  </si>
  <si>
    <t>noviembre año 1</t>
  </si>
  <si>
    <t>diciembre año 1</t>
  </si>
  <si>
    <t>Enero año 2</t>
  </si>
  <si>
    <t>Febrero año 2</t>
  </si>
  <si>
    <t xml:space="preserve">Equivale a un credito anual de </t>
  </si>
  <si>
    <t>Ej 51.- Servicio de cada Crédito</t>
  </si>
  <si>
    <t>a) para la construccion del edificio</t>
  </si>
  <si>
    <t>CARACTERISTICAS DEL CREDITO</t>
  </si>
  <si>
    <t>Institucion otorgante: Banco nacion</t>
  </si>
  <si>
    <t>Credito Banco nacion</t>
  </si>
  <si>
    <t>https://www.argentina.gob.ar/produccion/financiamiento-pyme</t>
  </si>
  <si>
    <t>Destino:</t>
  </si>
  <si>
    <t>Financiar el</t>
  </si>
  <si>
    <t>de la construccion</t>
  </si>
  <si>
    <t>Importe de la inversion:</t>
  </si>
  <si>
    <t>Monto del credito:</t>
  </si>
  <si>
    <t>Amortizacion:</t>
  </si>
  <si>
    <t>cuotas semestrales, iguales y consecutivas; primer pago a los 12 meses iniciada la actividad</t>
  </si>
  <si>
    <t>Intereses</t>
  </si>
  <si>
    <t>semestral vencido (sist alemán). Con periodo de gracia de 1 año</t>
  </si>
  <si>
    <t>Garantia:</t>
  </si>
  <si>
    <t>se constituirá garantía prendaria en primer grado sobre la maquinaria a adquirir y alguna otra, hasta un valor total igual al 140% de credito</t>
  </si>
  <si>
    <t>Comisiones y gastos bancarios</t>
  </si>
  <si>
    <t>de cred destino)</t>
  </si>
  <si>
    <t>Fecha</t>
  </si>
  <si>
    <t>Deuda</t>
  </si>
  <si>
    <t>Amortizacion semestral</t>
  </si>
  <si>
    <t>interés semestral</t>
  </si>
  <si>
    <t>Amortizacion Anual</t>
  </si>
  <si>
    <t>Interés Anual</t>
  </si>
  <si>
    <t>Gasto Bancario</t>
  </si>
  <si>
    <t>CUOTA</t>
  </si>
  <si>
    <t>Día</t>
  </si>
  <si>
    <t>mes</t>
  </si>
  <si>
    <t>año</t>
  </si>
  <si>
    <t>Cuotas sistema aleman</t>
  </si>
  <si>
    <t>Amortización</t>
  </si>
  <si>
    <t>Gastos preoperativos:</t>
  </si>
  <si>
    <t>b)  para la compra de la maquinaria importada</t>
  </si>
  <si>
    <t>https://www.bna.com.ar/Empresas/Grandes/CreditoMaquinasFabNacional</t>
  </si>
  <si>
    <t>del valor FOB</t>
  </si>
  <si>
    <t>cuotas semestrales, iguales y consecutivas</t>
  </si>
  <si>
    <t xml:space="preserve">semestral vencido (sist alemán). </t>
  </si>
  <si>
    <t>Los gastos preoperativo son:</t>
  </si>
  <si>
    <t>Ej 52.- Cuadro resumen de los servicios de créditos (Ver hoja 'F-Cred')</t>
  </si>
  <si>
    <t>Ej 53.- Gasto financiero</t>
  </si>
  <si>
    <t xml:space="preserve">Gastos preoperativos seran amortizados en </t>
  </si>
  <si>
    <t>años de cuotas iguales</t>
  </si>
  <si>
    <t>Alicuotas</t>
  </si>
  <si>
    <t>Años</t>
  </si>
  <si>
    <t>Amort int y gastos preoperativos</t>
  </si>
  <si>
    <t>Intereses créd renovables</t>
  </si>
  <si>
    <t>Intereses créd NO renovables</t>
  </si>
  <si>
    <t>Total Gs Financiero</t>
  </si>
  <si>
    <t>Totales:</t>
  </si>
  <si>
    <t>Ej 54.- Resultados proforma (Ver hoja 'F-CRes')</t>
  </si>
  <si>
    <t>Ej 55.- Incidencia del dimensionamiento financiero</t>
  </si>
  <si>
    <t>- Se incrementa la inversión inicial de Activo Fijo a través de los intereses y gastos bancarios preoperativos incluido el IVA:</t>
  </si>
  <si>
    <t>representa un incremento de :</t>
  </si>
  <si>
    <t>- Incremento de activo fijo por los intereses y gastos preoperativos.</t>
  </si>
  <si>
    <t>- Incremento de activo fijo por el IVA correspondiente a intereses y gastos preoperativos.</t>
  </si>
  <si>
    <t>- Incremento de la inversión en activo de trabajo por los créditos por ventas.</t>
  </si>
  <si>
    <t>- Posible déficit de explotación en el Año 1 por el gasto financiero.</t>
  </si>
  <si>
    <t>Ej 56.- Inversiones resultantes: calendario y financiación global (Ver hoja 'F-2 Estructura')</t>
  </si>
  <si>
    <t>Ej 57.- Punto de equilibrio Económico - Financiero (Ver hoja 'F-2 Estructura')</t>
  </si>
  <si>
    <t>Costos variables</t>
  </si>
  <si>
    <t>Costos constantes</t>
  </si>
  <si>
    <t>Gasto Financiero</t>
  </si>
  <si>
    <t>Punto de equilibrio</t>
  </si>
  <si>
    <t>Ej 58.- IVA pagado en el CTV, la cancelación del CF y el pago al Fisco por IVA (Ver hoja 'F-IVA')</t>
  </si>
  <si>
    <t>Ej 59.- Cuadro de Fuentes y Usos de Fondos (Ver hoja ' F-CFyU')</t>
  </si>
  <si>
    <t>Ej 60.- Análisis del Saldo Propio en el Cuadro de Fuentes y Usos - Año 1</t>
  </si>
  <si>
    <t>producc</t>
  </si>
  <si>
    <t>6x9</t>
  </si>
  <si>
    <t xml:space="preserve">   </t>
  </si>
  <si>
    <t>Alimentación del proceso</t>
  </si>
  <si>
    <t>toneladas</t>
  </si>
  <si>
    <t xml:space="preserve">mes </t>
  </si>
  <si>
    <t>ritmo inicial</t>
  </si>
  <si>
    <t>ritmo final</t>
  </si>
  <si>
    <t>produccion promedio</t>
  </si>
  <si>
    <t>produccion mesual</t>
  </si>
  <si>
    <t>produccion propuesta</t>
  </si>
  <si>
    <t xml:space="preserve">1) valor de produccion prom. </t>
  </si>
  <si>
    <t>Desperdicios recuperables en funcion de la producción</t>
  </si>
  <si>
    <t>Desperdicios no recuperables en función de la producción</t>
  </si>
  <si>
    <t>Plan de Producción</t>
  </si>
  <si>
    <t>●</t>
  </si>
  <si>
    <t>Incremento del volumen de producción durante la Puesta en Marcha:</t>
  </si>
  <si>
    <t xml:space="preserve">produccion en regimen </t>
  </si>
  <si>
    <t>Mes 1</t>
  </si>
  <si>
    <t>Punto 6</t>
  </si>
  <si>
    <t>Produccion año 1</t>
  </si>
  <si>
    <t>Mes 2</t>
  </si>
  <si>
    <t>Produccion año n</t>
  </si>
  <si>
    <t>Mes 3</t>
  </si>
  <si>
    <t>(se logra el estado de regimen)</t>
  </si>
  <si>
    <t>Punto 7</t>
  </si>
  <si>
    <t>Stock Promedio</t>
  </si>
  <si>
    <t>Evolución uniforme desde el Mes 4 del Año 1, con producción y ventas constantes.</t>
  </si>
  <si>
    <t xml:space="preserve">Trabajamos </t>
  </si>
  <si>
    <t>Ritmo de trabajo</t>
  </si>
  <si>
    <t>Stock promedio</t>
  </si>
  <si>
    <t>Primer año</t>
  </si>
  <si>
    <t>Punto 8</t>
  </si>
  <si>
    <t>Ventas año 1</t>
  </si>
  <si>
    <t>Ventas año n</t>
  </si>
  <si>
    <t>Semanas</t>
  </si>
  <si>
    <t>Punto 9</t>
  </si>
  <si>
    <t>Ciclos de elaboracion</t>
  </si>
  <si>
    <t>Dias Productivos</t>
  </si>
  <si>
    <t>Mantenimiento (cierre planta)</t>
  </si>
  <si>
    <t>Feriados en dia habiles</t>
  </si>
  <si>
    <t>consumo de mp año 1</t>
  </si>
  <si>
    <t>(No poseemos desperdicio no recuperable ya que todo se puede reprocesar en el extrusor)</t>
  </si>
  <si>
    <t xml:space="preserve">mercaderia en proceso= </t>
  </si>
  <si>
    <t>Alimentacion en ciclo de elaboracion</t>
  </si>
  <si>
    <t>del Consumo de Materia Prima en régimen</t>
  </si>
  <si>
    <t>consumo final de MP año 1</t>
  </si>
  <si>
    <t>Se realiza un Plan de entregas semanales de Producto Terminado</t>
  </si>
  <si>
    <t>Consumo final de MP año n</t>
  </si>
  <si>
    <t>No hay desperdicios</t>
  </si>
  <si>
    <t>Antes de iniciar el Plan de explotación, se comprará la materia prima necesaria para cubrir la puesta en marcha</t>
  </si>
  <si>
    <t>Punto 10</t>
  </si>
  <si>
    <t>stock Promedio MP</t>
  </si>
  <si>
    <t>Stock equivalente a mes de consumo</t>
  </si>
  <si>
    <t>Tn</t>
  </si>
  <si>
    <t>Unidad</t>
  </si>
  <si>
    <t>Año 2 al n</t>
  </si>
  <si>
    <t>Plan de compras bimensual</t>
  </si>
  <si>
    <t>t</t>
  </si>
  <si>
    <t>Vacaciones en marzo</t>
  </si>
  <si>
    <t>Stock Fin de mes(tn)</t>
  </si>
  <si>
    <t>Compras</t>
  </si>
  <si>
    <t>Enero</t>
  </si>
  <si>
    <t>Bolsas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</si>
  <si>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</si>
  <si>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</si>
  <si>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</si>
  <si>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</si>
  <si>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</si>
  <si>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</si>
  <si>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</si>
  <si>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</si>
  <si>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</si>
  <si>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</si>
  <si>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</si>
  <si>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c)</t>
  </si>
  <si>
    <t xml:space="preserve">Equivale a </t>
  </si>
  <si>
    <t>Meses de consumo</t>
  </si>
  <si>
    <t>PRIMERA ESTRUCTURA FINANCIERA</t>
  </si>
  <si>
    <t>Total Inversión</t>
  </si>
  <si>
    <t>CréditoS</t>
  </si>
  <si>
    <t>Capital Propio</t>
  </si>
  <si>
    <t>Equivalencia del credito de proveedores con un credito renovable</t>
  </si>
  <si>
    <t>monto</t>
  </si>
  <si>
    <t xml:space="preserve">Activo Fijo </t>
  </si>
  <si>
    <t>Monto comprado</t>
  </si>
  <si>
    <t>Credito</t>
  </si>
  <si>
    <t>Cancelacion</t>
  </si>
  <si>
    <t>Interes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</si>
  <si>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</si>
  <si>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</si>
  <si>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</si>
  <si>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</si>
  <si>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</si>
  <si>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</si>
  <si>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</si>
  <si>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</si>
  <si>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</si>
  <si>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</si>
  <si>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</si>
  <si>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</si>
  <si>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</si>
  <si>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01/07/-1</t>
  </si>
  <si>
    <t>31/12/-1</t>
  </si>
  <si>
    <t>gastos preoperativos:</t>
  </si>
  <si>
    <t>31/06/1</t>
  </si>
  <si>
    <t>31/06/2</t>
  </si>
  <si>
    <t>Equivalencia credito anual=</t>
  </si>
  <si>
    <t>Comision bancaria=</t>
  </si>
  <si>
    <t>2 %</t>
  </si>
  <si>
    <t>31/06/3</t>
  </si>
  <si>
    <t>31/06/4</t>
  </si>
  <si>
    <t>31/06/5</t>
  </si>
  <si>
    <t>31/06/6</t>
  </si>
  <si>
    <t>intereses y gastos bancarios preoperativos</t>
  </si>
  <si>
    <t>Amortizaciones int. y gastos preoperativos</t>
  </si>
  <si>
    <t>Interés Creditos no Renovables</t>
  </si>
  <si>
    <t>Total Gasto financiero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</si>
  <si>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</si>
  <si>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</si>
  <si>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</si>
  <si>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</si>
  <si>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</si>
  <si>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</si>
  <si>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</si>
  <si>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c140</t>
  </si>
  <si>
    <t>RESULTADO (a/Hon. e Imp.)</t>
  </si>
  <si>
    <t>Menos: Honorarios al Direct.</t>
  </si>
  <si>
    <t>Saldo ganancias acumulado</t>
  </si>
  <si>
    <t>Menos: Impuesto a la Ganancia</t>
  </si>
  <si>
    <t>RESULTADO (d/Hon. e Imp.)</t>
  </si>
  <si>
    <t>Amortizaciones int y gastos preoperativos</t>
  </si>
  <si>
    <t xml:space="preserve">Intereses creditos renovables </t>
  </si>
  <si>
    <t xml:space="preserve">Intereses creditos no  renovables </t>
  </si>
  <si>
    <t xml:space="preserve">Total Gasto Financiero </t>
  </si>
  <si>
    <t>impuesto a las ganancias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</si>
  <si>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</si>
  <si>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</si>
  <si>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</si>
  <si>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</si>
  <si>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</si>
  <si>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</si>
  <si>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</si>
  <si>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</si>
  <si>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</si>
  <si>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</si>
  <si>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</si>
  <si>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</si>
  <si>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</si>
  <si>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</si>
  <si>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</si>
  <si>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</si>
  <si>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</si>
  <si>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</si>
  <si>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</si>
  <si>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</si>
  <si>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</si>
  <si>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</si>
  <si>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</si>
  <si>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 xml:space="preserve"> Porcentaje </t>
  </si>
  <si>
    <t>Crédito renovable</t>
  </si>
  <si>
    <t>Crédito no renovable</t>
  </si>
  <si>
    <t>Capital propio</t>
  </si>
  <si>
    <t>Subtotal Iva Inversion</t>
  </si>
  <si>
    <t>Capital propio neto</t>
  </si>
  <si>
    <t>PUNTO DE EQUILIBRIO ECONOMICO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</si>
  <si>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</si>
  <si>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</si>
  <si>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</si>
  <si>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$                      -  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</si>
  <si>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</si>
  <si>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</si>
  <si>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</si>
  <si>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</si>
  <si>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</si>
  <si>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</si>
  <si>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</si>
  <si>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</si>
  <si>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</si>
  <si>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</si>
  <si>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</si>
  <si>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</si>
  <si>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</si>
  <si>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 $                   -  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</si>
  <si>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</si>
  <si>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</si>
  <si>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</si>
  <si>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</si>
  <si>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</si>
  <si>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</si>
  <si>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</si>
  <si>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</si>
  <si>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</si>
  <si>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</si>
  <si>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</si>
  <si>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</si>
  <si>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</si>
  <si>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</si>
  <si>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</si>
  <si>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</si>
  <si>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</si>
  <si>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Valor residual economico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</si>
  <si>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</si>
  <si>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</si>
  <si>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</si>
  <si>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</si>
  <si>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</si>
  <si>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</si>
  <si>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</si>
  <si>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</si>
  <si>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</si>
  <si>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</si>
  <si>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</si>
  <si>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</si>
  <si>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</si>
  <si>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</si>
  <si>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</si>
  <si>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</si>
  <si>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</si>
  <si>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</si>
  <si>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</si>
  <si>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</si>
  <si>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</si>
  <si>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</si>
  <si>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</si>
  <si>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</si>
  <si>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</si>
  <si>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</si>
  <si>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</si>
  <si>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</si>
  <si>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}.-</t>
  </si>
  <si>
    <t>Verificación</t>
  </si>
  <si>
    <t xml:space="preserve">diferencia </t>
  </si>
  <si>
    <t>Formulación del Proyecto a Nivel Financiero</t>
  </si>
  <si>
    <t>Activo de Trabajo</t>
  </si>
  <si>
    <t>Utilidad  Antes  HD e IG</t>
  </si>
  <si>
    <t>Intereses Pagados</t>
  </si>
  <si>
    <t>en años</t>
  </si>
  <si>
    <t>TIR modificada</t>
  </si>
  <si>
    <t>VAN(Ko)</t>
  </si>
  <si>
    <t>ko=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</si>
  <si>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</si>
  <si>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</si>
  <si>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</si>
  <si>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</si>
  <si>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</si>
  <si>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</si>
  <si>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</si>
  <si>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</si>
  <si>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</si>
  <si>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</si>
  <si>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</si>
  <si>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</si>
  <si>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</si>
  <si>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</si>
  <si>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Análisis de riesgos</t>
  </si>
  <si>
    <t xml:space="preserve">Para el análisis de riesgos nos enfocaremos en dos situaciones comparadas con la situación actual, una pesimista y otra optimista. </t>
  </si>
  <si>
    <t>VNA (kc; matriz con saldo anual positivo) + (valores negativos del saldo anual)</t>
  </si>
  <si>
    <t>Kc</t>
  </si>
  <si>
    <t>(Banco Nación)</t>
  </si>
  <si>
    <t>VNA (tasa de descuento; matriz que contiene el flujo de fondos futuros) + inversión inicial</t>
  </si>
  <si>
    <t>VAN (Original)</t>
  </si>
  <si>
    <t>F-Form'!G</t>
  </si>
  <si>
    <t>Análisis de Sensibilidad</t>
  </si>
  <si>
    <t>Se analiza la variabilidad de los indicadores de evaluación frente a variaciones razonables los siguientes factores.</t>
  </si>
  <si>
    <t>Factor 1: Precio de venta</t>
  </si>
  <si>
    <t>A continuación, se evalúa el impacto de los indicadores frente a variaciones de un 20% del precio de venta.</t>
  </si>
  <si>
    <t>Precio +20%</t>
  </si>
  <si>
    <t>Original</t>
  </si>
  <si>
    <t>Precio -20%</t>
  </si>
  <si>
    <t>VAN</t>
  </si>
  <si>
    <t xml:space="preserve"> 'InfoInicial-CálcAux'!B6</t>
  </si>
  <si>
    <t>PRI</t>
  </si>
  <si>
    <t>B-F</t>
  </si>
  <si>
    <t>Factor 2: Costo de la MP principal</t>
  </si>
  <si>
    <t xml:space="preserve">Se analiza una variabilidad del 10% en el costo de adquisición de la MP principal: la leche. Se obtienen las siguientes variaciones: </t>
  </si>
  <si>
    <t>MP +20%</t>
  </si>
  <si>
    <t>MP -20%</t>
  </si>
  <si>
    <t xml:space="preserve"> 'CA COSTOS'!K8</t>
  </si>
  <si>
    <t>El factor con más impacto es: XXXXXX</t>
  </si>
  <si>
    <t>Conclusión: A partir del analisis detallado, observamos que el proyecto, es mas sensible a un cambio en el valor de (precio o mp) que de (precio o mp)</t>
  </si>
  <si>
    <t>Análisis de Alternativas</t>
  </si>
  <si>
    <t>Se estudia la alternativa de alquilar el edificio y las instalaciones.</t>
  </si>
  <si>
    <t>PLANTA M2</t>
  </si>
  <si>
    <t>Original (Compra terreno)</t>
  </si>
  <si>
    <t>TASA DE CAMBIO</t>
  </si>
  <si>
    <t>$ por cada 1 U$S</t>
  </si>
  <si>
    <t>Alternativa (Alquilar terreno)</t>
  </si>
  <si>
    <t>PRECIO COMPRA TERRENO M2:</t>
  </si>
  <si>
    <t>USD</t>
  </si>
  <si>
    <t xml:space="preserve"> 'CA Inv AF y Am'!B5</t>
  </si>
  <si>
    <t>PRECIO COMPRA EDIFICIO Y OBRAS COMP M2:</t>
  </si>
  <si>
    <t xml:space="preserve"> 'CA Inv AF y Am'!B9</t>
  </si>
  <si>
    <t>PRECIO ALQUILER M2 EDIFICIO Y TERRENO</t>
  </si>
  <si>
    <t>PRECIO ALQUILER TERRENO M2</t>
  </si>
  <si>
    <r>
      <rPr>
        <sz val="11"/>
        <color rgb="FF000000"/>
        <rFont val="Calibri, Arial"/>
      </rPr>
      <t>Nota: El monto mensual de alquiler en Gral Pacheco es de $</t>
    </r>
    <r>
      <rPr>
        <sz val="11"/>
        <color rgb="FFFF0000"/>
        <rFont val="Calibri"/>
        <family val="2"/>
      </rPr>
      <t>XXXXXX</t>
    </r>
  </si>
  <si>
    <t>PRECIO ALQUILER EDIFICIO Y OBRAS C M2</t>
  </si>
  <si>
    <t xml:space="preserve">Conclusión: A partir del analisis de alternativas detallado, observamos que alquilar la nave industrial en lugar de comprarlo, </t>
  </si>
  <si>
    <t>Análisis de Escenarios</t>
  </si>
  <si>
    <t>Se analizan los efectos del siguiente escenario:</t>
  </si>
  <si>
    <t>Escenario: Cuarentena en el año 3</t>
  </si>
  <si>
    <t>Original Año 1</t>
  </si>
  <si>
    <t>Cambio Año 1</t>
  </si>
  <si>
    <t>Original Año 2-5</t>
  </si>
  <si>
    <t>Cambio Año 2-5</t>
  </si>
  <si>
    <t>Disminución de ventas 40%</t>
  </si>
  <si>
    <t xml:space="preserve"> 'Infoinicial CalAux'! 7</t>
  </si>
  <si>
    <t>Disminución de producción 40%</t>
  </si>
  <si>
    <t>Produccion</t>
  </si>
  <si>
    <t xml:space="preserve"> 'Infoinicial CalAux'! 5</t>
  </si>
  <si>
    <t>Disminución sueldos al 50%</t>
  </si>
  <si>
    <t>Sueldos</t>
  </si>
  <si>
    <t xml:space="preserve">  'CA COSTOS'!E40</t>
  </si>
  <si>
    <t>Duplicar plazo de créditos de ventas</t>
  </si>
  <si>
    <t xml:space="preserve"> 'E-InvAT'! J1</t>
  </si>
  <si>
    <t>Modificado</t>
  </si>
  <si>
    <t>Conclusión: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</si>
</sst>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_-* #,##0.00\ _€_-;\-* #,##0.00\ _€_-;_-* &quot;-&quot;??\ _€_-;_-@_-"/>
    <numFmt numFmtId="165" formatCode="[$$-2C0A]\ #,##0.00"/>
    <numFmt numFmtId="166" formatCode="0\ %"/>
    <numFmt numFmtId="167" formatCode="0.00\ %"/>
    <numFmt numFmtId="168" formatCode="_(\$* #,##0.00_);_(\$* \(#,##0.00\);_(\$* \-??_);_(@_)"/>
    <numFmt numFmtId="169" formatCode="0.0"/>
    <numFmt numFmtId="170" formatCode="_-* #,##0.00_-;\-* #,##0.00_-;_-* &quot;-&quot;??_-;_-@"/>
    <numFmt numFmtId="171" formatCode="_-&quot;$&quot;\ * #,##0.00_-;\-&quot;$&quot;\ * #,##0.00_-;_-&quot;$&quot;\ * &quot;-&quot;??_-;_-@"/>
    <numFmt numFmtId="172" formatCode="0.000"/>
    <numFmt numFmtId="173" formatCode="&quot;$&quot;#,##0"/>
    <numFmt numFmtId="174" formatCode="&quot;$&quot;#,##0.00"/>
    <numFmt numFmtId="175" formatCode="_-* #,##0.00\ _€_-;\-* #,##0.00\ _€_-;_-* &quot;-&quot;??\ _€_-;_-@"/>
    <numFmt numFmtId="176" formatCode="_(\$* #,##0.00_);_(\$* \(#,##0.00\);_(\$* \-??.0_);_(@_)"/>
    <numFmt numFmtId="177" formatCode="0.0%"/>
    <numFmt numFmtId="178" formatCode="0.0\ %"/>
    <numFmt numFmtId="179" formatCode="_(* #,##0.00_);_(* \(#,##0.00\);_(* \-??_);_(@_)"/>
    <numFmt numFmtId="180" formatCode="[$ $]#,##0.00"/>
    <numFmt numFmtId="181" formatCode="_-[$$-2C0A]\ * #,##0.00_-;\-[$$-2C0A]\ * #,##0.00_-;_-[$$-2C0A]\ * &quot;-&quot;??_-;_-@_-"/>
    <numFmt numFmtId="182" formatCode="&quot;$&quot;#,##0.00_);[Red]\(&quot;$&quot;#,##0.00\)"/>
    <numFmt numFmtId="183" formatCode="&quot;$&quot;\ #,##0.00"/>
    <numFmt numFmtId="184" formatCode="_-[$$-409]* #,##0.00_ ;_-[$$-409]* \-#,##0.00\ ;_-[$$-409]* &quot;-&quot;??_ ;_-@_ "/>
    <numFmt numFmtId="185" formatCode="[$$-340A]#,##0.00"/>
  </numFmts>
  <fonts count="98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  <scheme val="minor"/>
    </font>
    <font>
      <i/>
      <u/>
      <sz val="9"/>
      <color rgb="FF1F497D"/>
      <name val="Arial"/>
      <family val="2"/>
    </font>
    <font>
      <b/>
      <i/>
      <sz val="10"/>
      <color theme="1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i/>
      <sz val="8"/>
      <color theme="4"/>
      <name val="Arial"/>
      <family val="2"/>
    </font>
    <font>
      <b/>
      <sz val="14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b/>
      <u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Inconsolata"/>
    </font>
    <font>
      <sz val="10"/>
      <color rgb="FF222222"/>
      <name val="Arial"/>
      <family val="2"/>
    </font>
    <font>
      <u/>
      <sz val="10"/>
      <color theme="1"/>
      <name val="Calibri"/>
      <family val="2"/>
    </font>
    <font>
      <sz val="10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F7981D"/>
      <name val="Inconsolata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1"/>
      <color rgb="FF222222"/>
      <name val="Sans-serif"/>
    </font>
    <font>
      <b/>
      <u/>
      <sz val="10"/>
      <color theme="1"/>
      <name val="Calibri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, Arial"/>
    </font>
    <font>
      <sz val="10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10"/>
      <color theme="10"/>
      <name val="Calibri"/>
    </font>
    <font>
      <sz val="11"/>
      <color rgb="FF222222"/>
      <name val="Calibri"/>
    </font>
    <font>
      <u/>
      <sz val="10"/>
      <color theme="10"/>
      <name val="Arial"/>
      <scheme val="minor"/>
    </font>
    <font>
      <sz val="11"/>
      <color rgb="FF222222"/>
      <name val="Arial"/>
      <charset val="1"/>
    </font>
    <font>
      <u/>
      <sz val="9"/>
      <color theme="10"/>
      <name val="Arial"/>
      <scheme val="minor"/>
    </font>
    <font>
      <sz val="10"/>
      <name val="Times New Roman"/>
      <family val="1"/>
      <charset val="204"/>
    </font>
    <font>
      <sz val="10"/>
      <name val="Calibri"/>
    </font>
    <font>
      <u/>
      <sz val="10"/>
      <color rgb="FF000000"/>
      <name val="Arial"/>
      <scheme val="minor"/>
    </font>
    <font>
      <sz val="8"/>
      <color rgb="FF000000"/>
      <name val="Calibri"/>
    </font>
    <font>
      <sz val="10"/>
      <color rgb="FF000000"/>
      <name val="Calibri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</font>
    <font>
      <sz val="10"/>
      <color rgb="FF000000"/>
      <name val="Arial"/>
      <charset val="1"/>
    </font>
    <font>
      <sz val="10"/>
      <color rgb="FF000000"/>
      <name val="Calibri"/>
      <charset val="1"/>
    </font>
    <font>
      <b/>
      <sz val="10"/>
      <color rgb="FF000000"/>
      <name val="Arial"/>
    </font>
    <font>
      <sz val="9"/>
      <color rgb="FF222222"/>
      <name val="Arial"/>
      <family val="2"/>
    </font>
    <font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  <scheme val="minor"/>
    </font>
    <font>
      <b/>
      <i/>
      <sz val="10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000000"/>
      <name val="Arial"/>
      <charset val="1"/>
    </font>
    <font>
      <b/>
      <sz val="10"/>
      <name val="Arial"/>
    </font>
    <font>
      <sz val="10"/>
      <name val="Arial"/>
    </font>
    <font>
      <b/>
      <sz val="10"/>
      <color rgb="FF000000"/>
      <name val="Arial"/>
      <charset val="1"/>
    </font>
    <font>
      <sz val="11"/>
      <color rgb="FF444444"/>
      <name val="Calibri"/>
      <family val="2"/>
      <charset val="1"/>
    </font>
    <font>
      <sz val="11"/>
      <color rgb="FF000000"/>
      <name val="Arial"/>
      <charset val="1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2"/>
      <name val="Symbol"/>
      <family val="1"/>
      <charset val="2"/>
    </font>
    <font>
      <b/>
      <sz val="10"/>
      <color rgb="FFFFFFFF"/>
      <name val="Arial"/>
      <family val="2"/>
      <charset val="1"/>
    </font>
    <font>
      <sz val="10"/>
      <color rgb="FF000000"/>
      <name val="Arial"/>
      <scheme val="minor"/>
    </font>
    <font>
      <b/>
      <u/>
      <sz val="9"/>
      <color indexed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Calibri"/>
      <charset val="1"/>
    </font>
    <font>
      <u/>
      <sz val="10"/>
      <name val="Arial"/>
      <family val="2"/>
    </font>
    <font>
      <b/>
      <sz val="10"/>
      <color rgb="FFFFFFFF"/>
      <name val="Arial"/>
    </font>
    <font>
      <sz val="14"/>
      <color rgb="FF000000"/>
      <name val="Arial"/>
      <scheme val="minor"/>
    </font>
    <font>
      <b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</fonts>
  <fills count="32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FF420E"/>
        <bgColor rgb="FFFF420E"/>
      </patternFill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rgb="FFBDD6EE"/>
        <bgColor rgb="FFBDD6EE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  <fill>
      <patternFill patternType="solid">
        <fgColor rgb="FFCCC0D9"/>
        <bgColor rgb="FFCCC0D9"/>
      </patternFill>
    </fill>
    <fill>
      <patternFill patternType="solid">
        <fgColor rgb="FFF7CAAC"/>
        <bgColor rgb="FFF7CAAC"/>
      </patternFill>
    </fill>
    <fill>
      <patternFill patternType="solid">
        <fgColor rgb="FFC8C8C8"/>
        <bgColor rgb="FFC8C8C8"/>
      </patternFill>
    </fill>
    <fill>
      <patternFill patternType="solid">
        <fgColor rgb="FFC0C0C0"/>
        <bgColor rgb="FFDDDDDD"/>
      </patternFill>
    </fill>
    <fill>
      <patternFill patternType="solid">
        <fgColor rgb="FFE2EFDA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420E"/>
        <bgColor rgb="FFED1C2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62A73B"/>
        <bgColor rgb="FF808080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</fills>
  <borders count="2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/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/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/>
      <right/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3C3C3C"/>
      </left>
      <right/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thin">
        <color rgb="FF000000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/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/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double">
        <color rgb="FF000000"/>
      </left>
      <right style="thin">
        <color rgb="FF3C3C3C"/>
      </right>
      <top/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000000"/>
      </right>
      <top style="hair">
        <color rgb="FF3C3C3C"/>
      </top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/>
      <right/>
      <top style="hair">
        <color rgb="FF3C3C3C"/>
      </top>
      <bottom style="hair">
        <color rgb="FF3C3C3C"/>
      </bottom>
      <diagonal/>
    </border>
    <border>
      <left/>
      <right/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/>
      <top/>
      <bottom style="hair">
        <color rgb="FF3C3C3C"/>
      </bottom>
      <diagonal/>
    </border>
    <border>
      <left/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/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/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/>
      <top style="hair">
        <color rgb="FF3C3C3C"/>
      </top>
      <bottom style="double">
        <color rgb="FF3C3C3C"/>
      </bottom>
      <diagonal/>
    </border>
    <border>
      <left style="thin">
        <color rgb="FF3C3C3C"/>
      </left>
      <right/>
      <top/>
      <bottom style="hair">
        <color rgb="FF3C3C3C"/>
      </bottom>
      <diagonal/>
    </border>
    <border>
      <left style="thin">
        <color rgb="FF3C3C3C"/>
      </left>
      <right/>
      <top style="hair">
        <color rgb="FF3C3C3C"/>
      </top>
      <bottom style="hair">
        <color rgb="FF3C3C3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double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/>
      <bottom style="double">
        <color rgb="FF3C3C3C"/>
      </bottom>
      <diagonal/>
    </border>
    <border>
      <left/>
      <right style="thin">
        <color rgb="FF3C3C3C"/>
      </right>
      <top/>
      <bottom style="double">
        <color rgb="FF3C3C3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double">
        <color rgb="FF000000"/>
      </left>
      <right style="thin">
        <color rgb="FF3C3C3C"/>
      </right>
      <top/>
      <bottom style="double">
        <color rgb="FF000000"/>
      </bottom>
      <diagonal/>
    </border>
    <border>
      <left style="thin">
        <color rgb="FF3C3C3C"/>
      </left>
      <right style="thin">
        <color rgb="FF3C3C3C"/>
      </right>
      <top/>
      <bottom style="double">
        <color rgb="FF000000"/>
      </bottom>
      <diagonal/>
    </border>
    <border>
      <left style="thin">
        <color rgb="FF3C3C3C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3C3C3C"/>
      </left>
      <right/>
      <top style="double">
        <color rgb="FF3C3C3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double">
        <color rgb="FF3C3C3C"/>
      </right>
      <top/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/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/>
      <right style="double">
        <color rgb="FF3C3C3C"/>
      </right>
      <top style="double">
        <color rgb="FF3C3C3C"/>
      </top>
      <bottom style="thin">
        <color rgb="FF3C3C3C"/>
      </bottom>
      <diagonal/>
    </border>
    <border>
      <left style="double">
        <color rgb="FF3C3C3C"/>
      </left>
      <right style="thin">
        <color rgb="FF3C3C3C"/>
      </right>
      <top/>
      <bottom/>
      <diagonal/>
    </border>
    <border>
      <left/>
      <right style="thin">
        <color rgb="FF3C3C3C"/>
      </right>
      <top/>
      <bottom/>
      <diagonal/>
    </border>
    <border>
      <left/>
      <right style="double">
        <color rgb="FF3C3C3C"/>
      </right>
      <top/>
      <bottom/>
      <diagonal/>
    </border>
    <border>
      <left/>
      <right/>
      <top/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/>
      <bottom style="double">
        <color rgb="FF3C3C3C"/>
      </bottom>
      <diagonal/>
    </border>
    <border>
      <left/>
      <right/>
      <top/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double">
        <color rgb="FF3C3C3C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double">
        <color rgb="FF3C3C3C"/>
      </left>
      <right style="double">
        <color rgb="FF3C3C3C"/>
      </right>
      <top/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/>
      <bottom style="double">
        <color rgb="FF3C3C3C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/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/>
      <right style="thin">
        <color rgb="FF3C3C3C"/>
      </right>
      <top style="thin">
        <color rgb="FF000000"/>
      </top>
      <bottom style="double">
        <color rgb="FF000000"/>
      </bottom>
      <diagonal/>
    </border>
    <border>
      <left style="thin">
        <color rgb="FF3C3C3C"/>
      </left>
      <right style="double">
        <color rgb="FF3C3C3C"/>
      </right>
      <top style="thin">
        <color rgb="FF000000"/>
      </top>
      <bottom style="double">
        <color rgb="FF000000"/>
      </bottom>
      <diagonal/>
    </border>
    <border>
      <left/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/>
      <bottom/>
      <diagonal/>
    </border>
    <border>
      <left/>
      <right style="double">
        <color rgb="FF3C3C3C"/>
      </right>
      <top style="thin">
        <color rgb="FF000000"/>
      </top>
      <bottom style="double">
        <color rgb="FF000000"/>
      </bottom>
      <diagonal/>
    </border>
    <border>
      <left/>
      <right style="thin">
        <color rgb="FF3C3C3C"/>
      </right>
      <top style="double">
        <color rgb="FF3C3C3C"/>
      </top>
      <bottom/>
      <diagonal/>
    </border>
    <border>
      <left/>
      <right style="double">
        <color rgb="FF3C3C3C"/>
      </right>
      <top style="double">
        <color rgb="FF3C3C3C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hair">
        <color rgb="FF3C3C3C"/>
      </bottom>
      <diagonal/>
    </border>
    <border>
      <left/>
      <right style="medium">
        <color rgb="FF000000"/>
      </right>
      <top style="medium">
        <color rgb="FF000000"/>
      </top>
      <bottom style="hair">
        <color rgb="FF3C3C3C"/>
      </bottom>
      <diagonal/>
    </border>
    <border>
      <left style="medium">
        <color rgb="FF000000"/>
      </left>
      <right style="thin">
        <color rgb="FF3C3C3C"/>
      </right>
      <top/>
      <bottom style="hair">
        <color rgb="FF3C3C3C"/>
      </bottom>
      <diagonal/>
    </border>
    <border>
      <left/>
      <right style="medium">
        <color rgb="FF000000"/>
      </right>
      <top/>
      <bottom style="hair">
        <color rgb="FF3C3C3C"/>
      </bottom>
      <diagonal/>
    </border>
    <border>
      <left style="medium">
        <color rgb="FF000000"/>
      </left>
      <right style="thin">
        <color rgb="FF3C3C3C"/>
      </right>
      <top/>
      <bottom style="medium">
        <color rgb="FF000000"/>
      </bottom>
      <diagonal/>
    </border>
    <border>
      <left style="double">
        <color rgb="FF3C3C3C"/>
      </left>
      <right/>
      <top/>
      <bottom style="double">
        <color rgb="FF3C3C3C"/>
      </bottom>
      <diagonal/>
    </border>
    <border>
      <left/>
      <right/>
      <top style="medium">
        <color rgb="FF000000"/>
      </top>
      <bottom style="hair">
        <color rgb="FF3C3C3C"/>
      </bottom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/>
      <right style="thin">
        <color rgb="FF3C3C3C"/>
      </right>
      <top/>
      <bottom style="medium">
        <color rgb="FF000000"/>
      </bottom>
      <diagonal/>
    </border>
  </borders>
  <cellStyleXfs count="5">
    <xf numFmtId="0" fontId="0" fillId="0" borderId="0"/>
    <xf numFmtId="0" fontId="51" fillId="0" borderId="103"/>
    <xf numFmtId="0" fontId="52" fillId="0" borderId="103" applyNumberFormat="0" applyFill="0" applyBorder="0" applyAlignment="0" applyProtection="0"/>
    <xf numFmtId="0" fontId="55" fillId="0" borderId="0" applyNumberFormat="0" applyFill="0" applyBorder="0" applyAlignment="0" applyProtection="0"/>
    <xf numFmtId="9" fontId="85" fillId="0" borderId="0" applyFont="0" applyFill="0" applyBorder="0" applyAlignment="0" applyProtection="0"/>
  </cellStyleXfs>
  <cellXfs count="1074">
    <xf numFmtId="0" fontId="0" fillId="0" borderId="0" xfId="0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5" xfId="0" applyFont="1" applyBorder="1"/>
    <xf numFmtId="0" fontId="4" fillId="0" borderId="9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8" fillId="0" borderId="0" xfId="0" applyFont="1"/>
    <xf numFmtId="0" fontId="4" fillId="0" borderId="7" xfId="0" applyFont="1" applyBorder="1"/>
    <xf numFmtId="0" fontId="9" fillId="3" borderId="22" xfId="0" applyFont="1" applyFill="1" applyBorder="1"/>
    <xf numFmtId="0" fontId="4" fillId="0" borderId="24" xfId="0" applyFont="1" applyBorder="1" applyAlignment="1">
      <alignment horizontal="left"/>
    </xf>
    <xf numFmtId="0" fontId="10" fillId="0" borderId="0" xfId="0" applyFont="1"/>
    <xf numFmtId="2" fontId="3" fillId="0" borderId="0" xfId="0" applyNumberFormat="1" applyFont="1"/>
    <xf numFmtId="0" fontId="3" fillId="0" borderId="0" xfId="0" applyFont="1"/>
    <xf numFmtId="10" fontId="4" fillId="0" borderId="24" xfId="0" applyNumberFormat="1" applyFont="1" applyBorder="1" applyAlignment="1">
      <alignment horizontal="left"/>
    </xf>
    <xf numFmtId="0" fontId="4" fillId="0" borderId="0" xfId="0" applyFont="1" applyAlignment="1">
      <alignment wrapText="1"/>
    </xf>
    <xf numFmtId="0" fontId="12" fillId="0" borderId="0" xfId="0" applyFont="1"/>
    <xf numFmtId="0" fontId="1" fillId="0" borderId="26" xfId="0" applyFont="1" applyBorder="1"/>
    <xf numFmtId="0" fontId="1" fillId="0" borderId="0" xfId="0" applyFont="1" applyAlignment="1">
      <alignment horizontal="right"/>
    </xf>
    <xf numFmtId="166" fontId="1" fillId="5" borderId="26" xfId="0" applyNumberFormat="1" applyFont="1" applyFill="1" applyBorder="1"/>
    <xf numFmtId="0" fontId="4" fillId="0" borderId="0" xfId="0" applyFont="1" applyAlignment="1">
      <alignment horizontal="right"/>
    </xf>
    <xf numFmtId="0" fontId="1" fillId="5" borderId="26" xfId="0" applyFont="1" applyFill="1" applyBorder="1" applyAlignment="1">
      <alignment horizontal="center"/>
    </xf>
    <xf numFmtId="167" fontId="1" fillId="5" borderId="26" xfId="0" applyNumberFormat="1" applyFont="1" applyFill="1" applyBorder="1" applyAlignment="1">
      <alignment horizontal="center"/>
    </xf>
    <xf numFmtId="0" fontId="4" fillId="6" borderId="26" xfId="0" applyFont="1" applyFill="1" applyBorder="1"/>
    <xf numFmtId="0" fontId="16" fillId="0" borderId="0" xfId="0" applyFont="1"/>
    <xf numFmtId="0" fontId="1" fillId="0" borderId="0" xfId="0" applyFont="1"/>
    <xf numFmtId="10" fontId="4" fillId="6" borderId="41" xfId="0" applyNumberFormat="1" applyFont="1" applyFill="1" applyBorder="1"/>
    <xf numFmtId="9" fontId="3" fillId="0" borderId="0" xfId="0" applyNumberFormat="1" applyFont="1"/>
    <xf numFmtId="0" fontId="14" fillId="0" borderId="0" xfId="0" applyFont="1"/>
    <xf numFmtId="0" fontId="4" fillId="6" borderId="42" xfId="0" applyFont="1" applyFill="1" applyBorder="1"/>
    <xf numFmtId="2" fontId="5" fillId="0" borderId="0" xfId="0" applyNumberFormat="1" applyFont="1"/>
    <xf numFmtId="0" fontId="18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4" fontId="3" fillId="0" borderId="0" xfId="0" applyNumberFormat="1" applyFont="1"/>
    <xf numFmtId="165" fontId="3" fillId="0" borderId="0" xfId="0" applyNumberFormat="1" applyFont="1"/>
    <xf numFmtId="0" fontId="6" fillId="0" borderId="0" xfId="0" applyFont="1"/>
    <xf numFmtId="0" fontId="4" fillId="0" borderId="56" xfId="0" applyFont="1" applyBorder="1"/>
    <xf numFmtId="0" fontId="1" fillId="0" borderId="57" xfId="0" applyFont="1" applyBorder="1"/>
    <xf numFmtId="0" fontId="4" fillId="0" borderId="57" xfId="0" applyFont="1" applyBorder="1"/>
    <xf numFmtId="168" fontId="4" fillId="0" borderId="0" xfId="0" applyNumberFormat="1" applyFont="1"/>
    <xf numFmtId="0" fontId="4" fillId="0" borderId="57" xfId="0" applyFont="1" applyBorder="1" applyAlignment="1">
      <alignment horizontal="left"/>
    </xf>
    <xf numFmtId="0" fontId="1" fillId="0" borderId="53" xfId="0" applyFont="1" applyBorder="1"/>
    <xf numFmtId="0" fontId="1" fillId="0" borderId="56" xfId="0" applyFont="1" applyBorder="1"/>
    <xf numFmtId="170" fontId="4" fillId="0" borderId="0" xfId="0" applyNumberFormat="1" applyFont="1"/>
    <xf numFmtId="0" fontId="34" fillId="0" borderId="0" xfId="0" applyFont="1"/>
    <xf numFmtId="165" fontId="6" fillId="0" borderId="0" xfId="0" applyNumberFormat="1" applyFont="1"/>
    <xf numFmtId="0" fontId="35" fillId="0" borderId="0" xfId="0" applyFont="1"/>
    <xf numFmtId="169" fontId="3" fillId="0" borderId="0" xfId="0" applyNumberFormat="1" applyFont="1"/>
    <xf numFmtId="2" fontId="4" fillId="0" borderId="0" xfId="0" applyNumberFormat="1" applyFont="1"/>
    <xf numFmtId="0" fontId="38" fillId="0" borderId="0" xfId="0" applyFont="1"/>
    <xf numFmtId="172" fontId="5" fillId="0" borderId="0" xfId="0" applyNumberFormat="1" applyFont="1"/>
    <xf numFmtId="0" fontId="4" fillId="0" borderId="70" xfId="0" applyFont="1" applyBorder="1"/>
    <xf numFmtId="0" fontId="4" fillId="0" borderId="70" xfId="0" applyFont="1" applyBorder="1" applyAlignment="1">
      <alignment horizontal="right"/>
    </xf>
    <xf numFmtId="0" fontId="3" fillId="0" borderId="71" xfId="0" applyFont="1" applyBorder="1"/>
    <xf numFmtId="0" fontId="5" fillId="0" borderId="71" xfId="0" applyFont="1" applyBorder="1"/>
    <xf numFmtId="173" fontId="4" fillId="0" borderId="0" xfId="0" applyNumberFormat="1" applyFont="1"/>
    <xf numFmtId="1" fontId="3" fillId="0" borderId="9" xfId="0" applyNumberFormat="1" applyFont="1" applyBorder="1"/>
    <xf numFmtId="1" fontId="3" fillId="0" borderId="0" xfId="0" applyNumberFormat="1" applyFont="1"/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9" fillId="0" borderId="0" xfId="0" applyFont="1"/>
    <xf numFmtId="0" fontId="41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173" fontId="5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173" fontId="5" fillId="0" borderId="0" xfId="0" applyNumberFormat="1" applyFont="1" applyAlignment="1">
      <alignment horizontal="center"/>
    </xf>
    <xf numFmtId="0" fontId="4" fillId="0" borderId="46" xfId="0" applyFont="1" applyBorder="1"/>
    <xf numFmtId="4" fontId="5" fillId="0" borderId="0" xfId="0" applyNumberFormat="1" applyFont="1" applyAlignment="1">
      <alignment horizontal="center"/>
    </xf>
    <xf numFmtId="17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28" fillId="0" borderId="60" xfId="0" applyFont="1" applyBorder="1" applyAlignment="1">
      <alignment horizontal="center"/>
    </xf>
    <xf numFmtId="0" fontId="28" fillId="0" borderId="51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4" fillId="0" borderId="75" xfId="0" applyFont="1" applyBorder="1"/>
    <xf numFmtId="0" fontId="4" fillId="0" borderId="57" xfId="0" applyFont="1" applyBorder="1" applyAlignment="1">
      <alignment horizontal="right"/>
    </xf>
    <xf numFmtId="0" fontId="9" fillId="0" borderId="57" xfId="0" applyFont="1" applyBorder="1" applyAlignment="1">
      <alignment horizontal="right"/>
    </xf>
    <xf numFmtId="0" fontId="4" fillId="0" borderId="77" xfId="0" applyFont="1" applyBorder="1"/>
    <xf numFmtId="0" fontId="1" fillId="0" borderId="77" xfId="0" applyFont="1" applyBorder="1"/>
    <xf numFmtId="0" fontId="4" fillId="0" borderId="48" xfId="0" applyFont="1" applyBorder="1"/>
    <xf numFmtId="0" fontId="1" fillId="0" borderId="53" xfId="0" applyFont="1" applyBorder="1" applyAlignment="1">
      <alignment horizontal="center"/>
    </xf>
    <xf numFmtId="0" fontId="9" fillId="0" borderId="57" xfId="0" applyFont="1" applyBorder="1" applyAlignment="1">
      <alignment horizontal="left"/>
    </xf>
    <xf numFmtId="0" fontId="4" fillId="0" borderId="84" xfId="0" applyFont="1" applyBorder="1"/>
    <xf numFmtId="0" fontId="4" fillId="0" borderId="85" xfId="0" applyFont="1" applyBorder="1"/>
    <xf numFmtId="174" fontId="4" fillId="0" borderId="0" xfId="0" applyNumberFormat="1" applyFont="1"/>
    <xf numFmtId="0" fontId="9" fillId="0" borderId="85" xfId="0" applyFont="1" applyBorder="1"/>
    <xf numFmtId="0" fontId="1" fillId="0" borderId="85" xfId="0" applyFont="1" applyBorder="1"/>
    <xf numFmtId="0" fontId="4" fillId="0" borderId="85" xfId="0" applyFont="1" applyBorder="1" applyAlignment="1">
      <alignment horizontal="left"/>
    </xf>
    <xf numFmtId="0" fontId="1" fillId="0" borderId="85" xfId="0" applyFont="1" applyBorder="1" applyAlignment="1">
      <alignment horizontal="left"/>
    </xf>
    <xf numFmtId="0" fontId="1" fillId="0" borderId="87" xfId="0" applyFont="1" applyBorder="1"/>
    <xf numFmtId="0" fontId="1" fillId="0" borderId="82" xfId="0" applyFont="1" applyBorder="1"/>
    <xf numFmtId="0" fontId="28" fillId="0" borderId="0" xfId="0" applyFont="1"/>
    <xf numFmtId="0" fontId="43" fillId="0" borderId="0" xfId="0" applyFont="1"/>
    <xf numFmtId="0" fontId="1" fillId="11" borderId="9" xfId="0" applyFont="1" applyFill="1" applyBorder="1" applyAlignment="1">
      <alignment horizontal="center"/>
    </xf>
    <xf numFmtId="168" fontId="4" fillId="0" borderId="9" xfId="0" applyNumberFormat="1" applyFont="1" applyBorder="1"/>
    <xf numFmtId="0" fontId="4" fillId="12" borderId="9" xfId="0" applyFont="1" applyFill="1" applyBorder="1"/>
    <xf numFmtId="0" fontId="28" fillId="0" borderId="73" xfId="0" applyFont="1" applyBorder="1" applyAlignment="1">
      <alignment horizontal="left"/>
    </xf>
    <xf numFmtId="0" fontId="1" fillId="0" borderId="77" xfId="0" applyFont="1" applyBorder="1" applyAlignment="1">
      <alignment horizontal="center"/>
    </xf>
    <xf numFmtId="0" fontId="1" fillId="0" borderId="54" xfId="0" applyFont="1" applyBorder="1" applyAlignment="1">
      <alignment horizontal="center" wrapText="1"/>
    </xf>
    <xf numFmtId="0" fontId="1" fillId="0" borderId="98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0" borderId="92" xfId="0" applyFont="1" applyBorder="1" applyAlignment="1">
      <alignment horizontal="center"/>
    </xf>
    <xf numFmtId="0" fontId="1" fillId="0" borderId="94" xfId="0" applyFont="1" applyBorder="1" applyAlignment="1">
      <alignment horizontal="center"/>
    </xf>
    <xf numFmtId="0" fontId="1" fillId="0" borderId="96" xfId="0" applyFont="1" applyBorder="1" applyAlignment="1">
      <alignment horizontal="center"/>
    </xf>
    <xf numFmtId="0" fontId="15" fillId="4" borderId="101" xfId="0" applyFont="1" applyFill="1" applyBorder="1"/>
    <xf numFmtId="0" fontId="45" fillId="0" borderId="0" xfId="0" applyFont="1"/>
    <xf numFmtId="0" fontId="44" fillId="0" borderId="0" xfId="0" applyFont="1"/>
    <xf numFmtId="0" fontId="44" fillId="12" borderId="9" xfId="0" applyFont="1" applyFill="1" applyBorder="1" applyAlignment="1">
      <alignment horizontal="center"/>
    </xf>
    <xf numFmtId="9" fontId="44" fillId="0" borderId="9" xfId="0" applyNumberFormat="1" applyFont="1" applyBorder="1" applyAlignment="1">
      <alignment horizontal="center"/>
    </xf>
    <xf numFmtId="0" fontId="44" fillId="7" borderId="9" xfId="0" applyFont="1" applyFill="1" applyBorder="1" applyAlignment="1">
      <alignment horizontal="center"/>
    </xf>
    <xf numFmtId="0" fontId="44" fillId="0" borderId="0" xfId="0" quotePrefix="1" applyFont="1"/>
    <xf numFmtId="0" fontId="46" fillId="0" borderId="0" xfId="0" applyFont="1"/>
    <xf numFmtId="0" fontId="44" fillId="0" borderId="0" xfId="0" applyFont="1" applyAlignment="1">
      <alignment horizontal="right"/>
    </xf>
    <xf numFmtId="9" fontId="44" fillId="0" borderId="0" xfId="0" applyNumberFormat="1" applyFont="1" applyAlignment="1">
      <alignment horizontal="left"/>
    </xf>
    <xf numFmtId="0" fontId="47" fillId="0" borderId="0" xfId="0" applyFont="1"/>
    <xf numFmtId="0" fontId="47" fillId="0" borderId="15" xfId="0" applyFont="1" applyBorder="1"/>
    <xf numFmtId="0" fontId="47" fillId="12" borderId="9" xfId="0" applyFont="1" applyFill="1" applyBorder="1" applyAlignment="1">
      <alignment horizontal="center"/>
    </xf>
    <xf numFmtId="0" fontId="47" fillId="13" borderId="9" xfId="0" applyFont="1" applyFill="1" applyBorder="1"/>
    <xf numFmtId="0" fontId="44" fillId="0" borderId="9" xfId="0" applyFont="1" applyBorder="1"/>
    <xf numFmtId="166" fontId="44" fillId="7" borderId="9" xfId="0" applyNumberFormat="1" applyFont="1" applyFill="1" applyBorder="1" applyAlignment="1">
      <alignment horizontal="center"/>
    </xf>
    <xf numFmtId="0" fontId="44" fillId="13" borderId="9" xfId="0" applyFont="1" applyFill="1" applyBorder="1"/>
    <xf numFmtId="2" fontId="44" fillId="7" borderId="9" xfId="0" applyNumberFormat="1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48" fillId="0" borderId="0" xfId="0" applyFont="1"/>
    <xf numFmtId="0" fontId="44" fillId="0" borderId="15" xfId="0" applyFont="1" applyBorder="1"/>
    <xf numFmtId="0" fontId="47" fillId="13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7" fillId="12" borderId="9" xfId="0" applyFont="1" applyFill="1" applyBorder="1" applyAlignment="1">
      <alignment wrapText="1"/>
    </xf>
    <xf numFmtId="166" fontId="44" fillId="7" borderId="9" xfId="0" applyNumberFormat="1" applyFont="1" applyFill="1" applyBorder="1" applyAlignment="1">
      <alignment horizontal="center" vertical="center"/>
    </xf>
    <xf numFmtId="2" fontId="44" fillId="7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6" borderId="9" xfId="0" applyNumberFormat="1" applyFont="1" applyFill="1" applyBorder="1" applyAlignment="1">
      <alignment horizontal="center" vertical="center"/>
    </xf>
    <xf numFmtId="0" fontId="30" fillId="0" borderId="0" xfId="0" applyFont="1"/>
    <xf numFmtId="0" fontId="44" fillId="2" borderId="9" xfId="0" applyFont="1" applyFill="1" applyBorder="1"/>
    <xf numFmtId="180" fontId="44" fillId="0" borderId="9" xfId="0" applyNumberFormat="1" applyFont="1" applyBorder="1" applyAlignment="1">
      <alignment horizontal="center"/>
    </xf>
    <xf numFmtId="0" fontId="44" fillId="0" borderId="9" xfId="0" applyFont="1" applyBorder="1" applyAlignment="1">
      <alignment horizontal="center"/>
    </xf>
    <xf numFmtId="0" fontId="44" fillId="13" borderId="9" xfId="0" applyFont="1" applyFill="1" applyBorder="1" applyAlignment="1">
      <alignment horizontal="center"/>
    </xf>
    <xf numFmtId="0" fontId="44" fillId="7" borderId="9" xfId="0" applyFont="1" applyFill="1" applyBorder="1"/>
    <xf numFmtId="0" fontId="4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right"/>
    </xf>
    <xf numFmtId="0" fontId="11" fillId="3" borderId="103" xfId="0" applyFont="1" applyFill="1" applyBorder="1"/>
    <xf numFmtId="10" fontId="4" fillId="0" borderId="69" xfId="0" applyNumberFormat="1" applyFont="1" applyBorder="1"/>
    <xf numFmtId="0" fontId="32" fillId="9" borderId="103" xfId="0" applyFont="1" applyFill="1" applyBorder="1"/>
    <xf numFmtId="0" fontId="40" fillId="9" borderId="103" xfId="0" applyFont="1" applyFill="1" applyBorder="1" applyAlignment="1">
      <alignment horizontal="left"/>
    </xf>
    <xf numFmtId="0" fontId="4" fillId="0" borderId="47" xfId="0" applyFont="1" applyBorder="1"/>
    <xf numFmtId="0" fontId="4" fillId="3" borderId="103" xfId="0" applyFont="1" applyFill="1" applyBorder="1"/>
    <xf numFmtId="0" fontId="37" fillId="9" borderId="103" xfId="0" applyFont="1" applyFill="1" applyBorder="1"/>
    <xf numFmtId="0" fontId="55" fillId="3" borderId="103" xfId="3" applyFill="1" applyBorder="1"/>
    <xf numFmtId="0" fontId="51" fillId="14" borderId="26" xfId="0" applyFont="1" applyFill="1" applyBorder="1"/>
    <xf numFmtId="0" fontId="51" fillId="14" borderId="42" xfId="0" applyFont="1" applyFill="1" applyBorder="1"/>
    <xf numFmtId="0" fontId="51" fillId="0" borderId="103" xfId="0" applyFont="1" applyBorder="1"/>
    <xf numFmtId="0" fontId="0" fillId="0" borderId="103" xfId="0" applyBorder="1"/>
    <xf numFmtId="0" fontId="23" fillId="0" borderId="0" xfId="0" applyFont="1" applyAlignment="1">
      <alignment wrapText="1"/>
    </xf>
    <xf numFmtId="0" fontId="23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3" fillId="0" borderId="103" xfId="0" applyFont="1" applyBorder="1"/>
    <xf numFmtId="0" fontId="5" fillId="0" borderId="103" xfId="0" applyFont="1" applyBorder="1"/>
    <xf numFmtId="0" fontId="30" fillId="8" borderId="67" xfId="0" applyFont="1" applyFill="1" applyBorder="1" applyAlignment="1">
      <alignment horizontal="center" vertical="center" wrapText="1"/>
    </xf>
    <xf numFmtId="0" fontId="30" fillId="8" borderId="18" xfId="0" applyFont="1" applyFill="1" applyBorder="1" applyAlignment="1">
      <alignment horizontal="center" vertical="center" wrapText="1"/>
    </xf>
    <xf numFmtId="0" fontId="30" fillId="8" borderId="22" xfId="0" applyFont="1" applyFill="1" applyBorder="1" applyAlignment="1">
      <alignment horizontal="center" vertical="center" wrapText="1"/>
    </xf>
    <xf numFmtId="0" fontId="30" fillId="8" borderId="64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/>
    </xf>
    <xf numFmtId="0" fontId="24" fillId="0" borderId="0" xfId="0" applyFont="1" applyAlignment="1">
      <alignment vertical="top"/>
    </xf>
    <xf numFmtId="0" fontId="3" fillId="15" borderId="0" xfId="0" applyFont="1" applyFill="1"/>
    <xf numFmtId="0" fontId="25" fillId="16" borderId="0" xfId="0" applyFont="1" applyFill="1"/>
    <xf numFmtId="0" fontId="0" fillId="16" borderId="0" xfId="0" applyFill="1"/>
    <xf numFmtId="0" fontId="5" fillId="15" borderId="0" xfId="0" applyFont="1" applyFill="1"/>
    <xf numFmtId="0" fontId="0" fillId="0" borderId="0" xfId="0" applyAlignment="1">
      <alignment wrapText="1"/>
    </xf>
    <xf numFmtId="0" fontId="3" fillId="15" borderId="103" xfId="0" applyFont="1" applyFill="1" applyBorder="1"/>
    <xf numFmtId="10" fontId="51" fillId="15" borderId="103" xfId="0" applyNumberFormat="1" applyFont="1" applyFill="1" applyBorder="1" applyAlignment="1">
      <alignment horizontal="left"/>
    </xf>
    <xf numFmtId="2" fontId="5" fillId="0" borderId="103" xfId="0" applyNumberFormat="1" applyFont="1" applyBorder="1"/>
    <xf numFmtId="0" fontId="4" fillId="0" borderId="103" xfId="0" applyFont="1" applyBorder="1"/>
    <xf numFmtId="182" fontId="27" fillId="0" borderId="103" xfId="0" applyNumberFormat="1" applyFont="1" applyBorder="1" applyAlignment="1">
      <alignment horizontal="left"/>
    </xf>
    <xf numFmtId="8" fontId="4" fillId="0" borderId="0" xfId="0" applyNumberFormat="1" applyFont="1"/>
    <xf numFmtId="165" fontId="3" fillId="15" borderId="0" xfId="0" applyNumberFormat="1" applyFont="1" applyFill="1"/>
    <xf numFmtId="0" fontId="67" fillId="0" borderId="115" xfId="0" applyFont="1" applyBorder="1" applyAlignment="1">
      <alignment readingOrder="1"/>
    </xf>
    <xf numFmtId="0" fontId="67" fillId="0" borderId="116" xfId="0" applyFont="1" applyBorder="1" applyAlignment="1">
      <alignment readingOrder="1"/>
    </xf>
    <xf numFmtId="0" fontId="66" fillId="0" borderId="117" xfId="0" applyFont="1" applyBorder="1" applyAlignment="1">
      <alignment wrapText="1" readingOrder="1"/>
    </xf>
    <xf numFmtId="0" fontId="4" fillId="19" borderId="101" xfId="0" applyFont="1" applyFill="1" applyBorder="1" applyAlignment="1">
      <alignment horizontal="center"/>
    </xf>
    <xf numFmtId="0" fontId="3" fillId="10" borderId="109" xfId="0" applyFont="1" applyFill="1" applyBorder="1" applyAlignment="1">
      <alignment horizontal="center" vertical="center"/>
    </xf>
    <xf numFmtId="0" fontId="3" fillId="10" borderId="107" xfId="0" applyFont="1" applyFill="1" applyBorder="1" applyAlignment="1">
      <alignment horizontal="center" vertical="center"/>
    </xf>
    <xf numFmtId="0" fontId="3" fillId="10" borderId="108" xfId="0" applyFont="1" applyFill="1" applyBorder="1" applyAlignment="1">
      <alignment horizontal="center" vertical="center"/>
    </xf>
    <xf numFmtId="0" fontId="3" fillId="10" borderId="64" xfId="0" applyFont="1" applyFill="1" applyBorder="1" applyAlignment="1">
      <alignment horizontal="center" vertical="center"/>
    </xf>
    <xf numFmtId="0" fontId="3" fillId="10" borderId="45" xfId="0" applyFont="1" applyFill="1" applyBorder="1" applyAlignment="1">
      <alignment horizontal="center" vertical="center"/>
    </xf>
    <xf numFmtId="0" fontId="3" fillId="0" borderId="15" xfId="0" applyFont="1" applyBorder="1"/>
    <xf numFmtId="0" fontId="30" fillId="8" borderId="103" xfId="0" applyFont="1" applyFill="1" applyBorder="1" applyAlignment="1">
      <alignment horizontal="center" vertical="center" wrapText="1"/>
    </xf>
    <xf numFmtId="0" fontId="0" fillId="0" borderId="9" xfId="0" applyBorder="1"/>
    <xf numFmtId="3" fontId="0" fillId="0" borderId="0" xfId="0" applyNumberFormat="1"/>
    <xf numFmtId="44" fontId="5" fillId="0" borderId="0" xfId="0" applyNumberFormat="1" applyFont="1"/>
    <xf numFmtId="10" fontId="0" fillId="0" borderId="0" xfId="0" applyNumberFormat="1"/>
    <xf numFmtId="183" fontId="0" fillId="0" borderId="0" xfId="0" applyNumberFormat="1"/>
    <xf numFmtId="0" fontId="0" fillId="15" borderId="0" xfId="0" applyFill="1"/>
    <xf numFmtId="175" fontId="3" fillId="18" borderId="0" xfId="0" applyNumberFormat="1" applyFont="1" applyFill="1"/>
    <xf numFmtId="171" fontId="3" fillId="18" borderId="0" xfId="0" applyNumberFormat="1" applyFont="1" applyFill="1"/>
    <xf numFmtId="175" fontId="3" fillId="18" borderId="103" xfId="0" applyNumberFormat="1" applyFont="1" applyFill="1" applyBorder="1"/>
    <xf numFmtId="0" fontId="27" fillId="20" borderId="103" xfId="0" applyFont="1" applyFill="1" applyBorder="1" applyAlignment="1">
      <alignment horizontal="center"/>
    </xf>
    <xf numFmtId="182" fontId="27" fillId="20" borderId="103" xfId="0" applyNumberFormat="1" applyFont="1" applyFill="1" applyBorder="1"/>
    <xf numFmtId="182" fontId="27" fillId="20" borderId="103" xfId="0" applyNumberFormat="1" applyFont="1" applyFill="1" applyBorder="1" applyAlignment="1">
      <alignment horizontal="left"/>
    </xf>
    <xf numFmtId="0" fontId="0" fillId="20" borderId="0" xfId="0" applyFill="1"/>
    <xf numFmtId="0" fontId="5" fillId="15" borderId="103" xfId="0" applyFont="1" applyFill="1" applyBorder="1"/>
    <xf numFmtId="0" fontId="0" fillId="0" borderId="0" xfId="0" applyAlignment="1">
      <alignment horizontal="center"/>
    </xf>
    <xf numFmtId="0" fontId="39" fillId="0" borderId="103" xfId="0" applyFont="1" applyBorder="1"/>
    <xf numFmtId="165" fontId="3" fillId="15" borderId="103" xfId="0" applyNumberFormat="1" applyFont="1" applyFill="1" applyBorder="1"/>
    <xf numFmtId="171" fontId="5" fillId="18" borderId="103" xfId="0" applyNumberFormat="1" applyFont="1" applyFill="1" applyBorder="1"/>
    <xf numFmtId="171" fontId="5" fillId="18" borderId="0" xfId="0" applyNumberFormat="1" applyFont="1" applyFill="1"/>
    <xf numFmtId="44" fontId="0" fillId="0" borderId="0" xfId="0" applyNumberFormat="1"/>
    <xf numFmtId="165" fontId="3" fillId="18" borderId="0" xfId="0" applyNumberFormat="1" applyFont="1" applyFill="1"/>
    <xf numFmtId="0" fontId="5" fillId="18" borderId="0" xfId="0" applyFont="1" applyFill="1"/>
    <xf numFmtId="4" fontId="0" fillId="0" borderId="0" xfId="0" applyNumberFormat="1"/>
    <xf numFmtId="4" fontId="0" fillId="0" borderId="0" xfId="0" applyNumberFormat="1" applyAlignment="1">
      <alignment horizontal="left" vertical="top"/>
    </xf>
    <xf numFmtId="4" fontId="5" fillId="0" borderId="0" xfId="0" applyNumberFormat="1" applyFont="1"/>
    <xf numFmtId="2" fontId="3" fillId="0" borderId="103" xfId="0" applyNumberFormat="1" applyFont="1" applyBorder="1"/>
    <xf numFmtId="4" fontId="0" fillId="0" borderId="103" xfId="0" applyNumberFormat="1" applyBorder="1"/>
    <xf numFmtId="4" fontId="0" fillId="0" borderId="103" xfId="0" applyNumberFormat="1" applyBorder="1" applyAlignment="1">
      <alignment horizontal="left" vertical="top"/>
    </xf>
    <xf numFmtId="0" fontId="55" fillId="0" borderId="0" xfId="3" applyAlignment="1">
      <alignment vertical="top" wrapText="1"/>
    </xf>
    <xf numFmtId="0" fontId="0" fillId="0" borderId="0" xfId="0" applyAlignment="1">
      <alignment horizontal="right" vertical="top"/>
    </xf>
    <xf numFmtId="4" fontId="30" fillId="18" borderId="103" xfId="0" applyNumberFormat="1" applyFont="1" applyFill="1" applyBorder="1" applyAlignment="1">
      <alignment horizontal="left" vertical="top"/>
    </xf>
    <xf numFmtId="9" fontId="0" fillId="0" borderId="0" xfId="0" applyNumberFormat="1"/>
    <xf numFmtId="0" fontId="6" fillId="0" borderId="103" xfId="0" applyFont="1" applyBorder="1"/>
    <xf numFmtId="0" fontId="4" fillId="15" borderId="0" xfId="0" applyFont="1" applyFill="1" applyAlignment="1">
      <alignment horizontal="right"/>
    </xf>
    <xf numFmtId="0" fontId="56" fillId="0" borderId="0" xfId="0" applyFont="1"/>
    <xf numFmtId="0" fontId="0" fillId="0" borderId="0" xfId="0" applyAlignment="1">
      <alignment vertical="top"/>
    </xf>
    <xf numFmtId="0" fontId="70" fillId="0" borderId="57" xfId="0" applyFont="1" applyBorder="1" applyAlignment="1">
      <alignment horizontal="right"/>
    </xf>
    <xf numFmtId="165" fontId="0" fillId="0" borderId="0" xfId="0" applyNumberFormat="1"/>
    <xf numFmtId="164" fontId="4" fillId="21" borderId="0" xfId="0" applyNumberFormat="1" applyFont="1" applyFill="1"/>
    <xf numFmtId="0" fontId="4" fillId="0" borderId="0" xfId="0" applyFont="1" applyAlignment="1">
      <alignment horizontal="left"/>
    </xf>
    <xf numFmtId="177" fontId="3" fillId="0" borderId="0" xfId="0" applyNumberFormat="1" applyFont="1"/>
    <xf numFmtId="0" fontId="1" fillId="0" borderId="103" xfId="0" applyFont="1" applyBorder="1"/>
    <xf numFmtId="0" fontId="4" fillId="0" borderId="121" xfId="0" applyFont="1" applyBorder="1"/>
    <xf numFmtId="0" fontId="27" fillId="0" borderId="0" xfId="0" applyFont="1"/>
    <xf numFmtId="164" fontId="4" fillId="0" borderId="0" xfId="0" applyNumberFormat="1" applyFont="1"/>
    <xf numFmtId="4" fontId="3" fillId="15" borderId="0" xfId="0" applyNumberFormat="1" applyFont="1" applyFill="1"/>
    <xf numFmtId="0" fontId="0" fillId="0" borderId="10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0" borderId="103" xfId="0" applyFont="1" applyFill="1" applyBorder="1"/>
    <xf numFmtId="4" fontId="4" fillId="0" borderId="0" xfId="0" applyNumberFormat="1" applyFont="1"/>
    <xf numFmtId="168" fontId="4" fillId="15" borderId="26" xfId="0" applyNumberFormat="1" applyFont="1" applyFill="1" applyBorder="1"/>
    <xf numFmtId="2" fontId="4" fillId="15" borderId="26" xfId="0" applyNumberFormat="1" applyFont="1" applyFill="1" applyBorder="1" applyAlignment="1">
      <alignment horizontal="right"/>
    </xf>
    <xf numFmtId="166" fontId="4" fillId="15" borderId="26" xfId="0" applyNumberFormat="1" applyFont="1" applyFill="1" applyBorder="1"/>
    <xf numFmtId="9" fontId="51" fillId="15" borderId="103" xfId="0" applyNumberFormat="1" applyFont="1" applyFill="1" applyBorder="1" applyAlignment="1">
      <alignment horizontal="left"/>
    </xf>
    <xf numFmtId="0" fontId="70" fillId="15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3" fillId="15" borderId="103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28" fillId="0" borderId="73" xfId="0" applyFont="1" applyBorder="1" applyAlignment="1">
      <alignment horizontal="center"/>
    </xf>
    <xf numFmtId="0" fontId="1" fillId="22" borderId="11" xfId="0" applyFont="1" applyFill="1" applyBorder="1" applyAlignment="1">
      <alignment horizontal="center"/>
    </xf>
    <xf numFmtId="0" fontId="1" fillId="22" borderId="12" xfId="0" applyFont="1" applyFill="1" applyBorder="1" applyAlignment="1">
      <alignment horizontal="center"/>
    </xf>
    <xf numFmtId="0" fontId="1" fillId="22" borderId="13" xfId="0" applyFont="1" applyFill="1" applyBorder="1" applyAlignment="1">
      <alignment horizontal="center"/>
    </xf>
    <xf numFmtId="0" fontId="1" fillId="22" borderId="14" xfId="0" applyFont="1" applyFill="1" applyBorder="1"/>
    <xf numFmtId="0" fontId="1" fillId="22" borderId="8" xfId="0" applyFont="1" applyFill="1" applyBorder="1"/>
    <xf numFmtId="0" fontId="1" fillId="22" borderId="16" xfId="0" applyFont="1" applyFill="1" applyBorder="1"/>
    <xf numFmtId="0" fontId="1" fillId="22" borderId="23" xfId="0" applyFont="1" applyFill="1" applyBorder="1"/>
    <xf numFmtId="0" fontId="1" fillId="22" borderId="25" xfId="0" applyFont="1" applyFill="1" applyBorder="1"/>
    <xf numFmtId="0" fontId="1" fillId="22" borderId="1" xfId="0" applyFont="1" applyFill="1" applyBorder="1" applyAlignment="1">
      <alignment horizontal="left" vertical="top"/>
    </xf>
    <xf numFmtId="0" fontId="2" fillId="22" borderId="2" xfId="0" applyFont="1" applyFill="1" applyBorder="1"/>
    <xf numFmtId="0" fontId="2" fillId="22" borderId="3" xfId="0" applyFont="1" applyFill="1" applyBorder="1"/>
    <xf numFmtId="0" fontId="4" fillId="22" borderId="46" xfId="0" applyFont="1" applyFill="1" applyBorder="1"/>
    <xf numFmtId="0" fontId="3" fillId="22" borderId="8" xfId="0" applyFont="1" applyFill="1" applyBorder="1"/>
    <xf numFmtId="0" fontId="4" fillId="22" borderId="9" xfId="0" applyFont="1" applyFill="1" applyBorder="1"/>
    <xf numFmtId="0" fontId="4" fillId="22" borderId="10" xfId="0" applyFont="1" applyFill="1" applyBorder="1"/>
    <xf numFmtId="0" fontId="66" fillId="22" borderId="15" xfId="0" applyFont="1" applyFill="1" applyBorder="1" applyAlignment="1">
      <alignment readingOrder="1"/>
    </xf>
    <xf numFmtId="0" fontId="66" fillId="22" borderId="118" xfId="0" applyFont="1" applyFill="1" applyBorder="1" applyAlignment="1">
      <alignment readingOrder="1"/>
    </xf>
    <xf numFmtId="3" fontId="54" fillId="0" borderId="102" xfId="0" applyNumberFormat="1" applyFont="1" applyBorder="1" applyAlignment="1">
      <alignment wrapText="1"/>
    </xf>
    <xf numFmtId="3" fontId="54" fillId="0" borderId="104" xfId="0" applyNumberFormat="1" applyFont="1" applyBorder="1" applyAlignment="1">
      <alignment wrapText="1"/>
    </xf>
    <xf numFmtId="4" fontId="54" fillId="0" borderId="102" xfId="0" applyNumberFormat="1" applyFont="1" applyBorder="1" applyAlignment="1">
      <alignment wrapText="1"/>
    </xf>
    <xf numFmtId="165" fontId="4" fillId="0" borderId="17" xfId="0" applyNumberFormat="1" applyFont="1" applyBorder="1"/>
    <xf numFmtId="0" fontId="4" fillId="0" borderId="1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2" fillId="0" borderId="2" xfId="0" applyFont="1" applyBorder="1"/>
    <xf numFmtId="0" fontId="20" fillId="0" borderId="15" xfId="0" applyFont="1" applyBorder="1" applyAlignment="1">
      <alignment wrapText="1"/>
    </xf>
    <xf numFmtId="0" fontId="58" fillId="0" borderId="102" xfId="0" applyFont="1" applyBorder="1" applyAlignment="1">
      <alignment wrapText="1"/>
    </xf>
    <xf numFmtId="0" fontId="58" fillId="0" borderId="71" xfId="0" applyFont="1" applyBorder="1" applyAlignment="1">
      <alignment wrapText="1"/>
    </xf>
    <xf numFmtId="3" fontId="58" fillId="0" borderId="105" xfId="0" applyNumberFormat="1" applyFont="1" applyBorder="1" applyAlignment="1">
      <alignment wrapText="1"/>
    </xf>
    <xf numFmtId="0" fontId="3" fillId="0" borderId="10" xfId="0" applyFont="1" applyBorder="1"/>
    <xf numFmtId="0" fontId="20" fillId="0" borderId="15" xfId="0" applyFont="1" applyBorder="1" applyAlignment="1">
      <alignment horizontal="left" vertical="top" wrapText="1"/>
    </xf>
    <xf numFmtId="0" fontId="58" fillId="0" borderId="106" xfId="0" applyFont="1" applyBorder="1" applyAlignment="1">
      <alignment wrapText="1"/>
    </xf>
    <xf numFmtId="3" fontId="58" fillId="0" borderId="106" xfId="0" applyNumberFormat="1" applyFont="1" applyBorder="1" applyAlignment="1">
      <alignment wrapText="1"/>
    </xf>
    <xf numFmtId="0" fontId="21" fillId="0" borderId="15" xfId="0" applyFont="1" applyBorder="1" applyAlignment="1">
      <alignment horizontal="left" vertical="top" wrapText="1"/>
    </xf>
    <xf numFmtId="0" fontId="55" fillId="0" borderId="9" xfId="3" applyFill="1" applyBorder="1" applyAlignment="1">
      <alignment vertical="top" wrapText="1"/>
    </xf>
    <xf numFmtId="0" fontId="27" fillId="0" borderId="102" xfId="0" applyFont="1" applyBorder="1"/>
    <xf numFmtId="0" fontId="27" fillId="0" borderId="15" xfId="0" applyFont="1" applyBorder="1" applyAlignment="1">
      <alignment horizontal="center"/>
    </xf>
    <xf numFmtId="181" fontId="18" fillId="0" borderId="9" xfId="0" applyNumberFormat="1" applyFont="1" applyBorder="1" applyAlignment="1">
      <alignment horizontal="left"/>
    </xf>
    <xf numFmtId="0" fontId="53" fillId="0" borderId="9" xfId="2" applyFont="1" applyFill="1" applyBorder="1" applyAlignment="1">
      <alignment vertical="top" wrapText="1"/>
    </xf>
    <xf numFmtId="0" fontId="27" fillId="0" borderId="69" xfId="0" applyFont="1" applyBorder="1"/>
    <xf numFmtId="0" fontId="27" fillId="0" borderId="70" xfId="0" applyFont="1" applyBorder="1" applyAlignment="1">
      <alignment horizontal="center"/>
    </xf>
    <xf numFmtId="181" fontId="18" fillId="0" borderId="47" xfId="0" applyNumberFormat="1" applyFont="1" applyBorder="1" applyAlignment="1">
      <alignment horizontal="left"/>
    </xf>
    <xf numFmtId="0" fontId="52" fillId="0" borderId="9" xfId="2" applyFill="1" applyBorder="1" applyAlignment="1">
      <alignment wrapText="1"/>
    </xf>
    <xf numFmtId="0" fontId="27" fillId="0" borderId="15" xfId="0" applyFont="1" applyBorder="1" applyAlignment="1">
      <alignment horizontal="left"/>
    </xf>
    <xf numFmtId="182" fontId="27" fillId="0" borderId="102" xfId="0" applyNumberFormat="1" applyFont="1" applyBorder="1" applyAlignment="1">
      <alignment horizontal="center"/>
    </xf>
    <xf numFmtId="182" fontId="27" fillId="0" borderId="71" xfId="0" applyNumberFormat="1" applyFont="1" applyBorder="1" applyAlignment="1">
      <alignment horizontal="center"/>
    </xf>
    <xf numFmtId="182" fontId="27" fillId="0" borderId="15" xfId="0" applyNumberFormat="1" applyFont="1" applyBorder="1" applyAlignment="1">
      <alignment horizontal="left"/>
    </xf>
    <xf numFmtId="182" fontId="27" fillId="0" borderId="9" xfId="0" applyNumberFormat="1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182" fontId="27" fillId="0" borderId="64" xfId="0" applyNumberFormat="1" applyFont="1" applyBorder="1" applyAlignment="1">
      <alignment horizontal="center"/>
    </xf>
    <xf numFmtId="182" fontId="27" fillId="0" borderId="3" xfId="0" applyNumberFormat="1" applyFont="1" applyBorder="1" applyAlignment="1">
      <alignment horizontal="center"/>
    </xf>
    <xf numFmtId="0" fontId="27" fillId="0" borderId="9" xfId="0" applyFont="1" applyBorder="1" applyAlignment="1">
      <alignment horizontal="left"/>
    </xf>
    <xf numFmtId="0" fontId="27" fillId="0" borderId="102" xfId="0" applyFont="1" applyBorder="1" applyAlignment="1">
      <alignment horizontal="center"/>
    </xf>
    <xf numFmtId="182" fontId="27" fillId="0" borderId="102" xfId="0" applyNumberFormat="1" applyFont="1" applyBorder="1" applyAlignment="1">
      <alignment horizontal="left"/>
    </xf>
    <xf numFmtId="182" fontId="27" fillId="0" borderId="71" xfId="0" applyNumberFormat="1" applyFont="1" applyBorder="1" applyAlignment="1">
      <alignment horizontal="left"/>
    </xf>
    <xf numFmtId="0" fontId="6" fillId="0" borderId="9" xfId="0" applyFont="1" applyBorder="1"/>
    <xf numFmtId="0" fontId="3" fillId="0" borderId="46" xfId="0" applyFont="1" applyBorder="1"/>
    <xf numFmtId="0" fontId="22" fillId="0" borderId="9" xfId="0" applyFont="1" applyBorder="1" applyAlignment="1">
      <alignment horizontal="center" wrapText="1"/>
    </xf>
    <xf numFmtId="0" fontId="3" fillId="0" borderId="9" xfId="0" applyFont="1" applyBorder="1"/>
    <xf numFmtId="0" fontId="22" fillId="0" borderId="9" xfId="0" applyFont="1" applyBorder="1" applyAlignment="1">
      <alignment wrapText="1"/>
    </xf>
    <xf numFmtId="0" fontId="27" fillId="0" borderId="15" xfId="0" applyFont="1" applyBorder="1"/>
    <xf numFmtId="8" fontId="27" fillId="0" borderId="102" xfId="0" applyNumberFormat="1" applyFont="1" applyBorder="1" applyAlignment="1">
      <alignment horizontal="left" vertical="top"/>
    </xf>
    <xf numFmtId="0" fontId="60" fillId="0" borderId="102" xfId="3" applyFont="1" applyFill="1" applyBorder="1" applyAlignment="1">
      <alignment vertical="top" wrapText="1"/>
    </xf>
    <xf numFmtId="0" fontId="61" fillId="0" borderId="102" xfId="0" applyFont="1" applyBorder="1" applyAlignment="1">
      <alignment vertical="top" wrapText="1"/>
    </xf>
    <xf numFmtId="0" fontId="62" fillId="0" borderId="102" xfId="0" applyFont="1" applyBorder="1" applyAlignment="1">
      <alignment vertical="top" wrapText="1"/>
    </xf>
    <xf numFmtId="0" fontId="27" fillId="0" borderId="15" xfId="0" applyFont="1" applyBorder="1" applyAlignment="1">
      <alignment horizontal="left" vertical="top"/>
    </xf>
    <xf numFmtId="0" fontId="59" fillId="0" borderId="103" xfId="0" applyFont="1" applyBorder="1"/>
    <xf numFmtId="0" fontId="19" fillId="22" borderId="15" xfId="0" applyFont="1" applyFill="1" applyBorder="1" applyAlignment="1">
      <alignment horizontal="center"/>
    </xf>
    <xf numFmtId="0" fontId="1" fillId="22" borderId="64" xfId="0" applyFont="1" applyFill="1" applyBorder="1" applyAlignment="1">
      <alignment horizontal="center"/>
    </xf>
    <xf numFmtId="0" fontId="19" fillId="22" borderId="2" xfId="0" applyFont="1" applyFill="1" applyBorder="1" applyAlignment="1">
      <alignment horizontal="center"/>
    </xf>
    <xf numFmtId="0" fontId="19" fillId="22" borderId="64" xfId="0" applyFont="1" applyFill="1" applyBorder="1" applyAlignment="1">
      <alignment horizontal="center"/>
    </xf>
    <xf numFmtId="0" fontId="1" fillId="22" borderId="65" xfId="0" applyFont="1" applyFill="1" applyBorder="1" applyAlignment="1">
      <alignment horizontal="center"/>
    </xf>
    <xf numFmtId="0" fontId="1" fillId="22" borderId="15" xfId="0" applyFont="1" applyFill="1" applyBorder="1" applyAlignment="1">
      <alignment horizontal="center" vertical="center" wrapText="1"/>
    </xf>
    <xf numFmtId="0" fontId="1" fillId="22" borderId="70" xfId="0" applyFont="1" applyFill="1" applyBorder="1" applyAlignment="1">
      <alignment horizontal="center" vertical="center" wrapText="1"/>
    </xf>
    <xf numFmtId="0" fontId="1" fillId="22" borderId="70" xfId="0" applyFont="1" applyFill="1" applyBorder="1" applyAlignment="1">
      <alignment horizontal="center" vertical="center"/>
    </xf>
    <xf numFmtId="0" fontId="30" fillId="0" borderId="120" xfId="0" applyFont="1" applyBorder="1" applyAlignment="1">
      <alignment horizontal="center" wrapText="1"/>
    </xf>
    <xf numFmtId="0" fontId="56" fillId="0" borderId="1" xfId="0" applyFont="1" applyBorder="1" applyAlignment="1">
      <alignment horizontal="left" wrapText="1"/>
    </xf>
    <xf numFmtId="0" fontId="56" fillId="0" borderId="3" xfId="0" applyFont="1" applyBorder="1" applyAlignment="1">
      <alignment horizontal="left" wrapText="1"/>
    </xf>
    <xf numFmtId="0" fontId="56" fillId="0" borderId="3" xfId="0" applyFont="1" applyBorder="1" applyAlignment="1">
      <alignment horizontal="center" wrapText="1"/>
    </xf>
    <xf numFmtId="0" fontId="56" fillId="0" borderId="64" xfId="0" applyFont="1" applyBorder="1" applyAlignment="1">
      <alignment horizontal="center" wrapText="1"/>
    </xf>
    <xf numFmtId="0" fontId="30" fillId="0" borderId="110" xfId="0" applyFont="1" applyBorder="1" applyAlignment="1">
      <alignment wrapText="1"/>
    </xf>
    <xf numFmtId="3" fontId="30" fillId="0" borderId="110" xfId="0" applyNumberFormat="1" applyFont="1" applyBorder="1" applyAlignment="1">
      <alignment horizontal="left" wrapText="1"/>
    </xf>
    <xf numFmtId="183" fontId="27" fillId="0" borderId="67" xfId="0" applyNumberFormat="1" applyFont="1" applyBorder="1" applyAlignment="1">
      <alignment wrapText="1"/>
    </xf>
    <xf numFmtId="183" fontId="27" fillId="0" borderId="18" xfId="0" applyNumberFormat="1" applyFont="1" applyBorder="1" applyAlignment="1">
      <alignment horizontal="left" wrapText="1"/>
    </xf>
    <xf numFmtId="0" fontId="57" fillId="0" borderId="66" xfId="3" applyFont="1" applyFill="1" applyBorder="1" applyAlignment="1">
      <alignment horizontal="left" vertical="top" wrapText="1"/>
    </xf>
    <xf numFmtId="0" fontId="56" fillId="0" borderId="43" xfId="0" applyFont="1" applyBorder="1" applyAlignment="1">
      <alignment horizontal="left" wrapText="1"/>
    </xf>
    <xf numFmtId="0" fontId="56" fillId="0" borderId="45" xfId="0" applyFont="1" applyBorder="1" applyAlignment="1">
      <alignment horizontal="left" wrapText="1"/>
    </xf>
    <xf numFmtId="0" fontId="30" fillId="0" borderId="63" xfId="0" applyFont="1" applyBorder="1" applyAlignment="1">
      <alignment wrapText="1"/>
    </xf>
    <xf numFmtId="0" fontId="30" fillId="0" borderId="63" xfId="0" applyFont="1" applyBorder="1" applyAlignment="1">
      <alignment horizontal="left" wrapText="1"/>
    </xf>
    <xf numFmtId="183" fontId="27" fillId="0" borderId="43" xfId="0" applyNumberFormat="1" applyFont="1" applyBorder="1" applyAlignment="1">
      <alignment horizontal="left" wrapText="1"/>
    </xf>
    <xf numFmtId="0" fontId="57" fillId="0" borderId="65" xfId="3" applyFont="1" applyFill="1" applyBorder="1" applyAlignment="1">
      <alignment horizontal="left" vertical="top" wrapText="1"/>
    </xf>
    <xf numFmtId="3" fontId="30" fillId="0" borderId="63" xfId="0" applyNumberFormat="1" applyFont="1" applyBorder="1" applyAlignment="1">
      <alignment horizontal="left" wrapText="1"/>
    </xf>
    <xf numFmtId="183" fontId="27" fillId="0" borderId="1" xfId="0" applyNumberFormat="1" applyFont="1" applyBorder="1" applyAlignment="1">
      <alignment wrapText="1"/>
    </xf>
    <xf numFmtId="0" fontId="30" fillId="0" borderId="62" xfId="0" applyFont="1" applyBorder="1" applyAlignment="1">
      <alignment horizontal="center" wrapText="1"/>
    </xf>
    <xf numFmtId="0" fontId="56" fillId="0" borderId="18" xfId="0" applyFont="1" applyBorder="1" applyAlignment="1">
      <alignment horizontal="left" wrapText="1"/>
    </xf>
    <xf numFmtId="0" fontId="56" fillId="0" borderId="19" xfId="0" applyFont="1" applyBorder="1" applyAlignment="1">
      <alignment horizontal="left" wrapText="1"/>
    </xf>
    <xf numFmtId="183" fontId="27" fillId="0" borderId="1" xfId="0" applyNumberFormat="1" applyFont="1" applyBorder="1" applyAlignment="1">
      <alignment horizontal="left" wrapText="1"/>
    </xf>
    <xf numFmtId="0" fontId="68" fillId="0" borderId="64" xfId="0" applyFont="1" applyBorder="1" applyAlignment="1">
      <alignment horizontal="center"/>
    </xf>
    <xf numFmtId="0" fontId="56" fillId="0" borderId="2" xfId="0" applyFont="1" applyBorder="1" applyAlignment="1">
      <alignment horizontal="left" wrapText="1"/>
    </xf>
    <xf numFmtId="0" fontId="56" fillId="0" borderId="65" xfId="0" applyFont="1" applyBorder="1" applyAlignment="1">
      <alignment horizontal="center" wrapText="1"/>
    </xf>
    <xf numFmtId="0" fontId="30" fillId="0" borderId="119" xfId="0" applyFont="1" applyBorder="1" applyAlignment="1">
      <alignment wrapText="1"/>
    </xf>
    <xf numFmtId="0" fontId="30" fillId="0" borderId="119" xfId="0" applyFont="1" applyBorder="1" applyAlignment="1">
      <alignment horizontal="left" wrapText="1"/>
    </xf>
    <xf numFmtId="183" fontId="27" fillId="0" borderId="65" xfId="0" applyNumberFormat="1" applyFont="1" applyBorder="1" applyAlignment="1">
      <alignment wrapText="1"/>
    </xf>
    <xf numFmtId="183" fontId="27" fillId="0" borderId="22" xfId="0" applyNumberFormat="1" applyFont="1" applyBorder="1" applyAlignment="1">
      <alignment horizontal="left" wrapText="1"/>
    </xf>
    <xf numFmtId="0" fontId="57" fillId="0" borderId="67" xfId="3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 indent="8"/>
    </xf>
    <xf numFmtId="0" fontId="0" fillId="0" borderId="3" xfId="0" applyBorder="1"/>
    <xf numFmtId="0" fontId="68" fillId="0" borderId="2" xfId="0" applyFont="1" applyBorder="1" applyAlignment="1">
      <alignment horizontal="center"/>
    </xf>
    <xf numFmtId="183" fontId="3" fillId="0" borderId="2" xfId="0" applyNumberFormat="1" applyFont="1" applyBorder="1"/>
    <xf numFmtId="183" fontId="27" fillId="0" borderId="64" xfId="0" applyNumberFormat="1" applyFont="1" applyBorder="1" applyAlignment="1">
      <alignment horizontal="left" wrapText="1"/>
    </xf>
    <xf numFmtId="171" fontId="3" fillId="0" borderId="65" xfId="0" applyNumberFormat="1" applyFont="1" applyBorder="1"/>
    <xf numFmtId="171" fontId="3" fillId="0" borderId="44" xfId="0" applyNumberFormat="1" applyFont="1" applyBorder="1" applyAlignment="1">
      <alignment horizontal="center" vertical="top"/>
    </xf>
    <xf numFmtId="0" fontId="3" fillId="0" borderId="65" xfId="0" applyFont="1" applyBorder="1" applyAlignment="1">
      <alignment horizontal="center" vertical="center"/>
    </xf>
    <xf numFmtId="171" fontId="3" fillId="0" borderId="103" xfId="0" applyNumberFormat="1" applyFont="1" applyBorder="1"/>
    <xf numFmtId="171" fontId="3" fillId="0" borderId="65" xfId="0" applyNumberFormat="1" applyFont="1" applyBorder="1" applyAlignment="1">
      <alignment horizontal="center" vertical="center"/>
    </xf>
    <xf numFmtId="171" fontId="3" fillId="0" borderId="43" xfId="0" applyNumberFormat="1" applyFont="1" applyBorder="1"/>
    <xf numFmtId="0" fontId="55" fillId="0" borderId="66" xfId="3" applyFill="1" applyBorder="1" applyAlignment="1">
      <alignment wrapText="1"/>
    </xf>
    <xf numFmtId="0" fontId="3" fillId="0" borderId="22" xfId="0" applyFont="1" applyBorder="1" applyAlignment="1">
      <alignment horizontal="left" vertical="top"/>
    </xf>
    <xf numFmtId="0" fontId="3" fillId="0" borderId="103" xfId="0" applyFont="1" applyBorder="1" applyAlignment="1">
      <alignment horizontal="left" vertical="top"/>
    </xf>
    <xf numFmtId="171" fontId="3" fillId="0" borderId="66" xfId="0" applyNumberFormat="1" applyFont="1" applyBorder="1"/>
    <xf numFmtId="0" fontId="3" fillId="0" borderId="66" xfId="0" applyFont="1" applyBorder="1" applyAlignment="1">
      <alignment horizontal="center" vertical="center"/>
    </xf>
    <xf numFmtId="171" fontId="3" fillId="0" borderId="22" xfId="0" applyNumberFormat="1" applyFont="1" applyBorder="1"/>
    <xf numFmtId="0" fontId="3" fillId="0" borderId="67" xfId="0" applyFont="1" applyBorder="1" applyAlignment="1">
      <alignment horizontal="center" vertical="center"/>
    </xf>
    <xf numFmtId="0" fontId="55" fillId="0" borderId="66" xfId="3" applyFill="1" applyBorder="1" applyAlignment="1">
      <alignment vertical="top" wrapText="1"/>
    </xf>
    <xf numFmtId="171" fontId="3" fillId="0" borderId="44" xfId="0" applyNumberFormat="1" applyFont="1" applyBorder="1" applyAlignment="1">
      <alignment horizontal="center" vertical="center"/>
    </xf>
    <xf numFmtId="0" fontId="55" fillId="0" borderId="7" xfId="3" applyFill="1" applyBorder="1" applyAlignment="1">
      <alignment horizontal="center" vertical="center" wrapText="1"/>
    </xf>
    <xf numFmtId="0" fontId="55" fillId="0" borderId="7" xfId="3" applyFill="1" applyBorder="1" applyAlignment="1">
      <alignment vertical="top" wrapText="1"/>
    </xf>
    <xf numFmtId="0" fontId="55" fillId="0" borderId="7" xfId="3" applyFill="1" applyBorder="1" applyAlignment="1">
      <alignment horizontal="left" vertical="top" wrapText="1"/>
    </xf>
    <xf numFmtId="171" fontId="3" fillId="0" borderId="67" xfId="0" applyNumberFormat="1" applyFont="1" applyBorder="1"/>
    <xf numFmtId="171" fontId="3" fillId="0" borderId="19" xfId="0" applyNumberFormat="1" applyFont="1" applyBorder="1"/>
    <xf numFmtId="0" fontId="0" fillId="0" borderId="20" xfId="0" applyBorder="1"/>
    <xf numFmtId="171" fontId="0" fillId="0" borderId="67" xfId="0" applyNumberFormat="1" applyBorder="1"/>
    <xf numFmtId="4" fontId="33" fillId="0" borderId="0" xfId="0" applyNumberFormat="1" applyFont="1"/>
    <xf numFmtId="165" fontId="3" fillId="0" borderId="17" xfId="0" applyNumberFormat="1" applyFont="1" applyBorder="1"/>
    <xf numFmtId="165" fontId="3" fillId="0" borderId="21" xfId="0" applyNumberFormat="1" applyFont="1" applyBorder="1"/>
    <xf numFmtId="4" fontId="4" fillId="0" borderId="103" xfId="0" applyNumberFormat="1" applyFont="1" applyBorder="1"/>
    <xf numFmtId="10" fontId="5" fillId="0" borderId="0" xfId="0" applyNumberFormat="1" applyFont="1"/>
    <xf numFmtId="0" fontId="5" fillId="0" borderId="9" xfId="0" applyFont="1" applyBorder="1"/>
    <xf numFmtId="0" fontId="0" fillId="0" borderId="9" xfId="0" applyBorder="1" applyAlignment="1">
      <alignment horizontal="center"/>
    </xf>
    <xf numFmtId="184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/>
    </xf>
    <xf numFmtId="8" fontId="5" fillId="0" borderId="0" xfId="0" applyNumberFormat="1" applyFont="1"/>
    <xf numFmtId="172" fontId="0" fillId="0" borderId="0" xfId="0" applyNumberFormat="1"/>
    <xf numFmtId="44" fontId="5" fillId="0" borderId="71" xfId="0" applyNumberFormat="1" applyFont="1" applyBorder="1"/>
    <xf numFmtId="0" fontId="4" fillId="0" borderId="46" xfId="0" applyFont="1" applyBorder="1" applyAlignment="1">
      <alignment horizontal="right"/>
    </xf>
    <xf numFmtId="0" fontId="5" fillId="0" borderId="72" xfId="0" applyFont="1" applyBorder="1"/>
    <xf numFmtId="172" fontId="5" fillId="0" borderId="71" xfId="0" applyNumberFormat="1" applyFont="1" applyBorder="1"/>
    <xf numFmtId="0" fontId="26" fillId="0" borderId="9" xfId="0" applyFont="1" applyBorder="1"/>
    <xf numFmtId="9" fontId="27" fillId="0" borderId="69" xfId="0" applyNumberFormat="1" applyFont="1" applyBorder="1" applyAlignment="1">
      <alignment horizontal="right"/>
    </xf>
    <xf numFmtId="169" fontId="0" fillId="0" borderId="0" xfId="0" applyNumberFormat="1"/>
    <xf numFmtId="0" fontId="26" fillId="0" borderId="15" xfId="0" applyFont="1" applyBorder="1"/>
    <xf numFmtId="9" fontId="27" fillId="0" borderId="102" xfId="0" applyNumberFormat="1" applyFont="1" applyBorder="1" applyAlignment="1">
      <alignment horizontal="right"/>
    </xf>
    <xf numFmtId="0" fontId="69" fillId="0" borderId="43" xfId="0" applyFont="1" applyBorder="1" applyAlignment="1">
      <alignment wrapText="1"/>
    </xf>
    <xf numFmtId="4" fontId="30" fillId="0" borderId="44" xfId="0" applyNumberFormat="1" applyFont="1" applyBorder="1" applyAlignment="1">
      <alignment horizontal="left" vertical="top"/>
    </xf>
    <xf numFmtId="0" fontId="0" fillId="0" borderId="65" xfId="0" applyBorder="1" applyAlignment="1">
      <alignment horizontal="right" vertical="center"/>
    </xf>
    <xf numFmtId="0" fontId="69" fillId="0" borderId="22" xfId="0" applyFont="1" applyBorder="1" applyAlignment="1">
      <alignment wrapText="1"/>
    </xf>
    <xf numFmtId="4" fontId="30" fillId="0" borderId="103" xfId="0" applyNumberFormat="1" applyFont="1" applyBorder="1" applyAlignment="1">
      <alignment horizontal="left" vertical="top"/>
    </xf>
    <xf numFmtId="4" fontId="0" fillId="0" borderId="66" xfId="0" applyNumberFormat="1" applyBorder="1" applyAlignment="1">
      <alignment horizontal="right" vertical="center"/>
    </xf>
    <xf numFmtId="0" fontId="69" fillId="0" borderId="22" xfId="0" applyFont="1" applyBorder="1" applyAlignment="1">
      <alignment vertical="top" wrapText="1"/>
    </xf>
    <xf numFmtId="4" fontId="0" fillId="0" borderId="7" xfId="0" applyNumberFormat="1" applyBorder="1" applyAlignment="1">
      <alignment horizontal="right" vertical="center"/>
    </xf>
    <xf numFmtId="4" fontId="30" fillId="0" borderId="7" xfId="0" applyNumberFormat="1" applyFont="1" applyBorder="1" applyAlignment="1">
      <alignment horizontal="left" vertical="top"/>
    </xf>
    <xf numFmtId="0" fontId="58" fillId="0" borderId="9" xfId="0" applyFont="1" applyBorder="1" applyAlignment="1">
      <alignment wrapText="1"/>
    </xf>
    <xf numFmtId="0" fontId="58" fillId="0" borderId="72" xfId="0" applyFont="1" applyBorder="1" applyAlignment="1">
      <alignment wrapText="1"/>
    </xf>
    <xf numFmtId="0" fontId="58" fillId="0" borderId="15" xfId="0" applyFont="1" applyBorder="1" applyAlignment="1">
      <alignment wrapText="1"/>
    </xf>
    <xf numFmtId="0" fontId="0" fillId="22" borderId="0" xfId="0" applyFill="1"/>
    <xf numFmtId="0" fontId="5" fillId="22" borderId="23" xfId="0" applyFont="1" applyFill="1" applyBorder="1"/>
    <xf numFmtId="0" fontId="3" fillId="22" borderId="68" xfId="0" applyFont="1" applyFill="1" applyBorder="1"/>
    <xf numFmtId="165" fontId="3" fillId="22" borderId="68" xfId="0" applyNumberFormat="1" applyFont="1" applyFill="1" applyBorder="1"/>
    <xf numFmtId="0" fontId="3" fillId="22" borderId="24" xfId="0" applyFont="1" applyFill="1" applyBorder="1"/>
    <xf numFmtId="0" fontId="5" fillId="22" borderId="16" xfId="0" applyFont="1" applyFill="1" applyBorder="1"/>
    <xf numFmtId="0" fontId="1" fillId="22" borderId="103" xfId="0" applyFont="1" applyFill="1" applyBorder="1" applyAlignment="1">
      <alignment horizontal="left" vertical="top"/>
    </xf>
    <xf numFmtId="0" fontId="1" fillId="22" borderId="103" xfId="0" applyFont="1" applyFill="1" applyBorder="1" applyAlignment="1">
      <alignment horizontal="center"/>
    </xf>
    <xf numFmtId="0" fontId="39" fillId="22" borderId="103" xfId="0" applyFont="1" applyFill="1" applyBorder="1" applyAlignment="1">
      <alignment horizontal="center"/>
    </xf>
    <xf numFmtId="0" fontId="36" fillId="22" borderId="47" xfId="0" applyFont="1" applyFill="1" applyBorder="1" applyAlignment="1">
      <alignment horizontal="center"/>
    </xf>
    <xf numFmtId="0" fontId="36" fillId="22" borderId="111" xfId="0" applyFont="1" applyFill="1" applyBorder="1" applyAlignment="1">
      <alignment horizontal="center"/>
    </xf>
    <xf numFmtId="0" fontId="36" fillId="22" borderId="111" xfId="0" applyFont="1" applyFill="1" applyBorder="1" applyAlignment="1">
      <alignment horizontal="left"/>
    </xf>
    <xf numFmtId="0" fontId="1" fillId="22" borderId="8" xfId="0" applyFont="1" applyFill="1" applyBorder="1" applyAlignment="1">
      <alignment horizontal="left"/>
    </xf>
    <xf numFmtId="0" fontId="6" fillId="22" borderId="8" xfId="0" applyFont="1" applyFill="1" applyBorder="1"/>
    <xf numFmtId="0" fontId="6" fillId="22" borderId="16" xfId="0" applyFont="1" applyFill="1" applyBorder="1"/>
    <xf numFmtId="0" fontId="6" fillId="22" borderId="103" xfId="0" applyFont="1" applyFill="1" applyBorder="1"/>
    <xf numFmtId="4" fontId="30" fillId="18" borderId="18" xfId="0" applyNumberFormat="1" applyFont="1" applyFill="1" applyBorder="1" applyAlignment="1">
      <alignment horizontal="left" vertical="top"/>
    </xf>
    <xf numFmtId="4" fontId="30" fillId="18" borderId="64" xfId="0" applyNumberFormat="1" applyFont="1" applyFill="1" applyBorder="1" applyAlignment="1">
      <alignment horizontal="left" vertical="top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88" xfId="0" applyFont="1" applyBorder="1"/>
    <xf numFmtId="168" fontId="4" fillId="0" borderId="74" xfId="0" applyNumberFormat="1" applyFont="1" applyBorder="1" applyAlignment="1">
      <alignment horizontal="center"/>
    </xf>
    <xf numFmtId="168" fontId="4" fillId="0" borderId="79" xfId="0" applyNumberFormat="1" applyFont="1" applyBorder="1" applyAlignment="1">
      <alignment horizontal="center"/>
    </xf>
    <xf numFmtId="0" fontId="4" fillId="0" borderId="88" xfId="0" applyFont="1" applyBorder="1"/>
    <xf numFmtId="168" fontId="4" fillId="0" borderId="58" xfId="0" applyNumberFormat="1" applyFont="1" applyBorder="1" applyAlignment="1">
      <alignment horizontal="center"/>
    </xf>
    <xf numFmtId="168" fontId="4" fillId="0" borderId="61" xfId="0" applyNumberFormat="1" applyFont="1" applyBorder="1" applyAlignment="1">
      <alignment horizontal="center"/>
    </xf>
    <xf numFmtId="169" fontId="4" fillId="0" borderId="58" xfId="0" applyNumberFormat="1" applyFont="1" applyBorder="1" applyAlignment="1">
      <alignment horizontal="center"/>
    </xf>
    <xf numFmtId="169" fontId="4" fillId="0" borderId="61" xfId="0" applyNumberFormat="1" applyFont="1" applyBorder="1"/>
    <xf numFmtId="169" fontId="4" fillId="0" borderId="81" xfId="0" applyNumberFormat="1" applyFont="1" applyBorder="1" applyAlignment="1">
      <alignment horizontal="center"/>
    </xf>
    <xf numFmtId="169" fontId="4" fillId="0" borderId="78" xfId="0" applyNumberFormat="1" applyFont="1" applyBorder="1"/>
    <xf numFmtId="0" fontId="1" fillId="0" borderId="89" xfId="0" applyFont="1" applyBorder="1"/>
    <xf numFmtId="168" fontId="4" fillId="0" borderId="54" xfId="0" applyNumberFormat="1" applyFont="1" applyBorder="1" applyAlignment="1">
      <alignment horizontal="center"/>
    </xf>
    <xf numFmtId="0" fontId="28" fillId="0" borderId="48" xfId="0" applyFont="1" applyBorder="1"/>
    <xf numFmtId="0" fontId="1" fillId="0" borderId="52" xfId="0" applyFont="1" applyBorder="1" applyAlignment="1">
      <alignment horizontal="center"/>
    </xf>
    <xf numFmtId="0" fontId="28" fillId="0" borderId="53" xfId="0" applyFont="1" applyBorder="1"/>
    <xf numFmtId="0" fontId="4" fillId="0" borderId="74" xfId="0" applyFont="1" applyBorder="1"/>
    <xf numFmtId="0" fontId="63" fillId="0" borderId="57" xfId="0" applyFont="1" applyBorder="1"/>
    <xf numFmtId="0" fontId="51" fillId="0" borderId="95" xfId="0" applyFont="1" applyBorder="1"/>
    <xf numFmtId="0" fontId="4" fillId="0" borderId="58" xfId="0" applyFont="1" applyBorder="1"/>
    <xf numFmtId="0" fontId="51" fillId="0" borderId="56" xfId="0" applyFont="1" applyBorder="1"/>
    <xf numFmtId="0" fontId="51" fillId="0" borderId="93" xfId="0" applyFont="1" applyBorder="1"/>
    <xf numFmtId="168" fontId="4" fillId="0" borderId="58" xfId="0" applyNumberFormat="1" applyFont="1" applyBorder="1"/>
    <xf numFmtId="8" fontId="64" fillId="0" borderId="93" xfId="0" applyNumberFormat="1" applyFont="1" applyBorder="1"/>
    <xf numFmtId="8" fontId="51" fillId="0" borderId="93" xfId="0" applyNumberFormat="1" applyFont="1" applyBorder="1"/>
    <xf numFmtId="0" fontId="18" fillId="0" borderId="58" xfId="0" applyFont="1" applyBorder="1"/>
    <xf numFmtId="0" fontId="63" fillId="0" borderId="56" xfId="0" applyFont="1" applyBorder="1"/>
    <xf numFmtId="0" fontId="29" fillId="0" borderId="58" xfId="0" applyFont="1" applyBorder="1"/>
    <xf numFmtId="168" fontId="4" fillId="0" borderId="58" xfId="0" applyNumberFormat="1" applyFont="1" applyBorder="1" applyAlignment="1">
      <alignment wrapText="1"/>
    </xf>
    <xf numFmtId="0" fontId="1" fillId="0" borderId="53" xfId="0" applyFont="1" applyBorder="1" applyAlignment="1">
      <alignment horizontal="left"/>
    </xf>
    <xf numFmtId="168" fontId="4" fillId="0" borderId="54" xfId="0" applyNumberFormat="1" applyFont="1" applyBorder="1"/>
    <xf numFmtId="0" fontId="1" fillId="0" borderId="4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52" xfId="0" applyFont="1" applyBorder="1"/>
    <xf numFmtId="0" fontId="1" fillId="0" borderId="55" xfId="0" applyFont="1" applyBorder="1"/>
    <xf numFmtId="0" fontId="63" fillId="0" borderId="48" xfId="0" applyFont="1" applyBorder="1"/>
    <xf numFmtId="0" fontId="51" fillId="0" borderId="50" xfId="0" applyFont="1" applyBorder="1"/>
    <xf numFmtId="0" fontId="51" fillId="0" borderId="51" xfId="0" applyFont="1" applyBorder="1"/>
    <xf numFmtId="0" fontId="51" fillId="0" borderId="112" xfId="0" applyFont="1" applyBorder="1"/>
    <xf numFmtId="172" fontId="51" fillId="0" borderId="93" xfId="0" applyNumberFormat="1" applyFont="1" applyBorder="1"/>
    <xf numFmtId="8" fontId="51" fillId="0" borderId="112" xfId="0" applyNumberFormat="1" applyFont="1" applyBorder="1"/>
    <xf numFmtId="8" fontId="65" fillId="0" borderId="93" xfId="0" applyNumberFormat="1" applyFont="1" applyBorder="1"/>
    <xf numFmtId="0" fontId="65" fillId="0" borderId="93" xfId="0" applyFont="1" applyBorder="1"/>
    <xf numFmtId="8" fontId="65" fillId="0" borderId="112" xfId="0" applyNumberFormat="1" applyFont="1" applyBorder="1"/>
    <xf numFmtId="0" fontId="63" fillId="0" borderId="93" xfId="0" applyFont="1" applyBorder="1"/>
    <xf numFmtId="0" fontId="63" fillId="0" borderId="113" xfId="0" applyFont="1" applyBorder="1"/>
    <xf numFmtId="8" fontId="51" fillId="0" borderId="114" xfId="0" applyNumberFormat="1" applyFont="1" applyBorder="1"/>
    <xf numFmtId="0" fontId="1" fillId="0" borderId="58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168" fontId="4" fillId="0" borderId="76" xfId="0" applyNumberFormat="1" applyFont="1" applyBorder="1" applyAlignment="1">
      <alignment horizontal="center"/>
    </xf>
    <xf numFmtId="168" fontId="4" fillId="0" borderId="79" xfId="0" applyNumberFormat="1" applyFont="1" applyBorder="1"/>
    <xf numFmtId="176" fontId="4" fillId="0" borderId="58" xfId="0" applyNumberFormat="1" applyFont="1" applyBorder="1" applyAlignment="1">
      <alignment horizontal="center"/>
    </xf>
    <xf numFmtId="168" fontId="70" fillId="0" borderId="58" xfId="0" applyNumberFormat="1" applyFont="1" applyBorder="1" applyAlignment="1">
      <alignment horizontal="center"/>
    </xf>
    <xf numFmtId="168" fontId="71" fillId="0" borderId="0" xfId="0" applyNumberFormat="1" applyFont="1"/>
    <xf numFmtId="177" fontId="4" fillId="0" borderId="81" xfId="0" applyNumberFormat="1" applyFont="1" applyBorder="1" applyAlignment="1">
      <alignment horizontal="center"/>
    </xf>
    <xf numFmtId="177" fontId="4" fillId="0" borderId="54" xfId="0" applyNumberFormat="1" applyFont="1" applyBorder="1" applyAlignment="1">
      <alignment horizontal="center"/>
    </xf>
    <xf numFmtId="177" fontId="4" fillId="0" borderId="103" xfId="0" applyNumberFormat="1" applyFont="1" applyBorder="1" applyAlignment="1">
      <alignment horizontal="center"/>
    </xf>
    <xf numFmtId="0" fontId="28" fillId="0" borderId="6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168" fontId="4" fillId="0" borderId="80" xfId="0" applyNumberFormat="1" applyFont="1" applyBorder="1" applyAlignment="1">
      <alignment horizontal="center"/>
    </xf>
    <xf numFmtId="168" fontId="4" fillId="0" borderId="74" xfId="0" applyNumberFormat="1" applyFont="1" applyBorder="1"/>
    <xf numFmtId="168" fontId="0" fillId="0" borderId="0" xfId="0" applyNumberFormat="1"/>
    <xf numFmtId="172" fontId="4" fillId="0" borderId="0" xfId="0" applyNumberFormat="1" applyFont="1" applyAlignment="1">
      <alignment horizontal="center"/>
    </xf>
    <xf numFmtId="168" fontId="4" fillId="0" borderId="61" xfId="0" applyNumberFormat="1" applyFont="1" applyBorder="1"/>
    <xf numFmtId="172" fontId="18" fillId="0" borderId="0" xfId="0" applyNumberFormat="1" applyFont="1" applyAlignment="1">
      <alignment horizontal="left"/>
    </xf>
    <xf numFmtId="168" fontId="4" fillId="0" borderId="81" xfId="0" applyNumberFormat="1" applyFont="1" applyBorder="1" applyAlignment="1">
      <alignment horizontal="center"/>
    </xf>
    <xf numFmtId="172" fontId="42" fillId="0" borderId="0" xfId="0" applyNumberFormat="1" applyFont="1" applyAlignment="1">
      <alignment horizontal="center"/>
    </xf>
    <xf numFmtId="167" fontId="4" fillId="0" borderId="81" xfId="0" applyNumberFormat="1" applyFont="1" applyBorder="1" applyAlignment="1">
      <alignment horizontal="center"/>
    </xf>
    <xf numFmtId="10" fontId="42" fillId="0" borderId="0" xfId="0" applyNumberFormat="1" applyFont="1" applyAlignment="1">
      <alignment horizontal="center"/>
    </xf>
    <xf numFmtId="167" fontId="4" fillId="0" borderId="54" xfId="0" applyNumberFormat="1" applyFont="1" applyBorder="1" applyAlignment="1">
      <alignment horizontal="center"/>
    </xf>
    <xf numFmtId="10" fontId="4" fillId="0" borderId="0" xfId="0" applyNumberFormat="1" applyFont="1"/>
    <xf numFmtId="168" fontId="4" fillId="0" borderId="59" xfId="0" applyNumberFormat="1" applyFont="1" applyBorder="1" applyAlignment="1">
      <alignment horizontal="center"/>
    </xf>
    <xf numFmtId="178" fontId="3" fillId="0" borderId="58" xfId="0" applyNumberFormat="1" applyFont="1" applyBorder="1" applyAlignment="1">
      <alignment horizontal="center"/>
    </xf>
    <xf numFmtId="178" fontId="3" fillId="0" borderId="54" xfId="0" applyNumberFormat="1" applyFont="1" applyBorder="1" applyAlignment="1">
      <alignment horizontal="center"/>
    </xf>
    <xf numFmtId="178" fontId="4" fillId="0" borderId="58" xfId="0" applyNumberFormat="1" applyFont="1" applyBorder="1" applyAlignment="1">
      <alignment horizontal="center"/>
    </xf>
    <xf numFmtId="178" fontId="4" fillId="0" borderId="54" xfId="0" applyNumberFormat="1" applyFont="1" applyBorder="1" applyAlignment="1">
      <alignment horizontal="center"/>
    </xf>
    <xf numFmtId="0" fontId="1" fillId="0" borderId="122" xfId="0" applyFont="1" applyBorder="1" applyAlignment="1">
      <alignment horizontal="center"/>
    </xf>
    <xf numFmtId="0" fontId="1" fillId="0" borderId="123" xfId="0" applyFont="1" applyBorder="1" applyAlignment="1">
      <alignment horizontal="center"/>
    </xf>
    <xf numFmtId="4" fontId="4" fillId="0" borderId="74" xfId="0" applyNumberFormat="1" applyFont="1" applyBorder="1" applyAlignment="1">
      <alignment horizontal="right"/>
    </xf>
    <xf numFmtId="174" fontId="4" fillId="0" borderId="58" xfId="0" applyNumberFormat="1" applyFont="1" applyBorder="1" applyAlignment="1">
      <alignment horizontal="right"/>
    </xf>
    <xf numFmtId="174" fontId="4" fillId="0" borderId="86" xfId="0" applyNumberFormat="1" applyFont="1" applyBorder="1" applyAlignment="1">
      <alignment horizontal="right"/>
    </xf>
    <xf numFmtId="179" fontId="4" fillId="0" borderId="58" xfId="0" applyNumberFormat="1" applyFont="1" applyBorder="1" applyAlignment="1">
      <alignment horizontal="right"/>
    </xf>
    <xf numFmtId="179" fontId="4" fillId="0" borderId="86" xfId="0" applyNumberFormat="1" applyFont="1" applyBorder="1" applyAlignment="1">
      <alignment horizontal="right"/>
    </xf>
    <xf numFmtId="168" fontId="4" fillId="0" borderId="58" xfId="0" applyNumberFormat="1" applyFont="1" applyBorder="1" applyAlignment="1">
      <alignment horizontal="right"/>
    </xf>
    <xf numFmtId="168" fontId="4" fillId="0" borderId="86" xfId="0" applyNumberFormat="1" applyFont="1" applyBorder="1" applyAlignment="1">
      <alignment horizontal="right"/>
    </xf>
    <xf numFmtId="4" fontId="4" fillId="0" borderId="58" xfId="0" applyNumberFormat="1" applyFont="1" applyBorder="1" applyAlignment="1">
      <alignment horizontal="right"/>
    </xf>
    <xf numFmtId="4" fontId="4" fillId="0" borderId="86" xfId="0" applyNumberFormat="1" applyFont="1" applyBorder="1" applyAlignment="1">
      <alignment horizontal="right"/>
    </xf>
    <xf numFmtId="168" fontId="4" fillId="0" borderId="86" xfId="0" applyNumberFormat="1" applyFont="1" applyBorder="1" applyAlignment="1">
      <alignment horizontal="center"/>
    </xf>
    <xf numFmtId="168" fontId="1" fillId="0" borderId="58" xfId="0" applyNumberFormat="1" applyFont="1" applyBorder="1" applyAlignment="1">
      <alignment horizontal="center"/>
    </xf>
    <xf numFmtId="168" fontId="1" fillId="0" borderId="86" xfId="0" applyNumberFormat="1" applyFont="1" applyBorder="1" applyAlignment="1">
      <alignment horizontal="center"/>
    </xf>
    <xf numFmtId="166" fontId="4" fillId="0" borderId="58" xfId="0" applyNumberFormat="1" applyFont="1" applyBorder="1"/>
    <xf numFmtId="166" fontId="4" fillId="0" borderId="86" xfId="0" applyNumberFormat="1" applyFont="1" applyBorder="1"/>
    <xf numFmtId="165" fontId="4" fillId="0" borderId="58" xfId="0" applyNumberFormat="1" applyFont="1" applyBorder="1"/>
    <xf numFmtId="168" fontId="4" fillId="0" borderId="86" xfId="0" applyNumberFormat="1" applyFont="1" applyBorder="1"/>
    <xf numFmtId="10" fontId="4" fillId="0" borderId="83" xfId="0" applyNumberFormat="1" applyFont="1" applyBorder="1"/>
    <xf numFmtId="0" fontId="1" fillId="0" borderId="9" xfId="0" applyFont="1" applyBorder="1" applyAlignment="1">
      <alignment horizontal="center"/>
    </xf>
    <xf numFmtId="9" fontId="3" fillId="0" borderId="9" xfId="0" applyNumberFormat="1" applyFont="1" applyBorder="1"/>
    <xf numFmtId="170" fontId="4" fillId="0" borderId="9" xfId="0" applyNumberFormat="1" applyFont="1" applyBorder="1"/>
    <xf numFmtId="0" fontId="28" fillId="0" borderId="90" xfId="0" applyFont="1" applyBorder="1" applyAlignment="1">
      <alignment horizontal="left"/>
    </xf>
    <xf numFmtId="0" fontId="28" fillId="0" borderId="88" xfId="0" applyFont="1" applyBorder="1" applyAlignment="1">
      <alignment horizontal="center"/>
    </xf>
    <xf numFmtId="0" fontId="28" fillId="0" borderId="91" xfId="0" applyFont="1" applyBorder="1" applyAlignment="1">
      <alignment horizontal="center"/>
    </xf>
    <xf numFmtId="0" fontId="1" fillId="0" borderId="92" xfId="0" applyFont="1" applyBorder="1"/>
    <xf numFmtId="168" fontId="4" fillId="0" borderId="93" xfId="0" applyNumberFormat="1" applyFont="1" applyBorder="1" applyAlignment="1">
      <alignment horizontal="center"/>
    </xf>
    <xf numFmtId="0" fontId="4" fillId="0" borderId="94" xfId="0" applyFont="1" applyBorder="1"/>
    <xf numFmtId="168" fontId="4" fillId="0" borderId="95" xfId="0" applyNumberFormat="1" applyFont="1" applyBorder="1" applyAlignment="1">
      <alignment horizontal="center"/>
    </xf>
    <xf numFmtId="0" fontId="1" fillId="0" borderId="94" xfId="0" applyFont="1" applyBorder="1"/>
    <xf numFmtId="0" fontId="1" fillId="0" borderId="94" xfId="0" applyFont="1" applyBorder="1" applyAlignment="1">
      <alignment horizontal="left"/>
    </xf>
    <xf numFmtId="168" fontId="4" fillId="0" borderId="97" xfId="0" applyNumberFormat="1" applyFont="1" applyBorder="1" applyAlignment="1">
      <alignment horizontal="center"/>
    </xf>
    <xf numFmtId="0" fontId="1" fillId="0" borderId="98" xfId="0" applyFont="1" applyBorder="1" applyAlignment="1">
      <alignment horizontal="center"/>
    </xf>
    <xf numFmtId="168" fontId="4" fillId="0" borderId="99" xfId="0" applyNumberFormat="1" applyFont="1" applyBorder="1" applyAlignment="1">
      <alignment horizontal="center"/>
    </xf>
    <xf numFmtId="168" fontId="4" fillId="0" borderId="100" xfId="0" applyNumberFormat="1" applyFont="1" applyBorder="1" applyAlignment="1">
      <alignment horizontal="center"/>
    </xf>
    <xf numFmtId="168" fontId="4" fillId="0" borderId="55" xfId="0" applyNumberFormat="1" applyFont="1" applyBorder="1" applyAlignment="1">
      <alignment horizontal="center"/>
    </xf>
    <xf numFmtId="0" fontId="36" fillId="22" borderId="126" xfId="0" applyFont="1" applyFill="1" applyBorder="1" applyAlignment="1">
      <alignment horizontal="center"/>
    </xf>
    <xf numFmtId="0" fontId="36" fillId="22" borderId="125" xfId="0" applyFont="1" applyFill="1" applyBorder="1" applyAlignment="1">
      <alignment horizontal="center"/>
    </xf>
    <xf numFmtId="0" fontId="69" fillId="0" borderId="127" xfId="0" applyFont="1" applyBorder="1" applyAlignment="1">
      <alignment horizontal="left" vertical="top" wrapText="1"/>
    </xf>
    <xf numFmtId="4" fontId="30" fillId="0" borderId="128" xfId="0" applyNumberFormat="1" applyFont="1" applyBorder="1" applyAlignment="1">
      <alignment horizontal="left" vertical="top"/>
    </xf>
    <xf numFmtId="4" fontId="30" fillId="0" borderId="129" xfId="0" applyNumberFormat="1" applyFont="1" applyBorder="1" applyAlignment="1">
      <alignment horizontal="left" vertical="top"/>
    </xf>
    <xf numFmtId="0" fontId="69" fillId="0" borderId="130" xfId="0" applyFont="1" applyBorder="1" applyAlignment="1">
      <alignment vertical="top" wrapText="1"/>
    </xf>
    <xf numFmtId="4" fontId="30" fillId="0" borderId="131" xfId="0" applyNumberFormat="1" applyFont="1" applyBorder="1" applyAlignment="1">
      <alignment horizontal="left" vertical="top"/>
    </xf>
    <xf numFmtId="0" fontId="69" fillId="0" borderId="132" xfId="0" applyFont="1" applyBorder="1" applyAlignment="1">
      <alignment vertical="top" wrapText="1"/>
    </xf>
    <xf numFmtId="4" fontId="30" fillId="0" borderId="133" xfId="0" applyNumberFormat="1" applyFont="1" applyBorder="1" applyAlignment="1">
      <alignment horizontal="left" vertical="top"/>
    </xf>
    <xf numFmtId="4" fontId="30" fillId="0" borderId="134" xfId="0" applyNumberFormat="1" applyFont="1" applyBorder="1" applyAlignment="1">
      <alignment horizontal="left" vertical="top"/>
    </xf>
    <xf numFmtId="183" fontId="0" fillId="0" borderId="9" xfId="0" applyNumberFormat="1" applyBorder="1"/>
    <xf numFmtId="0" fontId="0" fillId="0" borderId="103" xfId="0" applyBorder="1" applyAlignment="1">
      <alignment horizontal="center"/>
    </xf>
    <xf numFmtId="8" fontId="27" fillId="0" borderId="9" xfId="0" applyNumberFormat="1" applyFont="1" applyBorder="1" applyAlignment="1">
      <alignment horizontal="left" vertical="top"/>
    </xf>
    <xf numFmtId="0" fontId="55" fillId="0" borderId="103" xfId="3" applyBorder="1"/>
    <xf numFmtId="0" fontId="1" fillId="21" borderId="96" xfId="0" applyFont="1" applyFill="1" applyBorder="1"/>
    <xf numFmtId="0" fontId="55" fillId="0" borderId="0" xfId="3"/>
    <xf numFmtId="0" fontId="72" fillId="0" borderId="103" xfId="0" applyFont="1" applyBorder="1"/>
    <xf numFmtId="8" fontId="72" fillId="0" borderId="103" xfId="0" applyNumberFormat="1" applyFont="1" applyBorder="1" applyAlignment="1">
      <alignment horizontal="center"/>
    </xf>
    <xf numFmtId="0" fontId="72" fillId="0" borderId="0" xfId="0" applyFont="1"/>
    <xf numFmtId="8" fontId="72" fillId="0" borderId="0" xfId="0" applyNumberFormat="1" applyFont="1" applyAlignment="1">
      <alignment horizontal="center"/>
    </xf>
    <xf numFmtId="168" fontId="3" fillId="0" borderId="58" xfId="0" applyNumberFormat="1" applyFont="1" applyBorder="1" applyAlignment="1">
      <alignment horizontal="center"/>
    </xf>
    <xf numFmtId="2" fontId="58" fillId="0" borderId="102" xfId="0" applyNumberFormat="1" applyFont="1" applyBorder="1" applyAlignment="1">
      <alignment wrapText="1"/>
    </xf>
    <xf numFmtId="3" fontId="0" fillId="0" borderId="64" xfId="0" applyNumberFormat="1" applyBorder="1" applyAlignment="1">
      <alignment horizontal="left"/>
    </xf>
    <xf numFmtId="0" fontId="55" fillId="0" borderId="9" xfId="3" applyFill="1" applyBorder="1" applyAlignment="1">
      <alignment horizontal="left" vertical="top" wrapText="1"/>
    </xf>
    <xf numFmtId="0" fontId="27" fillId="0" borderId="9" xfId="0" applyFont="1" applyBorder="1"/>
    <xf numFmtId="0" fontId="27" fillId="0" borderId="9" xfId="0" applyFont="1" applyBorder="1" applyAlignment="1">
      <alignment horizontal="center"/>
    </xf>
    <xf numFmtId="0" fontId="27" fillId="0" borderId="136" xfId="0" applyFont="1" applyBorder="1"/>
    <xf numFmtId="0" fontId="53" fillId="0" borderId="47" xfId="2" applyFont="1" applyFill="1" applyBorder="1" applyAlignment="1">
      <alignment vertical="top" wrapText="1"/>
    </xf>
    <xf numFmtId="0" fontId="19" fillId="18" borderId="137" xfId="0" applyFont="1" applyFill="1" applyBorder="1" applyAlignment="1">
      <alignment horizontal="center"/>
    </xf>
    <xf numFmtId="0" fontId="4" fillId="18" borderId="25" xfId="0" applyFont="1" applyFill="1" applyBorder="1" applyAlignment="1">
      <alignment horizontal="center"/>
    </xf>
    <xf numFmtId="181" fontId="4" fillId="18" borderId="138" xfId="0" applyNumberFormat="1" applyFont="1" applyFill="1" applyBorder="1"/>
    <xf numFmtId="181" fontId="4" fillId="18" borderId="139" xfId="0" applyNumberFormat="1" applyFont="1" applyFill="1" applyBorder="1"/>
    <xf numFmtId="0" fontId="4" fillId="0" borderId="102" xfId="0" applyFont="1" applyBorder="1" applyAlignment="1">
      <alignment wrapText="1"/>
    </xf>
    <xf numFmtId="0" fontId="55" fillId="0" borderId="9" xfId="3" applyFill="1" applyBorder="1" applyAlignment="1">
      <alignment wrapText="1"/>
    </xf>
    <xf numFmtId="184" fontId="5" fillId="0" borderId="103" xfId="0" applyNumberFormat="1" applyFont="1" applyBorder="1"/>
    <xf numFmtId="168" fontId="4" fillId="21" borderId="81" xfId="0" applyNumberFormat="1" applyFont="1" applyFill="1" applyBorder="1" applyAlignment="1">
      <alignment horizontal="center"/>
    </xf>
    <xf numFmtId="168" fontId="4" fillId="21" borderId="79" xfId="0" applyNumberFormat="1" applyFont="1" applyFill="1" applyBorder="1" applyAlignment="1">
      <alignment horizontal="center"/>
    </xf>
    <xf numFmtId="0" fontId="58" fillId="21" borderId="71" xfId="0" applyFont="1" applyFill="1" applyBorder="1" applyAlignment="1">
      <alignment wrapText="1"/>
    </xf>
    <xf numFmtId="0" fontId="73" fillId="0" borderId="103" xfId="0" applyFont="1" applyBorder="1"/>
    <xf numFmtId="0" fontId="73" fillId="0" borderId="0" xfId="0" applyFont="1"/>
    <xf numFmtId="0" fontId="51" fillId="0" borderId="26" xfId="0" applyFont="1" applyBorder="1"/>
    <xf numFmtId="0" fontId="63" fillId="0" borderId="40" xfId="0" applyFont="1" applyBorder="1"/>
    <xf numFmtId="0" fontId="74" fillId="0" borderId="48" xfId="0" applyFont="1" applyBorder="1"/>
    <xf numFmtId="0" fontId="74" fillId="0" borderId="50" xfId="0" applyFont="1" applyBorder="1"/>
    <xf numFmtId="0" fontId="74" fillId="0" borderId="51" xfId="0" applyFont="1" applyBorder="1"/>
    <xf numFmtId="0" fontId="63" fillId="0" borderId="114" xfId="0" applyFont="1" applyBorder="1"/>
    <xf numFmtId="0" fontId="63" fillId="0" borderId="140" xfId="0" applyFont="1" applyBorder="1"/>
    <xf numFmtId="0" fontId="63" fillId="0" borderId="103" xfId="0" applyFont="1" applyBorder="1"/>
    <xf numFmtId="0" fontId="74" fillId="0" borderId="141" xfId="0" applyFont="1" applyBorder="1"/>
    <xf numFmtId="0" fontId="74" fillId="0" borderId="142" xfId="0" applyFont="1" applyBorder="1"/>
    <xf numFmtId="0" fontId="74" fillId="0" borderId="143" xfId="0" applyFont="1" applyBorder="1"/>
    <xf numFmtId="0" fontId="63" fillId="0" borderId="144" xfId="0" applyFont="1" applyBorder="1"/>
    <xf numFmtId="0" fontId="63" fillId="0" borderId="145" xfId="0" applyFont="1" applyBorder="1"/>
    <xf numFmtId="0" fontId="63" fillId="0" borderId="146" xfId="0" applyFont="1" applyBorder="1"/>
    <xf numFmtId="0" fontId="51" fillId="0" borderId="113" xfId="0" applyFont="1" applyBorder="1"/>
    <xf numFmtId="0" fontId="51" fillId="0" borderId="114" xfId="0" applyFont="1" applyBorder="1"/>
    <xf numFmtId="0" fontId="51" fillId="0" borderId="145" xfId="0" applyFont="1" applyBorder="1"/>
    <xf numFmtId="0" fontId="51" fillId="0" borderId="146" xfId="0" applyFont="1" applyBorder="1"/>
    <xf numFmtId="0" fontId="63" fillId="0" borderId="26" xfId="0" applyFont="1" applyBorder="1"/>
    <xf numFmtId="10" fontId="51" fillId="0" borderId="93" xfId="0" applyNumberFormat="1" applyFont="1" applyBorder="1"/>
    <xf numFmtId="0" fontId="74" fillId="0" borderId="73" xfId="0" applyFont="1" applyBorder="1"/>
    <xf numFmtId="0" fontId="74" fillId="0" borderId="0" xfId="0" applyFont="1"/>
    <xf numFmtId="0" fontId="74" fillId="0" borderId="60" xfId="0" applyFont="1" applyBorder="1"/>
    <xf numFmtId="0" fontId="63" fillId="0" borderId="147" xfId="0" applyFont="1" applyBorder="1"/>
    <xf numFmtId="0" fontId="63" fillId="0" borderId="148" xfId="0" applyFont="1" applyBorder="1"/>
    <xf numFmtId="0" fontId="51" fillId="0" borderId="74" xfId="0" applyFont="1" applyBorder="1"/>
    <xf numFmtId="0" fontId="51" fillId="0" borderId="149" xfId="0" applyFont="1" applyBorder="1"/>
    <xf numFmtId="0" fontId="51" fillId="0" borderId="79" xfId="0" applyFont="1" applyBorder="1"/>
    <xf numFmtId="0" fontId="63" fillId="0" borderId="89" xfId="0" applyFont="1" applyBorder="1"/>
    <xf numFmtId="0" fontId="51" fillId="0" borderId="147" xfId="0" applyFont="1" applyBorder="1"/>
    <xf numFmtId="181" fontId="51" fillId="0" borderId="58" xfId="0" applyNumberFormat="1" applyFont="1" applyBorder="1"/>
    <xf numFmtId="181" fontId="51" fillId="0" borderId="74" xfId="0" applyNumberFormat="1" applyFont="1" applyBorder="1"/>
    <xf numFmtId="181" fontId="51" fillId="0" borderId="93" xfId="0" applyNumberFormat="1" applyFont="1" applyBorder="1"/>
    <xf numFmtId="181" fontId="51" fillId="0" borderId="149" xfId="0" applyNumberFormat="1" applyFont="1" applyBorder="1"/>
    <xf numFmtId="181" fontId="51" fillId="0" borderId="79" xfId="0" applyNumberFormat="1" applyFont="1" applyBorder="1"/>
    <xf numFmtId="181" fontId="51" fillId="0" borderId="114" xfId="0" applyNumberFormat="1" applyFont="1" applyBorder="1"/>
    <xf numFmtId="0" fontId="76" fillId="0" borderId="103" xfId="0" applyFont="1" applyBorder="1"/>
    <xf numFmtId="0" fontId="71" fillId="0" borderId="103" xfId="0" applyFont="1" applyBorder="1"/>
    <xf numFmtId="0" fontId="62" fillId="0" borderId="103" xfId="0" applyFont="1" applyBorder="1"/>
    <xf numFmtId="0" fontId="63" fillId="0" borderId="79" xfId="0" applyFont="1" applyBorder="1"/>
    <xf numFmtId="0" fontId="74" fillId="0" borderId="103" xfId="0" applyFont="1" applyBorder="1"/>
    <xf numFmtId="0" fontId="66" fillId="0" borderId="0" xfId="0" applyFont="1" applyAlignment="1">
      <alignment readingOrder="1"/>
    </xf>
    <xf numFmtId="0" fontId="66" fillId="0" borderId="151" xfId="0" applyFont="1" applyBorder="1" applyAlignment="1">
      <alignment readingOrder="1"/>
    </xf>
    <xf numFmtId="0" fontId="67" fillId="0" borderId="0" xfId="0" applyFont="1" applyAlignment="1">
      <alignment readingOrder="1"/>
    </xf>
    <xf numFmtId="0" fontId="66" fillId="0" borderId="158" xfId="0" applyFont="1" applyBorder="1" applyAlignment="1">
      <alignment readingOrder="1"/>
    </xf>
    <xf numFmtId="0" fontId="66" fillId="0" borderId="71" xfId="0" applyFont="1" applyBorder="1" applyAlignment="1">
      <alignment readingOrder="1"/>
    </xf>
    <xf numFmtId="0" fontId="67" fillId="0" borderId="151" xfId="0" applyFont="1" applyBorder="1" applyAlignment="1">
      <alignment readingOrder="1"/>
    </xf>
    <xf numFmtId="0" fontId="78" fillId="0" borderId="151" xfId="0" applyFont="1" applyBorder="1" applyAlignment="1">
      <alignment readingOrder="1"/>
    </xf>
    <xf numFmtId="181" fontId="51" fillId="0" borderId="95" xfId="0" applyNumberFormat="1" applyFont="1" applyBorder="1"/>
    <xf numFmtId="0" fontId="78" fillId="0" borderId="136" xfId="0" applyFont="1" applyBorder="1" applyAlignment="1">
      <alignment readingOrder="1"/>
    </xf>
    <xf numFmtId="0" fontId="78" fillId="0" borderId="157" xfId="0" applyFont="1" applyBorder="1" applyAlignment="1">
      <alignment readingOrder="1"/>
    </xf>
    <xf numFmtId="0" fontId="66" fillId="0" borderId="161" xfId="0" applyFont="1" applyBorder="1" applyAlignment="1">
      <alignment readingOrder="1"/>
    </xf>
    <xf numFmtId="0" fontId="67" fillId="0" borderId="161" xfId="0" applyFont="1" applyBorder="1" applyAlignment="1">
      <alignment readingOrder="1"/>
    </xf>
    <xf numFmtId="0" fontId="78" fillId="0" borderId="163" xfId="0" applyFont="1" applyBorder="1" applyAlignment="1">
      <alignment readingOrder="1"/>
    </xf>
    <xf numFmtId="0" fontId="74" fillId="0" borderId="90" xfId="0" applyFont="1" applyBorder="1"/>
    <xf numFmtId="0" fontId="63" fillId="0" borderId="114" xfId="0" applyFont="1" applyBorder="1" applyAlignment="1">
      <alignment wrapText="1"/>
    </xf>
    <xf numFmtId="0" fontId="63" fillId="0" borderId="92" xfId="0" applyFont="1" applyBorder="1"/>
    <xf numFmtId="0" fontId="51" fillId="0" borderId="164" xfId="0" applyFont="1" applyBorder="1"/>
    <xf numFmtId="0" fontId="63" fillId="0" borderId="164" xfId="0" applyFont="1" applyBorder="1"/>
    <xf numFmtId="0" fontId="63" fillId="0" borderId="165" xfId="0" applyFont="1" applyBorder="1"/>
    <xf numFmtId="0" fontId="78" fillId="0" borderId="9" xfId="0" applyFont="1" applyBorder="1" applyAlignment="1">
      <alignment readingOrder="1"/>
    </xf>
    <xf numFmtId="0" fontId="66" fillId="0" borderId="103" xfId="0" applyFont="1" applyBorder="1" applyAlignment="1">
      <alignment readingOrder="1"/>
    </xf>
    <xf numFmtId="9" fontId="78" fillId="0" borderId="9" xfId="0" applyNumberFormat="1" applyFont="1" applyBorder="1" applyAlignment="1">
      <alignment readingOrder="1"/>
    </xf>
    <xf numFmtId="9" fontId="78" fillId="0" borderId="103" xfId="0" applyNumberFormat="1" applyFont="1" applyBorder="1" applyAlignment="1">
      <alignment readingOrder="1"/>
    </xf>
    <xf numFmtId="10" fontId="78" fillId="0" borderId="9" xfId="0" applyNumberFormat="1" applyFont="1" applyBorder="1" applyAlignment="1">
      <alignment readingOrder="1"/>
    </xf>
    <xf numFmtId="0" fontId="77" fillId="0" borderId="95" xfId="0" applyFont="1" applyBorder="1"/>
    <xf numFmtId="0" fontId="77" fillId="0" borderId="93" xfId="0" applyFont="1" applyBorder="1"/>
    <xf numFmtId="0" fontId="71" fillId="0" borderId="93" xfId="0" applyFont="1" applyBorder="1"/>
    <xf numFmtId="0" fontId="71" fillId="0" borderId="74" xfId="0" applyFont="1" applyBorder="1"/>
    <xf numFmtId="181" fontId="51" fillId="0" borderId="112" xfId="0" applyNumberFormat="1" applyFont="1" applyBorder="1"/>
    <xf numFmtId="0" fontId="79" fillId="0" borderId="0" xfId="0" applyFont="1"/>
    <xf numFmtId="0" fontId="77" fillId="0" borderId="58" xfId="0" applyFont="1" applyBorder="1"/>
    <xf numFmtId="168" fontId="4" fillId="16" borderId="58" xfId="0" applyNumberFormat="1" applyFont="1" applyFill="1" applyBorder="1" applyAlignment="1">
      <alignment horizontal="center"/>
    </xf>
    <xf numFmtId="0" fontId="78" fillId="0" borderId="166" xfId="0" applyFont="1" applyBorder="1" applyAlignment="1">
      <alignment readingOrder="1"/>
    </xf>
    <xf numFmtId="0" fontId="67" fillId="0" borderId="157" xfId="0" applyFont="1" applyBorder="1" applyAlignment="1">
      <alignment readingOrder="1"/>
    </xf>
    <xf numFmtId="9" fontId="66" fillId="0" borderId="71" xfId="0" applyNumberFormat="1" applyFont="1" applyBorder="1" applyAlignment="1">
      <alignment readingOrder="1"/>
    </xf>
    <xf numFmtId="0" fontId="67" fillId="0" borderId="136" xfId="0" applyFont="1" applyBorder="1" applyAlignment="1">
      <alignment readingOrder="1"/>
    </xf>
    <xf numFmtId="0" fontId="66" fillId="0" borderId="102" xfId="0" applyFont="1" applyBorder="1" applyAlignment="1">
      <alignment readingOrder="1"/>
    </xf>
    <xf numFmtId="0" fontId="66" fillId="0" borderId="156" xfId="0" applyFont="1" applyBorder="1" applyAlignment="1">
      <alignment readingOrder="1"/>
    </xf>
    <xf numFmtId="0" fontId="80" fillId="0" borderId="0" xfId="0" applyFont="1" applyAlignment="1">
      <alignment readingOrder="1"/>
    </xf>
    <xf numFmtId="0" fontId="66" fillId="20" borderId="0" xfId="0" applyFont="1" applyFill="1" applyAlignment="1">
      <alignment readingOrder="1"/>
    </xf>
    <xf numFmtId="9" fontId="66" fillId="0" borderId="0" xfId="0" applyNumberFormat="1" applyFont="1" applyAlignment="1">
      <alignment readingOrder="1"/>
    </xf>
    <xf numFmtId="0" fontId="78" fillId="0" borderId="167" xfId="0" applyFont="1" applyBorder="1" applyAlignment="1">
      <alignment readingOrder="1"/>
    </xf>
    <xf numFmtId="10" fontId="66" fillId="0" borderId="151" xfId="0" applyNumberFormat="1" applyFont="1" applyBorder="1" applyAlignment="1">
      <alignment readingOrder="1"/>
    </xf>
    <xf numFmtId="0" fontId="67" fillId="0" borderId="156" xfId="0" applyFont="1" applyBorder="1" applyAlignment="1">
      <alignment readingOrder="1"/>
    </xf>
    <xf numFmtId="0" fontId="78" fillId="0" borderId="179" xfId="0" applyFont="1" applyBorder="1" applyAlignment="1">
      <alignment wrapText="1" readingOrder="1"/>
    </xf>
    <xf numFmtId="0" fontId="78" fillId="0" borderId="161" xfId="0" applyFont="1" applyBorder="1" applyAlignment="1">
      <alignment wrapText="1" readingOrder="1"/>
    </xf>
    <xf numFmtId="0" fontId="78" fillId="0" borderId="160" xfId="0" applyFont="1" applyBorder="1" applyAlignment="1">
      <alignment wrapText="1" readingOrder="1"/>
    </xf>
    <xf numFmtId="0" fontId="66" fillId="0" borderId="180" xfId="0" applyFont="1" applyBorder="1" applyAlignment="1">
      <alignment readingOrder="1"/>
    </xf>
    <xf numFmtId="0" fontId="67" fillId="0" borderId="102" xfId="0" applyFont="1" applyBorder="1" applyAlignment="1">
      <alignment readingOrder="1"/>
    </xf>
    <xf numFmtId="0" fontId="67" fillId="0" borderId="159" xfId="0" applyFont="1" applyBorder="1" applyAlignment="1">
      <alignment readingOrder="1"/>
    </xf>
    <xf numFmtId="0" fontId="66" fillId="0" borderId="160" xfId="0" applyFont="1" applyBorder="1" applyAlignment="1">
      <alignment readingOrder="1"/>
    </xf>
    <xf numFmtId="0" fontId="67" fillId="0" borderId="162" xfId="0" applyFont="1" applyBorder="1" applyAlignment="1">
      <alignment readingOrder="1"/>
    </xf>
    <xf numFmtId="0" fontId="67" fillId="0" borderId="158" xfId="0" applyFont="1" applyBorder="1" applyAlignment="1">
      <alignment readingOrder="1"/>
    </xf>
    <xf numFmtId="0" fontId="67" fillId="0" borderId="180" xfId="0" applyFont="1" applyBorder="1" applyAlignment="1">
      <alignment readingOrder="1"/>
    </xf>
    <xf numFmtId="0" fontId="66" fillId="0" borderId="179" xfId="0" applyFont="1" applyBorder="1" applyAlignment="1">
      <alignment readingOrder="1"/>
    </xf>
    <xf numFmtId="0" fontId="74" fillId="0" borderId="52" xfId="0" applyFont="1" applyBorder="1"/>
    <xf numFmtId="0" fontId="63" fillId="0" borderId="149" xfId="0" applyFont="1" applyBorder="1"/>
    <xf numFmtId="0" fontId="66" fillId="0" borderId="158" xfId="0" applyFont="1" applyBorder="1" applyAlignment="1">
      <alignment wrapText="1" readingOrder="1"/>
    </xf>
    <xf numFmtId="0" fontId="66" fillId="0" borderId="102" xfId="0" applyFont="1" applyBorder="1" applyAlignment="1">
      <alignment wrapText="1" readingOrder="1"/>
    </xf>
    <xf numFmtId="0" fontId="66" fillId="0" borderId="159" xfId="0" applyFont="1" applyBorder="1" applyAlignment="1">
      <alignment wrapText="1" readingOrder="1"/>
    </xf>
    <xf numFmtId="0" fontId="78" fillId="0" borderId="155" xfId="0" applyFont="1" applyBorder="1" applyAlignment="1">
      <alignment readingOrder="1"/>
    </xf>
    <xf numFmtId="0" fontId="75" fillId="24" borderId="0" xfId="0" applyFont="1" applyFill="1"/>
    <xf numFmtId="0" fontId="0" fillId="24" borderId="0" xfId="0" applyFill="1"/>
    <xf numFmtId="0" fontId="67" fillId="0" borderId="71" xfId="0" applyFont="1" applyBorder="1" applyAlignment="1">
      <alignment readingOrder="1"/>
    </xf>
    <xf numFmtId="0" fontId="81" fillId="0" borderId="0" xfId="0" quotePrefix="1" applyFont="1" applyAlignment="1">
      <alignment readingOrder="1"/>
    </xf>
    <xf numFmtId="0" fontId="82" fillId="0" borderId="0" xfId="0" quotePrefix="1" applyFont="1" applyAlignment="1">
      <alignment readingOrder="1"/>
    </xf>
    <xf numFmtId="10" fontId="66" fillId="0" borderId="103" xfId="0" applyNumberFormat="1" applyFont="1" applyBorder="1" applyAlignment="1">
      <alignment readingOrder="1"/>
    </xf>
    <xf numFmtId="181" fontId="77" fillId="0" borderId="58" xfId="0" applyNumberFormat="1" applyFont="1" applyBorder="1"/>
    <xf numFmtId="181" fontId="77" fillId="0" borderId="95" xfId="0" applyNumberFormat="1" applyFont="1" applyBorder="1"/>
    <xf numFmtId="0" fontId="68" fillId="9" borderId="103" xfId="0" applyFont="1" applyFill="1" applyBorder="1"/>
    <xf numFmtId="0" fontId="71" fillId="0" borderId="149" xfId="0" applyFont="1" applyBorder="1"/>
    <xf numFmtId="0" fontId="77" fillId="0" borderId="79" xfId="0" applyFont="1" applyBorder="1"/>
    <xf numFmtId="0" fontId="68" fillId="0" borderId="74" xfId="0" applyFont="1" applyBorder="1"/>
    <xf numFmtId="0" fontId="68" fillId="0" borderId="103" xfId="0" applyFont="1" applyBorder="1"/>
    <xf numFmtId="0" fontId="71" fillId="0" borderId="79" xfId="0" applyFont="1" applyBorder="1"/>
    <xf numFmtId="0" fontId="68" fillId="0" borderId="53" xfId="0" applyFont="1" applyBorder="1"/>
    <xf numFmtId="181" fontId="68" fillId="0" borderId="58" xfId="0" applyNumberFormat="1" applyFont="1" applyBorder="1"/>
    <xf numFmtId="185" fontId="51" fillId="0" borderId="93" xfId="0" applyNumberFormat="1" applyFont="1" applyBorder="1"/>
    <xf numFmtId="9" fontId="66" fillId="0" borderId="9" xfId="0" applyNumberFormat="1" applyFont="1" applyBorder="1" applyAlignment="1">
      <alignment readingOrder="1"/>
    </xf>
    <xf numFmtId="181" fontId="77" fillId="0" borderId="74" xfId="0" applyNumberFormat="1" applyFont="1" applyBorder="1"/>
    <xf numFmtId="181" fontId="71" fillId="0" borderId="112" xfId="0" applyNumberFormat="1" applyFont="1" applyBorder="1"/>
    <xf numFmtId="0" fontId="71" fillId="0" borderId="58" xfId="0" applyFont="1" applyBorder="1"/>
    <xf numFmtId="0" fontId="71" fillId="0" borderId="150" xfId="0" applyFont="1" applyBorder="1"/>
    <xf numFmtId="0" fontId="76" fillId="0" borderId="9" xfId="0" applyFont="1" applyBorder="1"/>
    <xf numFmtId="181" fontId="71" fillId="0" borderId="9" xfId="0" applyNumberFormat="1" applyFont="1" applyBorder="1"/>
    <xf numFmtId="181" fontId="71" fillId="0" borderId="93" xfId="0" applyNumberFormat="1" applyFont="1" applyBorder="1"/>
    <xf numFmtId="181" fontId="71" fillId="0" borderId="79" xfId="0" applyNumberFormat="1" applyFont="1" applyBorder="1"/>
    <xf numFmtId="181" fontId="71" fillId="0" borderId="114" xfId="0" applyNumberFormat="1" applyFont="1" applyBorder="1"/>
    <xf numFmtId="181" fontId="71" fillId="0" borderId="148" xfId="0" applyNumberFormat="1" applyFont="1" applyBorder="1"/>
    <xf numFmtId="181" fontId="71" fillId="0" borderId="74" xfId="0" applyNumberFormat="1" applyFont="1" applyBorder="1"/>
    <xf numFmtId="181" fontId="51" fillId="0" borderId="187" xfId="0" applyNumberFormat="1" applyFont="1" applyBorder="1"/>
    <xf numFmtId="0" fontId="51" fillId="0" borderId="188" xfId="0" applyFont="1" applyBorder="1"/>
    <xf numFmtId="181" fontId="51" fillId="0" borderId="189" xfId="0" applyNumberFormat="1" applyFont="1" applyBorder="1"/>
    <xf numFmtId="0" fontId="51" fillId="0" borderId="190" xfId="0" applyFont="1" applyBorder="1"/>
    <xf numFmtId="0" fontId="51" fillId="0" borderId="144" xfId="0" applyFont="1" applyBorder="1"/>
    <xf numFmtId="0" fontId="63" fillId="0" borderId="147" xfId="0" applyFont="1" applyBorder="1" applyAlignment="1">
      <alignment wrapText="1"/>
    </xf>
    <xf numFmtId="0" fontId="63" fillId="0" borderId="148" xfId="0" applyFont="1" applyBorder="1" applyAlignment="1">
      <alignment wrapText="1"/>
    </xf>
    <xf numFmtId="0" fontId="51" fillId="0" borderId="42" xfId="0" applyFont="1" applyBorder="1"/>
    <xf numFmtId="0" fontId="51" fillId="0" borderId="103" xfId="0" applyFont="1" applyBorder="1" applyAlignment="1">
      <alignment wrapText="1"/>
    </xf>
    <xf numFmtId="0" fontId="83" fillId="0" borderId="103" xfId="0" applyFont="1" applyBorder="1"/>
    <xf numFmtId="0" fontId="51" fillId="0" borderId="0" xfId="0" applyFont="1"/>
    <xf numFmtId="181" fontId="51" fillId="0" borderId="50" xfId="0" applyNumberFormat="1" applyFont="1" applyBorder="1"/>
    <xf numFmtId="181" fontId="63" fillId="0" borderId="93" xfId="0" applyNumberFormat="1" applyFont="1" applyBorder="1"/>
    <xf numFmtId="0" fontId="78" fillId="0" borderId="102" xfId="0" applyFont="1" applyBorder="1" applyAlignment="1">
      <alignment readingOrder="1"/>
    </xf>
    <xf numFmtId="0" fontId="67" fillId="0" borderId="103" xfId="0" applyFont="1" applyBorder="1" applyAlignment="1">
      <alignment readingOrder="1"/>
    </xf>
    <xf numFmtId="0" fontId="63" fillId="0" borderId="187" xfId="0" applyFont="1" applyBorder="1"/>
    <xf numFmtId="0" fontId="63" fillId="0" borderId="191" xfId="0" applyFont="1" applyBorder="1"/>
    <xf numFmtId="0" fontId="74" fillId="0" borderId="192" xfId="0" applyFont="1" applyBorder="1"/>
    <xf numFmtId="0" fontId="74" fillId="0" borderId="193" xfId="0" applyFont="1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87" fillId="0" borderId="0" xfId="0" applyFont="1" applyAlignment="1">
      <alignment horizontal="right" vertical="top" wrapText="1"/>
    </xf>
    <xf numFmtId="0" fontId="87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87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9" fontId="88" fillId="0" borderId="0" xfId="0" applyNumberFormat="1" applyFont="1" applyAlignment="1">
      <alignment horizontal="center" vertical="top" shrinkToFit="1"/>
    </xf>
    <xf numFmtId="9" fontId="0" fillId="0" borderId="105" xfId="4" applyFont="1" applyBorder="1" applyAlignment="1">
      <alignment horizontal="center" vertical="center" wrapText="1"/>
    </xf>
    <xf numFmtId="9" fontId="88" fillId="0" borderId="105" xfId="0" applyNumberFormat="1" applyFont="1" applyBorder="1" applyAlignment="1">
      <alignment horizontal="center" vertical="center" shrinkToFit="1"/>
    </xf>
    <xf numFmtId="9" fontId="0" fillId="0" borderId="105" xfId="0" applyNumberFormat="1" applyBorder="1" applyAlignment="1">
      <alignment horizontal="center" vertical="center" wrapText="1"/>
    </xf>
    <xf numFmtId="169" fontId="0" fillId="0" borderId="105" xfId="0" applyNumberFormat="1" applyBorder="1" applyAlignment="1">
      <alignment horizontal="center" vertical="center" wrapText="1"/>
    </xf>
    <xf numFmtId="3" fontId="88" fillId="0" borderId="0" xfId="0" applyNumberFormat="1" applyFont="1" applyAlignment="1">
      <alignment horizontal="center" vertical="top" shrinkToFit="1"/>
    </xf>
    <xf numFmtId="1" fontId="88" fillId="0" borderId="0" xfId="0" applyNumberFormat="1" applyFont="1" applyAlignment="1">
      <alignment horizontal="center" vertical="top" shrinkToFit="1"/>
    </xf>
    <xf numFmtId="2" fontId="0" fillId="0" borderId="0" xfId="0" applyNumberFormat="1" applyAlignment="1">
      <alignment horizontal="center" vertical="center" wrapText="1"/>
    </xf>
    <xf numFmtId="0" fontId="0" fillId="0" borderId="132" xfId="0" applyBorder="1" applyAlignment="1">
      <alignment vertical="top" wrapText="1"/>
    </xf>
    <xf numFmtId="0" fontId="0" fillId="0" borderId="133" xfId="0" applyBorder="1" applyAlignment="1">
      <alignment vertical="top" wrapText="1"/>
    </xf>
    <xf numFmtId="169" fontId="0" fillId="26" borderId="134" xfId="0" applyNumberFormat="1" applyFill="1" applyBorder="1" applyAlignment="1">
      <alignment vertical="top" wrapText="1"/>
    </xf>
    <xf numFmtId="169" fontId="0" fillId="0" borderId="0" xfId="0" applyNumberFormat="1" applyAlignment="1">
      <alignment vertical="top" wrapText="1"/>
    </xf>
    <xf numFmtId="3" fontId="0" fillId="0" borderId="0" xfId="0" applyNumberFormat="1" applyAlignment="1">
      <alignment vertical="top" wrapText="1"/>
    </xf>
    <xf numFmtId="0" fontId="0" fillId="26" borderId="0" xfId="0" applyFill="1" applyAlignment="1">
      <alignment vertical="top" wrapText="1"/>
    </xf>
    <xf numFmtId="0" fontId="89" fillId="0" borderId="0" xfId="0" applyFont="1" applyAlignment="1">
      <alignment wrapText="1"/>
    </xf>
    <xf numFmtId="0" fontId="89" fillId="0" borderId="0" xfId="0" applyFont="1" applyAlignment="1">
      <alignment horizontal="right" wrapText="1"/>
    </xf>
    <xf numFmtId="0" fontId="89" fillId="0" borderId="64" xfId="0" applyFont="1" applyBorder="1" applyAlignment="1">
      <alignment wrapText="1"/>
    </xf>
    <xf numFmtId="0" fontId="89" fillId="0" borderId="194" xfId="0" applyFont="1" applyBorder="1" applyAlignment="1">
      <alignment horizontal="right" wrapText="1"/>
    </xf>
    <xf numFmtId="0" fontId="89" fillId="0" borderId="62" xfId="0" applyFont="1" applyBorder="1" applyAlignment="1">
      <alignment wrapText="1"/>
    </xf>
    <xf numFmtId="0" fontId="89" fillId="0" borderId="63" xfId="0" applyFont="1" applyBorder="1" applyAlignment="1">
      <alignment horizontal="right" wrapText="1"/>
    </xf>
    <xf numFmtId="1" fontId="0" fillId="0" borderId="0" xfId="0" applyNumberFormat="1" applyAlignment="1">
      <alignment vertical="top" wrapText="1"/>
    </xf>
    <xf numFmtId="0" fontId="0" fillId="0" borderId="9" xfId="0" applyBorder="1" applyAlignment="1">
      <alignment horizontal="left" vertical="center" wrapText="1"/>
    </xf>
    <xf numFmtId="0" fontId="87" fillId="0" borderId="9" xfId="0" applyFont="1" applyBorder="1" applyAlignment="1">
      <alignment horizontal="center" vertical="top" wrapText="1"/>
    </xf>
    <xf numFmtId="0" fontId="87" fillId="0" borderId="47" xfId="0" applyFont="1" applyBorder="1" applyAlignment="1">
      <alignment horizontal="center" vertical="top" wrapText="1"/>
    </xf>
    <xf numFmtId="0" fontId="90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center" wrapText="1"/>
    </xf>
    <xf numFmtId="1" fontId="0" fillId="0" borderId="46" xfId="0" applyNumberFormat="1" applyBorder="1" applyAlignment="1">
      <alignment horizontal="center" vertical="center" wrapText="1"/>
    </xf>
    <xf numFmtId="3" fontId="0" fillId="0" borderId="105" xfId="0" applyNumberForma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05" xfId="0" applyBorder="1" applyAlignment="1">
      <alignment vertical="top"/>
    </xf>
    <xf numFmtId="0" fontId="0" fillId="0" borderId="105" xfId="0" applyBorder="1" applyAlignment="1">
      <alignment vertical="top" wrapText="1"/>
    </xf>
    <xf numFmtId="3" fontId="0" fillId="0" borderId="105" xfId="0" applyNumberFormat="1" applyBorder="1" applyAlignment="1">
      <alignment horizontal="center" vertical="top" wrapText="1"/>
    </xf>
    <xf numFmtId="1" fontId="0" fillId="0" borderId="105" xfId="0" applyNumberFormat="1" applyBorder="1" applyAlignment="1">
      <alignment vertical="top" wrapText="1"/>
    </xf>
    <xf numFmtId="0" fontId="91" fillId="0" borderId="9" xfId="0" applyFont="1" applyBorder="1" applyAlignment="1">
      <alignment horizontal="left" vertical="top" wrapText="1"/>
    </xf>
    <xf numFmtId="0" fontId="0" fillId="0" borderId="105" xfId="0" applyBorder="1" applyAlignment="1">
      <alignment horizontal="center" vertical="top" wrapText="1"/>
    </xf>
    <xf numFmtId="1" fontId="0" fillId="0" borderId="105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2" fontId="0" fillId="0" borderId="0" xfId="0" applyNumberFormat="1" applyAlignment="1">
      <alignment vertical="top" wrapText="1"/>
    </xf>
    <xf numFmtId="0" fontId="66" fillId="0" borderId="195" xfId="0" applyFont="1" applyBorder="1" applyAlignment="1">
      <alignment readingOrder="1"/>
    </xf>
    <xf numFmtId="0" fontId="78" fillId="0" borderId="181" xfId="0" applyFont="1" applyBorder="1" applyAlignment="1">
      <alignment readingOrder="1"/>
    </xf>
    <xf numFmtId="0" fontId="78" fillId="0" borderId="182" xfId="0" applyFont="1" applyBorder="1" applyAlignment="1">
      <alignment readingOrder="1"/>
    </xf>
    <xf numFmtId="0" fontId="78" fillId="0" borderId="183" xfId="0" applyFont="1" applyBorder="1" applyAlignment="1">
      <alignment readingOrder="1"/>
    </xf>
    <xf numFmtId="181" fontId="66" fillId="0" borderId="180" xfId="0" applyNumberFormat="1" applyFont="1" applyBorder="1" applyAlignment="1">
      <alignment readingOrder="1"/>
    </xf>
    <xf numFmtId="181" fontId="66" fillId="0" borderId="102" xfId="0" applyNumberFormat="1" applyFont="1" applyBorder="1" applyAlignment="1">
      <alignment readingOrder="1"/>
    </xf>
    <xf numFmtId="181" fontId="67" fillId="0" borderId="159" xfId="0" applyNumberFormat="1" applyFont="1" applyBorder="1" applyAlignment="1">
      <alignment readingOrder="1"/>
    </xf>
    <xf numFmtId="181" fontId="67" fillId="0" borderId="136" xfId="0" applyNumberFormat="1" applyFont="1" applyBorder="1" applyAlignment="1">
      <alignment readingOrder="1"/>
    </xf>
    <xf numFmtId="181" fontId="67" fillId="0" borderId="157" xfId="0" applyNumberFormat="1" applyFont="1" applyBorder="1" applyAlignment="1">
      <alignment readingOrder="1"/>
    </xf>
    <xf numFmtId="181" fontId="66" fillId="0" borderId="160" xfId="0" applyNumberFormat="1" applyFont="1" applyBorder="1" applyAlignment="1">
      <alignment readingOrder="1"/>
    </xf>
    <xf numFmtId="181" fontId="66" fillId="20" borderId="161" xfId="0" applyNumberFormat="1" applyFont="1" applyFill="1" applyBorder="1" applyAlignment="1">
      <alignment readingOrder="1"/>
    </xf>
    <xf numFmtId="181" fontId="67" fillId="0" borderId="162" xfId="0" applyNumberFormat="1" applyFont="1" applyBorder="1" applyAlignment="1">
      <alignment readingOrder="1"/>
    </xf>
    <xf numFmtId="181" fontId="78" fillId="0" borderId="183" xfId="0" applyNumberFormat="1" applyFont="1" applyBorder="1" applyAlignment="1">
      <alignment readingOrder="1"/>
    </xf>
    <xf numFmtId="181" fontId="78" fillId="0" borderId="162" xfId="0" applyNumberFormat="1" applyFont="1" applyBorder="1" applyAlignment="1">
      <alignment readingOrder="1"/>
    </xf>
    <xf numFmtId="165" fontId="67" fillId="0" borderId="102" xfId="0" applyNumberFormat="1" applyFont="1" applyBorder="1" applyAlignment="1">
      <alignment readingOrder="1"/>
    </xf>
    <xf numFmtId="165" fontId="66" fillId="0" borderId="102" xfId="0" applyNumberFormat="1" applyFont="1" applyBorder="1" applyAlignment="1">
      <alignment readingOrder="1"/>
    </xf>
    <xf numFmtId="165" fontId="78" fillId="0" borderId="163" xfId="0" applyNumberFormat="1" applyFont="1" applyBorder="1" applyAlignment="1">
      <alignment readingOrder="1"/>
    </xf>
    <xf numFmtId="181" fontId="78" fillId="0" borderId="163" xfId="0" applyNumberFormat="1" applyFont="1" applyBorder="1" applyAlignment="1">
      <alignment readingOrder="1"/>
    </xf>
    <xf numFmtId="165" fontId="78" fillId="0" borderId="161" xfId="0" applyNumberFormat="1" applyFont="1" applyBorder="1" applyAlignment="1">
      <alignment readingOrder="1"/>
    </xf>
    <xf numFmtId="181" fontId="78" fillId="0" borderId="160" xfId="0" applyNumberFormat="1" applyFont="1" applyBorder="1" applyAlignment="1">
      <alignment readingOrder="1"/>
    </xf>
    <xf numFmtId="181" fontId="66" fillId="0" borderId="159" xfId="0" applyNumberFormat="1" applyFont="1" applyBorder="1" applyAlignment="1">
      <alignment readingOrder="1"/>
    </xf>
    <xf numFmtId="181" fontId="67" fillId="0" borderId="156" xfId="0" applyNumberFormat="1" applyFont="1" applyBorder="1" applyAlignment="1">
      <alignment readingOrder="1"/>
    </xf>
    <xf numFmtId="181" fontId="66" fillId="0" borderId="156" xfId="0" applyNumberFormat="1" applyFont="1" applyBorder="1" applyAlignment="1">
      <alignment readingOrder="1"/>
    </xf>
    <xf numFmtId="181" fontId="78" fillId="0" borderId="161" xfId="0" applyNumberFormat="1" applyFont="1" applyBorder="1" applyAlignment="1">
      <alignment readingOrder="1"/>
    </xf>
    <xf numFmtId="181" fontId="78" fillId="0" borderId="156" xfId="0" applyNumberFormat="1" applyFont="1" applyBorder="1" applyAlignment="1">
      <alignment readingOrder="1"/>
    </xf>
    <xf numFmtId="10" fontId="0" fillId="0" borderId="9" xfId="0" applyNumberFormat="1" applyBorder="1"/>
    <xf numFmtId="0" fontId="66" fillId="0" borderId="197" xfId="0" applyFont="1" applyBorder="1" applyAlignment="1">
      <alignment readingOrder="1"/>
    </xf>
    <xf numFmtId="0" fontId="0" fillId="0" borderId="1" xfId="0" applyBorder="1"/>
    <xf numFmtId="181" fontId="0" fillId="0" borderId="0" xfId="0" applyNumberFormat="1"/>
    <xf numFmtId="181" fontId="63" fillId="0" borderId="64" xfId="0" applyNumberFormat="1" applyFont="1" applyBorder="1"/>
    <xf numFmtId="181" fontId="63" fillId="0" borderId="103" xfId="0" applyNumberFormat="1" applyFont="1" applyBorder="1"/>
    <xf numFmtId="181" fontId="63" fillId="0" borderId="0" xfId="0" applyNumberFormat="1" applyFont="1"/>
    <xf numFmtId="181" fontId="63" fillId="0" borderId="26" xfId="0" applyNumberFormat="1" applyFont="1" applyBorder="1"/>
    <xf numFmtId="181" fontId="51" fillId="0" borderId="103" xfId="0" applyNumberFormat="1" applyFont="1" applyBorder="1"/>
    <xf numFmtId="181" fontId="63" fillId="0" borderId="114" xfId="0" applyNumberFormat="1" applyFont="1" applyBorder="1"/>
    <xf numFmtId="181" fontId="63" fillId="0" borderId="140" xfId="0" applyNumberFormat="1" applyFont="1" applyBorder="1"/>
    <xf numFmtId="181" fontId="51" fillId="0" borderId="26" xfId="0" applyNumberFormat="1" applyFont="1" applyBorder="1"/>
    <xf numFmtId="0" fontId="71" fillId="0" borderId="15" xfId="0" applyFont="1" applyBorder="1" applyAlignment="1">
      <alignment horizontal="center"/>
    </xf>
    <xf numFmtId="180" fontId="71" fillId="0" borderId="102" xfId="0" applyNumberFormat="1" applyFont="1" applyBorder="1" applyAlignment="1">
      <alignment horizontal="center"/>
    </xf>
    <xf numFmtId="168" fontId="71" fillId="0" borderId="102" xfId="0" applyNumberFormat="1" applyFont="1" applyBorder="1" applyAlignment="1">
      <alignment horizontal="center"/>
    </xf>
    <xf numFmtId="0" fontId="68" fillId="28" borderId="15" xfId="0" applyFont="1" applyFill="1" applyBorder="1" applyAlignment="1">
      <alignment horizontal="center"/>
    </xf>
    <xf numFmtId="180" fontId="68" fillId="27" borderId="102" xfId="0" applyNumberFormat="1" applyFont="1" applyFill="1" applyBorder="1" applyAlignment="1">
      <alignment horizontal="center"/>
    </xf>
    <xf numFmtId="168" fontId="68" fillId="27" borderId="102" xfId="0" applyNumberFormat="1" applyFont="1" applyFill="1" applyBorder="1" applyAlignment="1">
      <alignment horizontal="center"/>
    </xf>
    <xf numFmtId="9" fontId="51" fillId="0" borderId="42" xfId="0" applyNumberFormat="1" applyFont="1" applyBorder="1"/>
    <xf numFmtId="184" fontId="51" fillId="0" borderId="79" xfId="0" applyNumberFormat="1" applyFont="1" applyBorder="1"/>
    <xf numFmtId="184" fontId="51" fillId="0" borderId="149" xfId="0" applyNumberFormat="1" applyFont="1" applyBorder="1"/>
    <xf numFmtId="0" fontId="15" fillId="25" borderId="198" xfId="0" applyFont="1" applyFill="1" applyBorder="1"/>
    <xf numFmtId="0" fontId="15" fillId="29" borderId="101" xfId="0" applyFont="1" applyFill="1" applyBorder="1"/>
    <xf numFmtId="0" fontId="79" fillId="0" borderId="0" xfId="0" quotePrefix="1" applyFont="1"/>
    <xf numFmtId="168" fontId="4" fillId="0" borderId="9" xfId="0" applyNumberFormat="1" applyFont="1" applyBorder="1" applyAlignment="1">
      <alignment horizontal="center"/>
    </xf>
    <xf numFmtId="181" fontId="66" fillId="0" borderId="9" xfId="0" applyNumberFormat="1" applyFont="1" applyBorder="1" applyAlignment="1">
      <alignment readingOrder="1"/>
    </xf>
    <xf numFmtId="10" fontId="66" fillId="0" borderId="9" xfId="0" applyNumberFormat="1" applyFont="1" applyBorder="1" applyAlignment="1">
      <alignment readingOrder="1"/>
    </xf>
    <xf numFmtId="0" fontId="78" fillId="0" borderId="103" xfId="0" applyFont="1" applyBorder="1" applyAlignment="1">
      <alignment readingOrder="1"/>
    </xf>
    <xf numFmtId="184" fontId="71" fillId="0" borderId="112" xfId="0" applyNumberFormat="1" applyFont="1" applyBorder="1"/>
    <xf numFmtId="181" fontId="0" fillId="0" borderId="3" xfId="0" applyNumberFormat="1" applyBorder="1"/>
    <xf numFmtId="10" fontId="51" fillId="0" borderId="79" xfId="0" applyNumberFormat="1" applyFont="1" applyBorder="1"/>
    <xf numFmtId="0" fontId="93" fillId="0" borderId="103" xfId="0" applyFont="1" applyBorder="1"/>
    <xf numFmtId="0" fontId="93" fillId="0" borderId="0" xfId="0" applyFont="1"/>
    <xf numFmtId="0" fontId="2" fillId="0" borderId="103" xfId="0" applyFont="1" applyBorder="1"/>
    <xf numFmtId="0" fontId="2" fillId="0" borderId="199" xfId="0" applyFont="1" applyBorder="1"/>
    <xf numFmtId="0" fontId="2" fillId="0" borderId="200" xfId="0" applyFont="1" applyBorder="1"/>
    <xf numFmtId="0" fontId="2" fillId="0" borderId="201" xfId="0" applyFont="1" applyBorder="1"/>
    <xf numFmtId="0" fontId="2" fillId="0" borderId="202" xfId="0" applyFont="1" applyBorder="1"/>
    <xf numFmtId="0" fontId="2" fillId="0" borderId="203" xfId="0" applyFont="1" applyBorder="1"/>
    <xf numFmtId="8" fontId="2" fillId="0" borderId="203" xfId="0" applyNumberFormat="1" applyFont="1" applyBorder="1"/>
    <xf numFmtId="8" fontId="2" fillId="0" borderId="204" xfId="0" applyNumberFormat="1" applyFont="1" applyBorder="1"/>
    <xf numFmtId="0" fontId="2" fillId="0" borderId="205" xfId="0" applyFont="1" applyBorder="1"/>
    <xf numFmtId="8" fontId="2" fillId="0" borderId="206" xfId="0" applyNumberFormat="1" applyFont="1" applyBorder="1"/>
    <xf numFmtId="8" fontId="65" fillId="0" borderId="103" xfId="0" applyNumberFormat="1" applyFont="1" applyBorder="1"/>
    <xf numFmtId="184" fontId="51" fillId="0" borderId="93" xfId="0" applyNumberFormat="1" applyFont="1" applyBorder="1"/>
    <xf numFmtId="184" fontId="51" fillId="0" borderId="112" xfId="0" applyNumberFormat="1" applyFont="1" applyBorder="1"/>
    <xf numFmtId="181" fontId="78" fillId="0" borderId="103" xfId="0" applyNumberFormat="1" applyFont="1" applyBorder="1" applyAlignment="1">
      <alignment readingOrder="1"/>
    </xf>
    <xf numFmtId="0" fontId="68" fillId="0" borderId="9" xfId="0" applyFont="1" applyBorder="1"/>
    <xf numFmtId="0" fontId="68" fillId="0" borderId="69" xfId="0" applyFont="1" applyBorder="1"/>
    <xf numFmtId="0" fontId="77" fillId="0" borderId="103" xfId="0" applyFont="1" applyBorder="1"/>
    <xf numFmtId="0" fontId="68" fillId="0" borderId="15" xfId="0" applyFont="1" applyBorder="1"/>
    <xf numFmtId="0" fontId="71" fillId="0" borderId="102" xfId="0" applyFont="1" applyBorder="1"/>
    <xf numFmtId="0" fontId="71" fillId="0" borderId="15" xfId="0" applyFont="1" applyBorder="1"/>
    <xf numFmtId="0" fontId="68" fillId="0" borderId="0" xfId="0" applyFont="1"/>
    <xf numFmtId="10" fontId="4" fillId="6" borderId="26" xfId="0" applyNumberFormat="1" applyFont="1" applyFill="1" applyBorder="1"/>
    <xf numFmtId="181" fontId="71" fillId="0" borderId="102" xfId="0" applyNumberFormat="1" applyFont="1" applyBorder="1"/>
    <xf numFmtId="181" fontId="68" fillId="0" borderId="9" xfId="0" applyNumberFormat="1" applyFont="1" applyBorder="1"/>
    <xf numFmtId="14" fontId="51" fillId="0" borderId="56" xfId="0" applyNumberFormat="1" applyFont="1" applyBorder="1" applyAlignment="1">
      <alignment horizontal="left"/>
    </xf>
    <xf numFmtId="14" fontId="66" fillId="0" borderId="196" xfId="0" applyNumberFormat="1" applyFont="1" applyBorder="1" applyAlignment="1">
      <alignment horizontal="left" readingOrder="1"/>
    </xf>
    <xf numFmtId="14" fontId="66" fillId="0" borderId="197" xfId="0" applyNumberFormat="1" applyFont="1" applyBorder="1" applyAlignment="1">
      <alignment horizontal="left" readingOrder="1"/>
    </xf>
    <xf numFmtId="181" fontId="66" fillId="0" borderId="103" xfId="0" applyNumberFormat="1" applyFont="1" applyBorder="1" applyAlignment="1">
      <alignment readingOrder="1"/>
    </xf>
    <xf numFmtId="0" fontId="94" fillId="4" borderId="101" xfId="0" applyFont="1" applyFill="1" applyBorder="1" applyAlignment="1">
      <alignment horizontal="center"/>
    </xf>
    <xf numFmtId="0" fontId="70" fillId="0" borderId="101" xfId="0" applyFont="1" applyBorder="1" applyAlignment="1">
      <alignment horizontal="center"/>
    </xf>
    <xf numFmtId="181" fontId="77" fillId="0" borderId="93" xfId="0" applyNumberFormat="1" applyFont="1" applyBorder="1"/>
    <xf numFmtId="0" fontId="95" fillId="30" borderId="0" xfId="0" applyFont="1" applyFill="1"/>
    <xf numFmtId="0" fontId="0" fillId="30" borderId="0" xfId="0" applyFill="1"/>
    <xf numFmtId="181" fontId="66" fillId="15" borderId="180" xfId="0" applyNumberFormat="1" applyFont="1" applyFill="1" applyBorder="1" applyAlignment="1">
      <alignment readingOrder="1"/>
    </xf>
    <xf numFmtId="181" fontId="51" fillId="31" borderId="93" xfId="0" applyNumberFormat="1" applyFont="1" applyFill="1" applyBorder="1"/>
    <xf numFmtId="0" fontId="63" fillId="0" borderId="209" xfId="0" applyFont="1" applyBorder="1"/>
    <xf numFmtId="0" fontId="63" fillId="0" borderId="210" xfId="0" applyFont="1" applyBorder="1"/>
    <xf numFmtId="185" fontId="51" fillId="0" borderId="209" xfId="0" applyNumberFormat="1" applyFont="1" applyBorder="1"/>
    <xf numFmtId="10" fontId="51" fillId="0" borderId="210" xfId="0" applyNumberFormat="1" applyFont="1" applyBorder="1"/>
    <xf numFmtId="185" fontId="63" fillId="0" borderId="211" xfId="0" applyNumberFormat="1" applyFont="1" applyBorder="1"/>
    <xf numFmtId="10" fontId="63" fillId="0" borderId="20" xfId="0" applyNumberFormat="1" applyFont="1" applyBorder="1"/>
    <xf numFmtId="0" fontId="63" fillId="0" borderId="90" xfId="0" applyFont="1" applyBorder="1"/>
    <xf numFmtId="0" fontId="51" fillId="0" borderId="90" xfId="0" applyFont="1" applyBorder="1"/>
    <xf numFmtId="0" fontId="63" fillId="0" borderId="212" xfId="0" applyFont="1" applyBorder="1"/>
    <xf numFmtId="10" fontId="51" fillId="0" borderId="149" xfId="0" applyNumberFormat="1" applyFont="1" applyBorder="1"/>
    <xf numFmtId="0" fontId="63" fillId="0" borderId="18" xfId="0" applyFont="1" applyBorder="1"/>
    <xf numFmtId="0" fontId="63" fillId="0" borderId="19" xfId="0" applyFont="1" applyBorder="1"/>
    <xf numFmtId="0" fontId="63" fillId="0" borderId="20" xfId="0" applyFont="1" applyBorder="1"/>
    <xf numFmtId="10" fontId="74" fillId="0" borderId="214" xfId="0" applyNumberFormat="1" applyFont="1" applyBorder="1"/>
    <xf numFmtId="0" fontId="74" fillId="0" borderId="214" xfId="0" applyFont="1" applyBorder="1"/>
    <xf numFmtId="185" fontId="64" fillId="0" borderId="209" xfId="0" applyNumberFormat="1" applyFont="1" applyBorder="1"/>
    <xf numFmtId="0" fontId="51" fillId="0" borderId="209" xfId="0" applyFont="1" applyBorder="1"/>
    <xf numFmtId="10" fontId="63" fillId="0" borderId="19" xfId="0" applyNumberFormat="1" applyFont="1" applyBorder="1"/>
    <xf numFmtId="185" fontId="63" fillId="0" borderId="215" xfId="0" applyNumberFormat="1" applyFont="1" applyBorder="1"/>
    <xf numFmtId="0" fontId="71" fillId="0" borderId="0" xfId="0" applyFont="1"/>
    <xf numFmtId="10" fontId="71" fillId="0" borderId="0" xfId="0" applyNumberFormat="1" applyFont="1" applyAlignment="1">
      <alignment horizontal="center" vertical="center"/>
    </xf>
    <xf numFmtId="10" fontId="71" fillId="21" borderId="0" xfId="0" applyNumberFormat="1" applyFont="1" applyFill="1" applyAlignment="1">
      <alignment horizontal="center" vertical="center"/>
    </xf>
    <xf numFmtId="181" fontId="51" fillId="21" borderId="93" xfId="0" applyNumberFormat="1" applyFont="1" applyFill="1" applyBorder="1"/>
    <xf numFmtId="181" fontId="51" fillId="15" borderId="93" xfId="0" applyNumberFormat="1" applyFont="1" applyFill="1" applyBorder="1"/>
    <xf numFmtId="181" fontId="51" fillId="15" borderId="112" xfId="0" applyNumberFormat="1" applyFont="1" applyFill="1" applyBorder="1"/>
    <xf numFmtId="0" fontId="68" fillId="0" borderId="69" xfId="0" applyFont="1" applyBorder="1" applyAlignment="1">
      <alignment wrapText="1"/>
    </xf>
    <xf numFmtId="8" fontId="71" fillId="0" borderId="102" xfId="0" applyNumberFormat="1" applyFont="1" applyBorder="1"/>
    <xf numFmtId="0" fontId="62" fillId="9" borderId="102" xfId="0" applyFont="1" applyFill="1" applyBorder="1"/>
    <xf numFmtId="8" fontId="68" fillId="0" borderId="102" xfId="0" applyNumberFormat="1" applyFont="1" applyBorder="1"/>
    <xf numFmtId="181" fontId="51" fillId="18" borderId="93" xfId="0" applyNumberFormat="1" applyFont="1" applyFill="1" applyBorder="1"/>
    <xf numFmtId="181" fontId="51" fillId="18" borderId="112" xfId="0" applyNumberFormat="1" applyFont="1" applyFill="1" applyBorder="1"/>
    <xf numFmtId="181" fontId="63" fillId="0" borderId="150" xfId="0" applyNumberFormat="1" applyFont="1" applyBorder="1"/>
    <xf numFmtId="181" fontId="63" fillId="0" borderId="74" xfId="0" applyNumberFormat="1" applyFont="1" applyBorder="1"/>
    <xf numFmtId="181" fontId="63" fillId="18" borderId="93" xfId="0" applyNumberFormat="1" applyFont="1" applyFill="1" applyBorder="1"/>
    <xf numFmtId="181" fontId="51" fillId="18" borderId="50" xfId="0" applyNumberFormat="1" applyFont="1" applyFill="1" applyBorder="1"/>
    <xf numFmtId="0" fontId="63" fillId="21" borderId="164" xfId="0" applyFont="1" applyFill="1" applyBorder="1"/>
    <xf numFmtId="0" fontId="0" fillId="21" borderId="0" xfId="0" applyFill="1"/>
    <xf numFmtId="184" fontId="51" fillId="18" borderId="93" xfId="0" applyNumberFormat="1" applyFont="1" applyFill="1" applyBorder="1"/>
    <xf numFmtId="181" fontId="51" fillId="18" borderId="114" xfId="0" applyNumberFormat="1" applyFont="1" applyFill="1" applyBorder="1"/>
    <xf numFmtId="168" fontId="4" fillId="31" borderId="58" xfId="0" applyNumberFormat="1" applyFont="1" applyFill="1" applyBorder="1" applyAlignment="1">
      <alignment horizontal="center"/>
    </xf>
    <xf numFmtId="168" fontId="4" fillId="31" borderId="61" xfId="0" applyNumberFormat="1" applyFont="1" applyFill="1" applyBorder="1" applyAlignment="1">
      <alignment horizontal="center"/>
    </xf>
    <xf numFmtId="0" fontId="4" fillId="20" borderId="88" xfId="0" applyFont="1" applyFill="1" applyBorder="1"/>
    <xf numFmtId="8" fontId="71" fillId="9" borderId="9" xfId="0" applyNumberFormat="1" applyFont="1" applyFill="1" applyBorder="1"/>
    <xf numFmtId="0" fontId="62" fillId="9" borderId="9" xfId="0" applyFont="1" applyFill="1" applyBorder="1"/>
    <xf numFmtId="0" fontId="71" fillId="0" borderId="137" xfId="0" applyFont="1" applyBorder="1"/>
    <xf numFmtId="8" fontId="71" fillId="0" borderId="136" xfId="0" applyNumberFormat="1" applyFont="1" applyBorder="1"/>
    <xf numFmtId="168" fontId="3" fillId="0" borderId="58" xfId="0" applyNumberFormat="1" applyFont="1" applyBorder="1" applyAlignment="1">
      <alignment horizontal="right"/>
    </xf>
    <xf numFmtId="168" fontId="3" fillId="0" borderId="86" xfId="0" applyNumberFormat="1" applyFont="1" applyBorder="1" applyAlignment="1">
      <alignment horizontal="right"/>
    </xf>
    <xf numFmtId="181" fontId="51" fillId="21" borderId="74" xfId="0" applyNumberFormat="1" applyFont="1" applyFill="1" applyBorder="1"/>
    <xf numFmtId="0" fontId="71" fillId="0" borderId="46" xfId="0" applyFont="1" applyBorder="1"/>
    <xf numFmtId="0" fontId="68" fillId="0" borderId="47" xfId="0" applyFont="1" applyBorder="1" applyAlignment="1">
      <alignment wrapText="1"/>
    </xf>
    <xf numFmtId="181" fontId="51" fillId="20" borderId="95" xfId="0" applyNumberFormat="1" applyFont="1" applyFill="1" applyBorder="1"/>
    <xf numFmtId="0" fontId="96" fillId="0" borderId="56" xfId="0" applyFont="1" applyBorder="1"/>
    <xf numFmtId="181" fontId="64" fillId="18" borderId="93" xfId="0" applyNumberFormat="1" applyFont="1" applyFill="1" applyBorder="1"/>
    <xf numFmtId="181" fontId="64" fillId="18" borderId="112" xfId="0" applyNumberFormat="1" applyFont="1" applyFill="1" applyBorder="1"/>
    <xf numFmtId="181" fontId="71" fillId="18" borderId="58" xfId="0" applyNumberFormat="1" applyFont="1" applyFill="1" applyBorder="1"/>
    <xf numFmtId="181" fontId="71" fillId="18" borderId="74" xfId="0" applyNumberFormat="1" applyFont="1" applyFill="1" applyBorder="1"/>
    <xf numFmtId="0" fontId="96" fillId="0" borderId="113" xfId="0" applyFont="1" applyBorder="1"/>
    <xf numFmtId="181" fontId="64" fillId="31" borderId="114" xfId="0" applyNumberFormat="1" applyFont="1" applyFill="1" applyBorder="1"/>
    <xf numFmtId="0" fontId="97" fillId="0" borderId="0" xfId="0" quotePrefix="1" applyFont="1"/>
    <xf numFmtId="0" fontId="97" fillId="0" borderId="103" xfId="0" quotePrefix="1" applyFont="1" applyBorder="1"/>
    <xf numFmtId="184" fontId="0" fillId="0" borderId="0" xfId="0" applyNumberFormat="1"/>
    <xf numFmtId="9" fontId="51" fillId="0" borderId="103" xfId="0" applyNumberFormat="1" applyFont="1" applyBorder="1"/>
    <xf numFmtId="184" fontId="51" fillId="0" borderId="42" xfId="0" applyNumberFormat="1" applyFont="1" applyBorder="1"/>
    <xf numFmtId="0" fontId="3" fillId="20" borderId="58" xfId="0" applyFont="1" applyFill="1" applyBorder="1"/>
    <xf numFmtId="8" fontId="3" fillId="20" borderId="95" xfId="0" applyNumberFormat="1" applyFont="1" applyFill="1" applyBorder="1"/>
    <xf numFmtId="168" fontId="4" fillId="20" borderId="58" xfId="0" applyNumberFormat="1" applyFont="1" applyFill="1" applyBorder="1" applyAlignment="1">
      <alignment horizontal="center"/>
    </xf>
    <xf numFmtId="0" fontId="4" fillId="22" borderId="135" xfId="0" applyFont="1" applyFill="1" applyBorder="1" applyAlignment="1">
      <alignment horizontal="center"/>
    </xf>
    <xf numFmtId="0" fontId="4" fillId="22" borderId="103" xfId="0" applyFont="1" applyFill="1" applyBorder="1" applyAlignment="1">
      <alignment horizontal="center"/>
    </xf>
    <xf numFmtId="0" fontId="1" fillId="22" borderId="1" xfId="0" applyFont="1" applyFill="1" applyBorder="1" applyAlignment="1">
      <alignment horizontal="center"/>
    </xf>
    <xf numFmtId="0" fontId="2" fillId="22" borderId="2" xfId="0" applyFont="1" applyFill="1" applyBorder="1"/>
    <xf numFmtId="0" fontId="2" fillId="22" borderId="3" xfId="0" applyFont="1" applyFill="1" applyBorder="1"/>
    <xf numFmtId="0" fontId="3" fillId="22" borderId="4" xfId="0" applyFont="1" applyFill="1" applyBorder="1" applyAlignment="1">
      <alignment horizontal="center"/>
    </xf>
    <xf numFmtId="0" fontId="3" fillId="22" borderId="5" xfId="0" applyFont="1" applyFill="1" applyBorder="1" applyAlignment="1">
      <alignment horizontal="center"/>
    </xf>
    <xf numFmtId="0" fontId="3" fillId="22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4" borderId="30" xfId="0" applyFont="1" applyFill="1" applyBorder="1" applyAlignment="1">
      <alignment horizontal="left" vertical="center" wrapText="1"/>
    </xf>
    <xf numFmtId="0" fontId="2" fillId="0" borderId="31" xfId="0" applyFont="1" applyBorder="1"/>
    <xf numFmtId="0" fontId="2" fillId="0" borderId="32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0" fillId="14" borderId="38" xfId="0" applyFill="1" applyBorder="1"/>
    <xf numFmtId="0" fontId="0" fillId="14" borderId="39" xfId="0" applyFill="1" applyBorder="1"/>
    <xf numFmtId="0" fontId="0" fillId="14" borderId="40" xfId="0" applyFill="1" applyBorder="1"/>
    <xf numFmtId="0" fontId="4" fillId="6" borderId="38" xfId="0" applyFont="1" applyFill="1" applyBorder="1" applyAlignment="1">
      <alignment horizontal="center"/>
    </xf>
    <xf numFmtId="0" fontId="2" fillId="0" borderId="39" xfId="0" applyFont="1" applyBorder="1"/>
    <xf numFmtId="0" fontId="2" fillId="0" borderId="40" xfId="0" applyFont="1" applyBorder="1"/>
    <xf numFmtId="0" fontId="13" fillId="4" borderId="27" xfId="0" applyFont="1" applyFill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14" fillId="4" borderId="30" xfId="0" applyFont="1" applyFill="1" applyBorder="1" applyAlignment="1">
      <alignment horizontal="left" vertical="center" wrapText="1"/>
    </xf>
    <xf numFmtId="0" fontId="2" fillId="0" borderId="33" xfId="0" applyFont="1" applyBorder="1"/>
    <xf numFmtId="0" fontId="0" fillId="0" borderId="0" xfId="0"/>
    <xf numFmtId="0" fontId="2" fillId="0" borderId="34" xfId="0" applyFont="1" applyBorder="1"/>
    <xf numFmtId="0" fontId="15" fillId="4" borderId="27" xfId="0" applyFont="1" applyFill="1" applyBorder="1" applyAlignment="1">
      <alignment horizontal="left" vertical="center"/>
    </xf>
    <xf numFmtId="0" fontId="1" fillId="22" borderId="43" xfId="0" applyFont="1" applyFill="1" applyBorder="1" applyAlignment="1">
      <alignment horizontal="center"/>
    </xf>
    <xf numFmtId="0" fontId="1" fillId="22" borderId="44" xfId="0" applyFont="1" applyFill="1" applyBorder="1" applyAlignment="1">
      <alignment horizontal="center"/>
    </xf>
    <xf numFmtId="0" fontId="1" fillId="22" borderId="45" xfId="0" applyFont="1" applyFill="1" applyBorder="1" applyAlignment="1">
      <alignment horizontal="center"/>
    </xf>
    <xf numFmtId="0" fontId="1" fillId="22" borderId="2" xfId="0" applyFont="1" applyFill="1" applyBorder="1" applyAlignment="1">
      <alignment horizontal="center"/>
    </xf>
    <xf numFmtId="0" fontId="1" fillId="22" borderId="3" xfId="0" applyFont="1" applyFill="1" applyBorder="1" applyAlignment="1">
      <alignment horizontal="center"/>
    </xf>
    <xf numFmtId="0" fontId="17" fillId="22" borderId="1" xfId="0" applyFont="1" applyFill="1" applyBorder="1" applyAlignment="1">
      <alignment horizontal="center" vertical="top"/>
    </xf>
    <xf numFmtId="0" fontId="17" fillId="22" borderId="2" xfId="0" applyFont="1" applyFill="1" applyBorder="1" applyAlignment="1">
      <alignment horizontal="center" vertical="top"/>
    </xf>
    <xf numFmtId="0" fontId="17" fillId="22" borderId="3" xfId="0" applyFont="1" applyFill="1" applyBorder="1" applyAlignment="1">
      <alignment horizontal="center" vertical="top"/>
    </xf>
    <xf numFmtId="0" fontId="17" fillId="22" borderId="1" xfId="0" applyFont="1" applyFill="1" applyBorder="1" applyAlignment="1">
      <alignment horizontal="center"/>
    </xf>
    <xf numFmtId="0" fontId="17" fillId="22" borderId="2" xfId="0" applyFont="1" applyFill="1" applyBorder="1" applyAlignment="1">
      <alignment horizontal="center"/>
    </xf>
    <xf numFmtId="0" fontId="17" fillId="22" borderId="3" xfId="0" applyFont="1" applyFill="1" applyBorder="1" applyAlignment="1">
      <alignment horizontal="center"/>
    </xf>
    <xf numFmtId="0" fontId="39" fillId="0" borderId="46" xfId="0" applyFont="1" applyBorder="1" applyAlignment="1">
      <alignment horizontal="center"/>
    </xf>
    <xf numFmtId="0" fontId="2" fillId="0" borderId="72" xfId="0" applyFont="1" applyBorder="1"/>
    <xf numFmtId="0" fontId="2" fillId="0" borderId="69" xfId="0" applyFont="1" applyBorder="1"/>
    <xf numFmtId="0" fontId="2" fillId="22" borderId="44" xfId="0" applyFont="1" applyFill="1" applyBorder="1"/>
    <xf numFmtId="0" fontId="2" fillId="22" borderId="45" xfId="0" applyFont="1" applyFill="1" applyBorder="1"/>
    <xf numFmtId="0" fontId="30" fillId="8" borderId="1" xfId="0" applyFont="1" applyFill="1" applyBorder="1" applyAlignment="1">
      <alignment horizontal="center" wrapText="1"/>
    </xf>
    <xf numFmtId="0" fontId="30" fillId="8" borderId="2" xfId="0" applyFont="1" applyFill="1" applyBorder="1" applyAlignment="1">
      <alignment horizontal="center" wrapText="1"/>
    </xf>
    <xf numFmtId="0" fontId="30" fillId="8" borderId="3" xfId="0" applyFont="1" applyFill="1" applyBorder="1" applyAlignment="1">
      <alignment horizontal="center" wrapText="1"/>
    </xf>
    <xf numFmtId="0" fontId="2" fillId="22" borderId="5" xfId="0" applyFont="1" applyFill="1" applyBorder="1"/>
    <xf numFmtId="0" fontId="2" fillId="22" borderId="6" xfId="0" applyFont="1" applyFill="1" applyBorder="1"/>
    <xf numFmtId="0" fontId="3" fillId="0" borderId="22" xfId="0" applyFont="1" applyBorder="1" applyAlignment="1">
      <alignment horizontal="left" vertical="top"/>
    </xf>
    <xf numFmtId="0" fontId="3" fillId="0" borderId="103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0" fillId="17" borderId="43" xfId="0" applyFill="1" applyBorder="1" applyAlignment="1">
      <alignment horizontal="center" vertical="center"/>
    </xf>
    <xf numFmtId="0" fontId="0" fillId="17" borderId="45" xfId="0" applyFill="1" applyBorder="1" applyAlignment="1">
      <alignment horizontal="center" vertical="center"/>
    </xf>
    <xf numFmtId="0" fontId="3" fillId="0" borderId="43" xfId="0" applyFont="1" applyBorder="1" applyAlignment="1">
      <alignment horizontal="left" vertical="top"/>
    </xf>
    <xf numFmtId="0" fontId="3" fillId="0" borderId="44" xfId="0" applyFont="1" applyBorder="1" applyAlignment="1">
      <alignment horizontal="left" vertical="top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171" fontId="3" fillId="0" borderId="65" xfId="0" applyNumberFormat="1" applyFont="1" applyBorder="1" applyAlignment="1">
      <alignment horizontal="center" vertical="center"/>
    </xf>
    <xf numFmtId="171" fontId="3" fillId="0" borderId="66" xfId="0" applyNumberFormat="1" applyFont="1" applyBorder="1" applyAlignment="1">
      <alignment horizontal="center" vertical="center"/>
    </xf>
    <xf numFmtId="171" fontId="3" fillId="0" borderId="67" xfId="0" applyNumberFormat="1" applyFont="1" applyBorder="1" applyAlignment="1">
      <alignment horizontal="center" vertical="center"/>
    </xf>
    <xf numFmtId="0" fontId="1" fillId="0" borderId="49" xfId="0" applyFont="1" applyBorder="1" applyAlignment="1">
      <alignment horizontal="center"/>
    </xf>
    <xf numFmtId="0" fontId="2" fillId="0" borderId="50" xfId="0" applyFont="1" applyBorder="1"/>
    <xf numFmtId="0" fontId="2" fillId="0" borderId="51" xfId="0" applyFont="1" applyBorder="1"/>
    <xf numFmtId="0" fontId="2" fillId="0" borderId="60" xfId="0" applyFont="1" applyBorder="1"/>
    <xf numFmtId="0" fontId="28" fillId="0" borderId="73" xfId="0" applyFont="1" applyBorder="1" applyAlignment="1">
      <alignment horizontal="center"/>
    </xf>
    <xf numFmtId="0" fontId="28" fillId="0" borderId="124" xfId="0" applyFont="1" applyBorder="1" applyAlignment="1">
      <alignment horizontal="center"/>
    </xf>
    <xf numFmtId="0" fontId="28" fillId="0" borderId="46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44" fillId="0" borderId="46" xfId="0" applyFont="1" applyBorder="1"/>
    <xf numFmtId="0" fontId="15" fillId="4" borderId="2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6" fillId="0" borderId="152" xfId="0" applyFont="1" applyBorder="1" applyAlignment="1">
      <alignment readingOrder="1"/>
    </xf>
    <xf numFmtId="0" fontId="66" fillId="0" borderId="153" xfId="0" applyFont="1" applyBorder="1" applyAlignment="1">
      <alignment readingOrder="1"/>
    </xf>
    <xf numFmtId="0" fontId="66" fillId="0" borderId="154" xfId="0" applyFont="1" applyBorder="1" applyAlignment="1">
      <alignment readingOrder="1"/>
    </xf>
    <xf numFmtId="0" fontId="78" fillId="0" borderId="168" xfId="0" applyFont="1" applyBorder="1" applyAlignment="1">
      <alignment wrapText="1" readingOrder="1"/>
    </xf>
    <xf numFmtId="0" fontId="78" fillId="0" borderId="169" xfId="0" applyFont="1" applyBorder="1" applyAlignment="1">
      <alignment wrapText="1" readingOrder="1"/>
    </xf>
    <xf numFmtId="0" fontId="78" fillId="0" borderId="170" xfId="0" applyFont="1" applyBorder="1" applyAlignment="1">
      <alignment wrapText="1" readingOrder="1"/>
    </xf>
    <xf numFmtId="0" fontId="78" fillId="0" borderId="171" xfId="0" applyFont="1" applyBorder="1" applyAlignment="1">
      <alignment wrapText="1" readingOrder="1"/>
    </xf>
    <xf numFmtId="0" fontId="78" fillId="0" borderId="172" xfId="0" applyFont="1" applyBorder="1" applyAlignment="1">
      <alignment wrapText="1" readingOrder="1"/>
    </xf>
    <xf numFmtId="0" fontId="78" fillId="0" borderId="173" xfId="0" applyFont="1" applyBorder="1" applyAlignment="1">
      <alignment wrapText="1" readingOrder="1"/>
    </xf>
    <xf numFmtId="0" fontId="78" fillId="0" borderId="174" xfId="0" applyFont="1" applyBorder="1" applyAlignment="1">
      <alignment wrapText="1" readingOrder="1"/>
    </xf>
    <xf numFmtId="0" fontId="78" fillId="0" borderId="175" xfId="0" applyFont="1" applyBorder="1" applyAlignment="1">
      <alignment wrapText="1" readingOrder="1"/>
    </xf>
    <xf numFmtId="0" fontId="78" fillId="0" borderId="176" xfId="0" applyFont="1" applyBorder="1" applyAlignment="1">
      <alignment wrapText="1" readingOrder="1"/>
    </xf>
    <xf numFmtId="0" fontId="78" fillId="0" borderId="177" xfId="0" applyFont="1" applyBorder="1" applyAlignment="1">
      <alignment wrapText="1" readingOrder="1"/>
    </xf>
    <xf numFmtId="0" fontId="78" fillId="0" borderId="178" xfId="0" applyFont="1" applyBorder="1" applyAlignment="1">
      <alignment wrapText="1" readingOrder="1"/>
    </xf>
    <xf numFmtId="0" fontId="78" fillId="0" borderId="181" xfId="0" applyFont="1" applyBorder="1" applyAlignment="1">
      <alignment readingOrder="1"/>
    </xf>
    <xf numFmtId="0" fontId="78" fillId="0" borderId="182" xfId="0" applyFont="1" applyBorder="1" applyAlignment="1">
      <alignment readingOrder="1"/>
    </xf>
    <xf numFmtId="0" fontId="78" fillId="0" borderId="183" xfId="0" applyFont="1" applyBorder="1" applyAlignment="1">
      <alignment readingOrder="1"/>
    </xf>
    <xf numFmtId="0" fontId="78" fillId="0" borderId="184" xfId="0" applyFont="1" applyBorder="1" applyAlignment="1">
      <alignment readingOrder="1"/>
    </xf>
    <xf numFmtId="0" fontId="78" fillId="0" borderId="185" xfId="0" applyFont="1" applyBorder="1" applyAlignment="1">
      <alignment readingOrder="1"/>
    </xf>
    <xf numFmtId="0" fontId="78" fillId="0" borderId="186" xfId="0" applyFont="1" applyBorder="1" applyAlignment="1">
      <alignment readingOrder="1"/>
    </xf>
    <xf numFmtId="0" fontId="75" fillId="23" borderId="0" xfId="0" applyFont="1" applyFill="1" applyAlignment="1">
      <alignment readingOrder="1"/>
    </xf>
    <xf numFmtId="0" fontId="75" fillId="23" borderId="103" xfId="0" applyFont="1" applyFill="1" applyBorder="1" applyAlignment="1">
      <alignment readingOrder="1"/>
    </xf>
    <xf numFmtId="0" fontId="72" fillId="0" borderId="0" xfId="0" applyFont="1" applyAlignment="1">
      <alignment horizontal="center"/>
    </xf>
    <xf numFmtId="18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92" fillId="0" borderId="0" xfId="0" applyFont="1" applyAlignment="1">
      <alignment horizontal="center" readingOrder="1"/>
    </xf>
    <xf numFmtId="0" fontId="87" fillId="0" borderId="71" xfId="0" applyFont="1" applyBorder="1" applyAlignment="1">
      <alignment horizontal="left" vertical="top" wrapText="1"/>
    </xf>
    <xf numFmtId="0" fontId="0" fillId="0" borderId="136" xfId="0" applyBorder="1" applyAlignment="1">
      <alignment horizontal="left" vertical="center" wrapText="1"/>
    </xf>
    <xf numFmtId="0" fontId="86" fillId="0" borderId="0" xfId="0" applyFont="1" applyAlignment="1">
      <alignment horizontal="left" vertical="top" wrapText="1" indent="2"/>
    </xf>
    <xf numFmtId="0" fontId="87" fillId="0" borderId="0" xfId="0" applyFont="1" applyAlignment="1">
      <alignment horizontal="left" vertical="top" wrapText="1" indent="2"/>
    </xf>
    <xf numFmtId="0" fontId="0" fillId="26" borderId="0" xfId="0" applyFill="1" applyAlignment="1">
      <alignment horizontal="center" vertical="center" wrapText="1"/>
    </xf>
    <xf numFmtId="0" fontId="87" fillId="0" borderId="0" xfId="0" applyFont="1" applyAlignment="1">
      <alignment horizontal="center" vertical="top" wrapText="1"/>
    </xf>
    <xf numFmtId="0" fontId="87" fillId="0" borderId="0" xfId="0" applyFont="1" applyAlignment="1">
      <alignment horizontal="left" vertical="top" wrapText="1"/>
    </xf>
    <xf numFmtId="0" fontId="63" fillId="0" borderId="207" xfId="0" applyFont="1" applyBorder="1" applyAlignment="1">
      <alignment horizontal="center" vertical="center"/>
    </xf>
    <xf numFmtId="0" fontId="63" fillId="0" borderId="213" xfId="0" applyFont="1" applyBorder="1" applyAlignment="1">
      <alignment horizontal="center" vertical="center"/>
    </xf>
    <xf numFmtId="0" fontId="63" fillId="0" borderId="208" xfId="0" applyFont="1" applyBorder="1" applyAlignment="1">
      <alignment horizontal="center" vertical="center"/>
    </xf>
    <xf numFmtId="0" fontId="73" fillId="0" borderId="147" xfId="0" applyFont="1" applyBorder="1" applyAlignment="1">
      <alignment horizontal="center"/>
    </xf>
    <xf numFmtId="0" fontId="73" fillId="0" borderId="114" xfId="0" applyFont="1" applyBorder="1" applyAlignment="1">
      <alignment horizontal="center"/>
    </xf>
    <xf numFmtId="0" fontId="68" fillId="27" borderId="47" xfId="0" applyFont="1" applyFill="1" applyBorder="1" applyAlignment="1">
      <alignment horizontal="center"/>
    </xf>
    <xf numFmtId="0" fontId="77" fillId="0" borderId="15" xfId="0" applyFont="1" applyBorder="1"/>
    <xf numFmtId="0" fontId="68" fillId="27" borderId="111" xfId="0" applyFont="1" applyFill="1" applyBorder="1" applyAlignment="1">
      <alignment horizontal="center" wrapText="1"/>
    </xf>
    <xf numFmtId="0" fontId="77" fillId="0" borderId="102" xfId="0" applyFont="1" applyBorder="1"/>
    <xf numFmtId="0" fontId="73" fillId="0" borderId="103" xfId="0" applyFont="1" applyBorder="1" applyAlignment="1">
      <alignment horizontal="center"/>
    </xf>
    <xf numFmtId="0" fontId="73" fillId="0" borderId="145" xfId="0" applyFont="1" applyBorder="1" applyAlignment="1">
      <alignment horizontal="center"/>
    </xf>
    <xf numFmtId="0" fontId="74" fillId="0" borderId="88" xfId="0" applyFont="1" applyBorder="1" applyAlignment="1">
      <alignment horizontal="center"/>
    </xf>
    <xf numFmtId="0" fontId="74" fillId="0" borderId="91" xfId="0" applyFont="1" applyBorder="1" applyAlignment="1">
      <alignment horizontal="center"/>
    </xf>
    <xf numFmtId="0" fontId="84" fillId="25" borderId="27" xfId="0" applyFont="1" applyFill="1" applyBorder="1"/>
    <xf numFmtId="0" fontId="84" fillId="25" borderId="29" xfId="0" applyFont="1" applyFill="1" applyBorder="1"/>
    <xf numFmtId="0" fontId="49" fillId="12" borderId="46" xfId="0" applyFont="1" applyFill="1" applyBorder="1" applyAlignment="1">
      <alignment horizontal="center"/>
    </xf>
  </cellXfs>
  <cellStyles count="5">
    <cellStyle name="Hipervínculo 2" xfId="2" xr:uid="{93B67021-40E7-46F5-8D15-C0DB2F4C265F}"/>
    <cellStyle name="Hyperlink" xfId="3" xr:uid="{00000000-000B-0000-0000-000008000000}"/>
    <cellStyle name="Normal" xfId="0" builtinId="0"/>
    <cellStyle name="Normal 2" xfId="1" xr:uid="{86CECBAA-0693-46B3-8B4C-CB69F6E5EDB6}"/>
    <cellStyle name="Porcentaje" xfId="4" builtinId="5"/>
  </cellStyles>
  <dxfs count="20"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Calibri"/>
              </a:defRPr>
            </a:pPr>
            <a:r>
              <a:rPr lang="en-US" sz="1400" b="0" i="0">
                <a:solidFill>
                  <a:srgbClr val="757575"/>
                </a:solidFill>
                <a:latin typeface="Calibri"/>
              </a:rPr>
              <a:t>Punto de equilibrio Año 1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Ventas</c:v>
          </c:tx>
          <c:spPr>
            <a:ln w="28575" cmpd="sng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'E-Costos'!$D$166:$D$186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70875000</c:v>
                </c:pt>
                <c:pt idx="2">
                  <c:v>141750000</c:v>
                </c:pt>
                <c:pt idx="3">
                  <c:v>212625000</c:v>
                </c:pt>
                <c:pt idx="4">
                  <c:v>283500000</c:v>
                </c:pt>
                <c:pt idx="5">
                  <c:v>354375000</c:v>
                </c:pt>
                <c:pt idx="6">
                  <c:v>425250000</c:v>
                </c:pt>
                <c:pt idx="7">
                  <c:v>496124999.99999994</c:v>
                </c:pt>
                <c:pt idx="8">
                  <c:v>567000000</c:v>
                </c:pt>
                <c:pt idx="9">
                  <c:v>637875000</c:v>
                </c:pt>
                <c:pt idx="10">
                  <c:v>708750000</c:v>
                </c:pt>
                <c:pt idx="11">
                  <c:v>779625000.00000012</c:v>
                </c:pt>
                <c:pt idx="12">
                  <c:v>850500000</c:v>
                </c:pt>
                <c:pt idx="13">
                  <c:v>921375000</c:v>
                </c:pt>
                <c:pt idx="14">
                  <c:v>992249999.99999988</c:v>
                </c:pt>
                <c:pt idx="15">
                  <c:v>1063125000</c:v>
                </c:pt>
                <c:pt idx="16">
                  <c:v>1134000000</c:v>
                </c:pt>
                <c:pt idx="17">
                  <c:v>1204875000</c:v>
                </c:pt>
                <c:pt idx="18">
                  <c:v>1275750000</c:v>
                </c:pt>
                <c:pt idx="19">
                  <c:v>1346625000</c:v>
                </c:pt>
                <c:pt idx="20">
                  <c:v>1417500000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A4-48C3-99AE-99F8DA1DDC0C}"/>
            </c:ext>
          </c:extLst>
        </c:ser>
        <c:ser>
          <c:idx val="1"/>
          <c:order val="1"/>
          <c:tx>
            <c:v>Fijos</c:v>
          </c:tx>
          <c:spPr>
            <a:ln w="28575" cmpd="sng">
              <a:solidFill>
                <a:srgbClr val="7030A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'E-Costos'!$E$165:$E$186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128153530.92758608</c:v>
                </c:pt>
                <c:pt idx="2">
                  <c:v>128153530.92758608</c:v>
                </c:pt>
                <c:pt idx="3">
                  <c:v>128153530.92758608</c:v>
                </c:pt>
                <c:pt idx="4">
                  <c:v>128153530.92758608</c:v>
                </c:pt>
                <c:pt idx="5">
                  <c:v>128153530.92758608</c:v>
                </c:pt>
                <c:pt idx="6">
                  <c:v>128153530.92758608</c:v>
                </c:pt>
                <c:pt idx="7">
                  <c:v>128153530.92758608</c:v>
                </c:pt>
                <c:pt idx="8">
                  <c:v>128153530.92758608</c:v>
                </c:pt>
                <c:pt idx="9">
                  <c:v>128153530.92758608</c:v>
                </c:pt>
                <c:pt idx="10">
                  <c:v>128153530.92758608</c:v>
                </c:pt>
                <c:pt idx="11">
                  <c:v>128153530.92758608</c:v>
                </c:pt>
                <c:pt idx="12">
                  <c:v>128153530.92758608</c:v>
                </c:pt>
                <c:pt idx="13">
                  <c:v>128153530.92758608</c:v>
                </c:pt>
                <c:pt idx="14">
                  <c:v>128153530.92758608</c:v>
                </c:pt>
                <c:pt idx="15">
                  <c:v>128153530.92758608</c:v>
                </c:pt>
                <c:pt idx="16">
                  <c:v>128153530.92758608</c:v>
                </c:pt>
                <c:pt idx="17">
                  <c:v>128153530.92758608</c:v>
                </c:pt>
                <c:pt idx="18">
                  <c:v>128153530.92758608</c:v>
                </c:pt>
                <c:pt idx="19">
                  <c:v>128153530.92758608</c:v>
                </c:pt>
                <c:pt idx="20">
                  <c:v>128153530.92758608</c:v>
                </c:pt>
                <c:pt idx="21">
                  <c:v>128153530.92758608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A4-48C3-99AE-99F8DA1DDC0C}"/>
            </c:ext>
          </c:extLst>
        </c:ser>
        <c:ser>
          <c:idx val="2"/>
          <c:order val="2"/>
          <c:tx>
            <c:v>Variables</c:v>
          </c:tx>
          <c:spPr>
            <a:ln w="28575" cmpd="sng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'E-Costos'!$F$165:$F$186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0</c:v>
                </c:pt>
                <c:pt idx="2">
                  <c:v>68495949.847505167</c:v>
                </c:pt>
                <c:pt idx="3">
                  <c:v>136991899.69501033</c:v>
                </c:pt>
                <c:pt idx="4">
                  <c:v>205487849.54251549</c:v>
                </c:pt>
                <c:pt idx="5">
                  <c:v>273983799.39002067</c:v>
                </c:pt>
                <c:pt idx="6">
                  <c:v>342479749.23752582</c:v>
                </c:pt>
                <c:pt idx="7">
                  <c:v>410975699.08503097</c:v>
                </c:pt>
                <c:pt idx="8">
                  <c:v>479471648.93253613</c:v>
                </c:pt>
                <c:pt idx="9">
                  <c:v>547967598.78004134</c:v>
                </c:pt>
                <c:pt idx="10">
                  <c:v>616463548.62754655</c:v>
                </c:pt>
                <c:pt idx="11">
                  <c:v>684959498.47505164</c:v>
                </c:pt>
                <c:pt idx="12">
                  <c:v>753455448.32255685</c:v>
                </c:pt>
                <c:pt idx="13">
                  <c:v>821951398.17006195</c:v>
                </c:pt>
                <c:pt idx="14">
                  <c:v>890447348.01756716</c:v>
                </c:pt>
                <c:pt idx="15">
                  <c:v>958943297.86507225</c:v>
                </c:pt>
                <c:pt idx="16">
                  <c:v>1027439247.7125775</c:v>
                </c:pt>
                <c:pt idx="17">
                  <c:v>1095935197.5600827</c:v>
                </c:pt>
                <c:pt idx="18">
                  <c:v>1164431147.4075878</c:v>
                </c:pt>
                <c:pt idx="19">
                  <c:v>1232927097.2550931</c:v>
                </c:pt>
                <c:pt idx="20">
                  <c:v>1301423047.102598</c:v>
                </c:pt>
                <c:pt idx="21">
                  <c:v>1369918996.9501033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A4-48C3-99AE-99F8DA1DDC0C}"/>
            </c:ext>
          </c:extLst>
        </c:ser>
        <c:ser>
          <c:idx val="3"/>
          <c:order val="3"/>
          <c:tx>
            <c:v>Totales</c:v>
          </c:tx>
          <c:spPr>
            <a:ln w="28575" cmpd="sng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'E-Costos'!$G$165:$G$186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128153530.92758608</c:v>
                </c:pt>
                <c:pt idx="2">
                  <c:v>196649480.77509123</c:v>
                </c:pt>
                <c:pt idx="3">
                  <c:v>265145430.62259641</c:v>
                </c:pt>
                <c:pt idx="4">
                  <c:v>333641380.47010159</c:v>
                </c:pt>
                <c:pt idx="5">
                  <c:v>402137330.31760675</c:v>
                </c:pt>
                <c:pt idx="6">
                  <c:v>470633280.1651119</c:v>
                </c:pt>
                <c:pt idx="7">
                  <c:v>539129230.01261711</c:v>
                </c:pt>
                <c:pt idx="8">
                  <c:v>607625179.8601222</c:v>
                </c:pt>
                <c:pt idx="9">
                  <c:v>676121129.70762742</c:v>
                </c:pt>
                <c:pt idx="10">
                  <c:v>744617079.55513263</c:v>
                </c:pt>
                <c:pt idx="11">
                  <c:v>813113029.40263772</c:v>
                </c:pt>
                <c:pt idx="12">
                  <c:v>881608979.25014293</c:v>
                </c:pt>
                <c:pt idx="13">
                  <c:v>950104929.09764802</c:v>
                </c:pt>
                <c:pt idx="14">
                  <c:v>1018600878.9451532</c:v>
                </c:pt>
                <c:pt idx="15">
                  <c:v>1087096828.7926583</c:v>
                </c:pt>
                <c:pt idx="16">
                  <c:v>1155592778.6401634</c:v>
                </c:pt>
                <c:pt idx="17">
                  <c:v>1224088728.4876688</c:v>
                </c:pt>
                <c:pt idx="18">
                  <c:v>1292584678.3351738</c:v>
                </c:pt>
                <c:pt idx="19">
                  <c:v>1361080628.1826792</c:v>
                </c:pt>
                <c:pt idx="20">
                  <c:v>1429576578.030184</c:v>
                </c:pt>
                <c:pt idx="21">
                  <c:v>1498072527.8776894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A4-48C3-99AE-99F8DA1DD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370759"/>
        <c:axId val="566337572"/>
      </c:lineChart>
      <c:catAx>
        <c:axId val="20513707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566337572"/>
        <c:crosses val="autoZero"/>
        <c:auto val="1"/>
        <c:lblAlgn val="ctr"/>
        <c:lblOffset val="100"/>
        <c:noMultiLvlLbl val="1"/>
      </c:catAx>
      <c:valAx>
        <c:axId val="5663375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2051370759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s-A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Calibri"/>
              </a:defRPr>
            </a:pPr>
            <a:r>
              <a:rPr lang="en-US" sz="1400" b="0" i="0">
                <a:solidFill>
                  <a:srgbClr val="757575"/>
                </a:solidFill>
                <a:latin typeface="Calibri"/>
              </a:rPr>
              <a:t>Punto de equilibrio Año 5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Ventas</c:v>
          </c:tx>
          <c:spPr>
            <a:ln w="28575" cmpd="sng">
              <a:solidFill>
                <a:srgbClr val="92D05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'E-Costos'!$D$191:$D$211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99225000</c:v>
                </c:pt>
                <c:pt idx="2">
                  <c:v>198450000</c:v>
                </c:pt>
                <c:pt idx="3">
                  <c:v>297675000</c:v>
                </c:pt>
                <c:pt idx="4">
                  <c:v>396900000</c:v>
                </c:pt>
                <c:pt idx="5">
                  <c:v>496125000</c:v>
                </c:pt>
                <c:pt idx="6">
                  <c:v>595350000</c:v>
                </c:pt>
                <c:pt idx="7">
                  <c:v>694575000</c:v>
                </c:pt>
                <c:pt idx="8">
                  <c:v>793800000</c:v>
                </c:pt>
                <c:pt idx="9">
                  <c:v>893025000</c:v>
                </c:pt>
                <c:pt idx="10">
                  <c:v>992250000</c:v>
                </c:pt>
                <c:pt idx="11">
                  <c:v>1091475000</c:v>
                </c:pt>
                <c:pt idx="12">
                  <c:v>1190700000</c:v>
                </c:pt>
                <c:pt idx="13">
                  <c:v>1289925000</c:v>
                </c:pt>
                <c:pt idx="14">
                  <c:v>1389150000</c:v>
                </c:pt>
                <c:pt idx="15">
                  <c:v>1488375000</c:v>
                </c:pt>
                <c:pt idx="16">
                  <c:v>1587600000</c:v>
                </c:pt>
                <c:pt idx="17">
                  <c:v>1686825000</c:v>
                </c:pt>
                <c:pt idx="18">
                  <c:v>1786050000</c:v>
                </c:pt>
                <c:pt idx="19">
                  <c:v>1885275000</c:v>
                </c:pt>
                <c:pt idx="20">
                  <c:v>1984500000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E0-414D-8362-89CB30A183A0}"/>
            </c:ext>
          </c:extLst>
        </c:ser>
        <c:ser>
          <c:idx val="1"/>
          <c:order val="1"/>
          <c:tx>
            <c:v>Fijos</c:v>
          </c:tx>
          <c:spPr>
            <a:ln w="28575" cmpd="sng">
              <a:solidFill>
                <a:srgbClr val="7030A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'E-Costos'!$E$190:$E$211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145047288.08633608</c:v>
                </c:pt>
                <c:pt idx="2">
                  <c:v>145047288.08633608</c:v>
                </c:pt>
                <c:pt idx="3">
                  <c:v>145047288.08633608</c:v>
                </c:pt>
                <c:pt idx="4">
                  <c:v>145047288.08633608</c:v>
                </c:pt>
                <c:pt idx="5">
                  <c:v>145047288.08633608</c:v>
                </c:pt>
                <c:pt idx="6">
                  <c:v>145047288.08633608</c:v>
                </c:pt>
                <c:pt idx="7">
                  <c:v>145047288.08633608</c:v>
                </c:pt>
                <c:pt idx="8">
                  <c:v>145047288.08633608</c:v>
                </c:pt>
                <c:pt idx="9">
                  <c:v>145047288.08633608</c:v>
                </c:pt>
                <c:pt idx="10">
                  <c:v>145047288.08633608</c:v>
                </c:pt>
                <c:pt idx="11">
                  <c:v>145047288.08633608</c:v>
                </c:pt>
                <c:pt idx="12">
                  <c:v>145047288.08633608</c:v>
                </c:pt>
                <c:pt idx="13">
                  <c:v>145047288.08633608</c:v>
                </c:pt>
                <c:pt idx="14">
                  <c:v>145047288.08633608</c:v>
                </c:pt>
                <c:pt idx="15">
                  <c:v>145047288.08633608</c:v>
                </c:pt>
                <c:pt idx="16">
                  <c:v>145047288.08633608</c:v>
                </c:pt>
                <c:pt idx="17">
                  <c:v>145047288.08633608</c:v>
                </c:pt>
                <c:pt idx="18">
                  <c:v>145047288.08633608</c:v>
                </c:pt>
                <c:pt idx="19">
                  <c:v>145047288.08633608</c:v>
                </c:pt>
                <c:pt idx="20">
                  <c:v>145047288.08633608</c:v>
                </c:pt>
                <c:pt idx="21">
                  <c:v>145047288.08633608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E0-414D-8362-89CB30A183A0}"/>
            </c:ext>
          </c:extLst>
        </c:ser>
        <c:ser>
          <c:idx val="2"/>
          <c:order val="2"/>
          <c:tx>
            <c:v>Variables</c:v>
          </c:tx>
          <c:spPr>
            <a:ln w="28575" cmpd="sng">
              <a:solidFill>
                <a:srgbClr val="00B0F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'E-Costos'!$F$190:$F$211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0</c:v>
                </c:pt>
                <c:pt idx="2">
                  <c:v>183613309.27315032</c:v>
                </c:pt>
                <c:pt idx="3">
                  <c:v>367226618.54630065</c:v>
                </c:pt>
                <c:pt idx="4">
                  <c:v>550839927.81945086</c:v>
                </c:pt>
                <c:pt idx="5">
                  <c:v>734453237.0926013</c:v>
                </c:pt>
                <c:pt idx="6">
                  <c:v>918066546.3657515</c:v>
                </c:pt>
                <c:pt idx="7">
                  <c:v>1101679855.6389017</c:v>
                </c:pt>
                <c:pt idx="8">
                  <c:v>1285293164.9120519</c:v>
                </c:pt>
                <c:pt idx="9">
                  <c:v>1468906474.1852026</c:v>
                </c:pt>
                <c:pt idx="10">
                  <c:v>1652519783.4583528</c:v>
                </c:pt>
                <c:pt idx="11">
                  <c:v>1836133092.731503</c:v>
                </c:pt>
                <c:pt idx="12">
                  <c:v>2019746402.0046535</c:v>
                </c:pt>
                <c:pt idx="13">
                  <c:v>2203359711.2778034</c:v>
                </c:pt>
                <c:pt idx="14">
                  <c:v>2386973020.5509539</c:v>
                </c:pt>
                <c:pt idx="15">
                  <c:v>2570586329.8241038</c:v>
                </c:pt>
                <c:pt idx="16">
                  <c:v>2754199639.0972548</c:v>
                </c:pt>
                <c:pt idx="17">
                  <c:v>2937812948.3704052</c:v>
                </c:pt>
                <c:pt idx="18">
                  <c:v>3121426257.6435552</c:v>
                </c:pt>
                <c:pt idx="19">
                  <c:v>3305039566.9167056</c:v>
                </c:pt>
                <c:pt idx="20">
                  <c:v>3488652876.1898556</c:v>
                </c:pt>
                <c:pt idx="21">
                  <c:v>3672266185.463006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E0-414D-8362-89CB30A183A0}"/>
            </c:ext>
          </c:extLst>
        </c:ser>
        <c:ser>
          <c:idx val="3"/>
          <c:order val="3"/>
          <c:tx>
            <c:v>Totales</c:v>
          </c:tx>
          <c:spPr>
            <a:ln w="28575" cmpd="sng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'E-Costos'!$G$190:$G$211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145047288.08633608</c:v>
                </c:pt>
                <c:pt idx="2">
                  <c:v>328660597.3594864</c:v>
                </c:pt>
                <c:pt idx="3">
                  <c:v>512273906.63263673</c:v>
                </c:pt>
                <c:pt idx="4">
                  <c:v>695887215.90578699</c:v>
                </c:pt>
                <c:pt idx="5">
                  <c:v>879500525.17893744</c:v>
                </c:pt>
                <c:pt idx="6">
                  <c:v>1063113834.4520876</c:v>
                </c:pt>
                <c:pt idx="7">
                  <c:v>1246727143.7252378</c:v>
                </c:pt>
                <c:pt idx="8">
                  <c:v>1430340452.9983881</c:v>
                </c:pt>
                <c:pt idx="9">
                  <c:v>1613953762.2715387</c:v>
                </c:pt>
                <c:pt idx="10">
                  <c:v>1797567071.5446889</c:v>
                </c:pt>
                <c:pt idx="11">
                  <c:v>1981180380.8178391</c:v>
                </c:pt>
                <c:pt idx="12">
                  <c:v>2164793690.0909896</c:v>
                </c:pt>
                <c:pt idx="13">
                  <c:v>2348406999.3641396</c:v>
                </c:pt>
                <c:pt idx="14">
                  <c:v>2532020308.63729</c:v>
                </c:pt>
                <c:pt idx="15">
                  <c:v>2715633617.91044</c:v>
                </c:pt>
                <c:pt idx="16">
                  <c:v>2899246927.1835909</c:v>
                </c:pt>
                <c:pt idx="17">
                  <c:v>3082860236.4567413</c:v>
                </c:pt>
                <c:pt idx="18">
                  <c:v>3266473545.7298913</c:v>
                </c:pt>
                <c:pt idx="19">
                  <c:v>3450086855.0030417</c:v>
                </c:pt>
                <c:pt idx="20">
                  <c:v>3633700164.2761917</c:v>
                </c:pt>
                <c:pt idx="21">
                  <c:v>3817313473.5493422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E0-414D-8362-89CB30A18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3723238"/>
        <c:axId val="1592092454"/>
      </c:lineChart>
      <c:catAx>
        <c:axId val="11537232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1592092454"/>
        <c:crosses val="autoZero"/>
        <c:auto val="1"/>
        <c:lblAlgn val="ctr"/>
        <c:lblOffset val="100"/>
        <c:noMultiLvlLbl val="1"/>
      </c:catAx>
      <c:valAx>
        <c:axId val="15920924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s-AR"/>
          </a:p>
        </c:txPr>
        <c:crossAx val="115372323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s-A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del año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'F-2 Estructura'!$B$51</c:f>
              <c:strCache>
                <c:ptCount val="1"/>
                <c:pt idx="0">
                  <c:v>% plan de ventas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Estructura'!$B$52:$B$72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C-4CB0-83B2-FC206C6F87A8}"/>
            </c:ext>
          </c:extLst>
        </c:ser>
        <c:ser>
          <c:idx val="1"/>
          <c:order val="1"/>
          <c:tx>
            <c:strRef>
              <c:f>'F-2 Estructura'!$C$51</c:f>
              <c:strCache>
                <c:ptCount val="1"/>
                <c:pt idx="0">
                  <c:v>% $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Estructura'!$C$52:$C$72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70875000</c:v>
                </c:pt>
                <c:pt idx="2">
                  <c:v>141750000</c:v>
                </c:pt>
                <c:pt idx="3">
                  <c:v>212625000</c:v>
                </c:pt>
                <c:pt idx="4">
                  <c:v>283500000</c:v>
                </c:pt>
                <c:pt idx="5">
                  <c:v>354375000</c:v>
                </c:pt>
                <c:pt idx="6">
                  <c:v>425250000</c:v>
                </c:pt>
                <c:pt idx="7">
                  <c:v>496124999.99999994</c:v>
                </c:pt>
                <c:pt idx="8">
                  <c:v>567000000</c:v>
                </c:pt>
                <c:pt idx="9">
                  <c:v>637875000</c:v>
                </c:pt>
                <c:pt idx="10">
                  <c:v>708750000</c:v>
                </c:pt>
                <c:pt idx="11">
                  <c:v>779625000.00000012</c:v>
                </c:pt>
                <c:pt idx="12">
                  <c:v>850500000</c:v>
                </c:pt>
                <c:pt idx="13">
                  <c:v>921375000</c:v>
                </c:pt>
                <c:pt idx="14">
                  <c:v>992249999.99999988</c:v>
                </c:pt>
                <c:pt idx="15">
                  <c:v>1063125000</c:v>
                </c:pt>
                <c:pt idx="16">
                  <c:v>1134000000</c:v>
                </c:pt>
                <c:pt idx="17">
                  <c:v>1204875000</c:v>
                </c:pt>
                <c:pt idx="18">
                  <c:v>1275750000</c:v>
                </c:pt>
                <c:pt idx="19">
                  <c:v>1346625000</c:v>
                </c:pt>
                <c:pt idx="20">
                  <c:v>1417500000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8C-4CB0-83B2-FC206C6F87A8}"/>
            </c:ext>
          </c:extLst>
        </c:ser>
        <c:ser>
          <c:idx val="2"/>
          <c:order val="2"/>
          <c:tx>
            <c:strRef>
              <c:f>'F-2 Estructura'!$D$51</c:f>
              <c:strCache>
                <c:ptCount val="1"/>
                <c:pt idx="0">
                  <c:v>Fijos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Estructura'!$D$52:$D$72</c:f>
              <c:numCache>
                <c:formatCode>_(\$* #,##0.00_);_(\$* \(#,##0.00\);_(\$* \-??_);_(@_)</c:formatCode>
                <c:ptCount val="21"/>
                <c:pt idx="0">
                  <c:v>162570606.30828145</c:v>
                </c:pt>
                <c:pt idx="1">
                  <c:v>162570606.30828145</c:v>
                </c:pt>
                <c:pt idx="2">
                  <c:v>162570606.30828145</c:v>
                </c:pt>
                <c:pt idx="3">
                  <c:v>162570606.30828145</c:v>
                </c:pt>
                <c:pt idx="4">
                  <c:v>162570606.30828145</c:v>
                </c:pt>
                <c:pt idx="5">
                  <c:v>162570606.30828145</c:v>
                </c:pt>
                <c:pt idx="6">
                  <c:v>162570606.30828145</c:v>
                </c:pt>
                <c:pt idx="7">
                  <c:v>162570606.30828145</c:v>
                </c:pt>
                <c:pt idx="8">
                  <c:v>162570606.30828145</c:v>
                </c:pt>
                <c:pt idx="9">
                  <c:v>162570606.30828145</c:v>
                </c:pt>
                <c:pt idx="10">
                  <c:v>162570606.30828145</c:v>
                </c:pt>
                <c:pt idx="11">
                  <c:v>162570606.30828145</c:v>
                </c:pt>
                <c:pt idx="12">
                  <c:v>162570606.30828145</c:v>
                </c:pt>
                <c:pt idx="13">
                  <c:v>162570606.30828145</c:v>
                </c:pt>
                <c:pt idx="14">
                  <c:v>162570606.30828145</c:v>
                </c:pt>
                <c:pt idx="15">
                  <c:v>162570606.30828145</c:v>
                </c:pt>
                <c:pt idx="16">
                  <c:v>162570606.30828145</c:v>
                </c:pt>
                <c:pt idx="17">
                  <c:v>162570606.30828145</c:v>
                </c:pt>
                <c:pt idx="18">
                  <c:v>162570606.30828145</c:v>
                </c:pt>
                <c:pt idx="19">
                  <c:v>162570606.30828145</c:v>
                </c:pt>
                <c:pt idx="20">
                  <c:v>162570606.30828145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8C-4CB0-83B2-FC206C6F87A8}"/>
            </c:ext>
          </c:extLst>
        </c:ser>
        <c:ser>
          <c:idx val="3"/>
          <c:order val="3"/>
          <c:tx>
            <c:strRef>
              <c:f>'F-2 Estructura'!$E$51</c:f>
              <c:strCache>
                <c:ptCount val="1"/>
                <c:pt idx="0">
                  <c:v>Variables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Estructura'!$E$52:$E$72</c:f>
              <c:numCache>
                <c:formatCode>_(\$* #,##0.00_);_(\$* \(#,##0.00\);_(\$* \-??_);_(@_)</c:formatCode>
                <c:ptCount val="21"/>
                <c:pt idx="0">
                  <c:v>0</c:v>
                </c:pt>
                <c:pt idx="1">
                  <c:v>68495949.847505167</c:v>
                </c:pt>
                <c:pt idx="2">
                  <c:v>136991899.69501033</c:v>
                </c:pt>
                <c:pt idx="3">
                  <c:v>205487849.54251549</c:v>
                </c:pt>
                <c:pt idx="4">
                  <c:v>273983799.39002067</c:v>
                </c:pt>
                <c:pt idx="5">
                  <c:v>342479749.23752582</c:v>
                </c:pt>
                <c:pt idx="6">
                  <c:v>410975699.08503097</c:v>
                </c:pt>
                <c:pt idx="7">
                  <c:v>479471648.93253613</c:v>
                </c:pt>
                <c:pt idx="8">
                  <c:v>547967598.78004134</c:v>
                </c:pt>
                <c:pt idx="9">
                  <c:v>616463548.62754655</c:v>
                </c:pt>
                <c:pt idx="10">
                  <c:v>684959498.47505164</c:v>
                </c:pt>
                <c:pt idx="11">
                  <c:v>753455448.32255685</c:v>
                </c:pt>
                <c:pt idx="12">
                  <c:v>821951398.17006195</c:v>
                </c:pt>
                <c:pt idx="13">
                  <c:v>890447348.01756716</c:v>
                </c:pt>
                <c:pt idx="14">
                  <c:v>958943297.86507225</c:v>
                </c:pt>
                <c:pt idx="15">
                  <c:v>1027439247.7125775</c:v>
                </c:pt>
                <c:pt idx="16">
                  <c:v>1095935197.5600827</c:v>
                </c:pt>
                <c:pt idx="17">
                  <c:v>1164431147.4075878</c:v>
                </c:pt>
                <c:pt idx="18">
                  <c:v>1232927097.2550931</c:v>
                </c:pt>
                <c:pt idx="19">
                  <c:v>1301423047.102598</c:v>
                </c:pt>
                <c:pt idx="20">
                  <c:v>1369918996.9501033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58C-4CB0-83B2-FC206C6F87A8}"/>
            </c:ext>
          </c:extLst>
        </c:ser>
        <c:ser>
          <c:idx val="4"/>
          <c:order val="4"/>
          <c:tx>
            <c:strRef>
              <c:f>'F-2 Estructura'!$F$51</c:f>
              <c:strCache>
                <c:ptCount val="1"/>
                <c:pt idx="0">
                  <c:v>Totales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Estructura'!$F$52:$F$72</c:f>
              <c:numCache>
                <c:formatCode>_(\$* #,##0.00_);_(\$* \(#,##0.00\);_(\$* \-??_);_(@_)</c:formatCode>
                <c:ptCount val="21"/>
                <c:pt idx="0">
                  <c:v>162570606.30828145</c:v>
                </c:pt>
                <c:pt idx="1">
                  <c:v>231066556.15578663</c:v>
                </c:pt>
                <c:pt idx="2">
                  <c:v>299562506.00329179</c:v>
                </c:pt>
                <c:pt idx="3">
                  <c:v>368058455.85079694</c:v>
                </c:pt>
                <c:pt idx="4">
                  <c:v>436554405.69830215</c:v>
                </c:pt>
                <c:pt idx="5">
                  <c:v>505050355.54580724</c:v>
                </c:pt>
                <c:pt idx="6">
                  <c:v>573546305.39331245</c:v>
                </c:pt>
                <c:pt idx="7">
                  <c:v>642042255.24081755</c:v>
                </c:pt>
                <c:pt idx="8">
                  <c:v>710538205.08832276</c:v>
                </c:pt>
                <c:pt idx="9">
                  <c:v>779034154.93582797</c:v>
                </c:pt>
                <c:pt idx="10">
                  <c:v>847530104.78333306</c:v>
                </c:pt>
                <c:pt idx="11">
                  <c:v>916026054.63083827</c:v>
                </c:pt>
                <c:pt idx="12">
                  <c:v>984522004.47834337</c:v>
                </c:pt>
                <c:pt idx="13">
                  <c:v>1053017954.3258486</c:v>
                </c:pt>
                <c:pt idx="14">
                  <c:v>1121513904.1733537</c:v>
                </c:pt>
                <c:pt idx="15">
                  <c:v>1190009854.020859</c:v>
                </c:pt>
                <c:pt idx="16">
                  <c:v>1258505803.8683641</c:v>
                </c:pt>
                <c:pt idx="17">
                  <c:v>1327001753.7158692</c:v>
                </c:pt>
                <c:pt idx="18">
                  <c:v>1395497703.5633745</c:v>
                </c:pt>
                <c:pt idx="19">
                  <c:v>1463993653.4108794</c:v>
                </c:pt>
                <c:pt idx="20">
                  <c:v>1532489603.2583847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58C-4CB0-83B2-FC206C6F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5041607"/>
        <c:axId val="2085145367"/>
      </c:lineChart>
      <c:catAx>
        <c:axId val="9450416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085145367"/>
        <c:crosses val="autoZero"/>
        <c:auto val="1"/>
        <c:lblAlgn val="ctr"/>
        <c:lblOffset val="100"/>
        <c:noMultiLvlLbl val="0"/>
      </c:catAx>
      <c:valAx>
        <c:axId val="2085145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45041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año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'F-2 Estructura'!$B$77</c:f>
              <c:strCache>
                <c:ptCount val="1"/>
                <c:pt idx="0">
                  <c:v>% plan de ventas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Estructura'!$B$78:$B$98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C6-4C4C-B760-0621CD5544EA}"/>
            </c:ext>
          </c:extLst>
        </c:ser>
        <c:ser>
          <c:idx val="1"/>
          <c:order val="1"/>
          <c:tx>
            <c:strRef>
              <c:f>'F-2 Estructura'!$C$77</c:f>
              <c:strCache>
                <c:ptCount val="1"/>
                <c:pt idx="0">
                  <c:v>% $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Estructura'!$C$78:$C$98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70875000</c:v>
                </c:pt>
                <c:pt idx="2">
                  <c:v>141750000</c:v>
                </c:pt>
                <c:pt idx="3">
                  <c:v>212625000</c:v>
                </c:pt>
                <c:pt idx="4">
                  <c:v>283500000</c:v>
                </c:pt>
                <c:pt idx="5">
                  <c:v>354375000</c:v>
                </c:pt>
                <c:pt idx="6">
                  <c:v>425250000</c:v>
                </c:pt>
                <c:pt idx="7">
                  <c:v>496124999.99999994</c:v>
                </c:pt>
                <c:pt idx="8">
                  <c:v>567000000</c:v>
                </c:pt>
                <c:pt idx="9">
                  <c:v>637875000</c:v>
                </c:pt>
                <c:pt idx="10">
                  <c:v>708750000</c:v>
                </c:pt>
                <c:pt idx="11">
                  <c:v>779625000.00000012</c:v>
                </c:pt>
                <c:pt idx="12">
                  <c:v>850500000</c:v>
                </c:pt>
                <c:pt idx="13">
                  <c:v>921375000</c:v>
                </c:pt>
                <c:pt idx="14">
                  <c:v>992249999.99999988</c:v>
                </c:pt>
                <c:pt idx="15">
                  <c:v>1063125000</c:v>
                </c:pt>
                <c:pt idx="16">
                  <c:v>1134000000</c:v>
                </c:pt>
                <c:pt idx="17">
                  <c:v>1204875000</c:v>
                </c:pt>
                <c:pt idx="18">
                  <c:v>1275750000</c:v>
                </c:pt>
                <c:pt idx="19">
                  <c:v>1346625000</c:v>
                </c:pt>
                <c:pt idx="20">
                  <c:v>1417500000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C6-4C4C-B760-0621CD5544EA}"/>
            </c:ext>
          </c:extLst>
        </c:ser>
        <c:ser>
          <c:idx val="2"/>
          <c:order val="2"/>
          <c:tx>
            <c:strRef>
              <c:f>'F-2 Estructura'!$D$77</c:f>
              <c:strCache>
                <c:ptCount val="1"/>
                <c:pt idx="0">
                  <c:v>Fijos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Estructura'!$D$78:$D$98</c:f>
              <c:numCache>
                <c:formatCode>_(\$* #,##0.00_);_(\$* \(#,##0.00\);_(\$* \-??_);_(@_)</c:formatCode>
                <c:ptCount val="21"/>
                <c:pt idx="0">
                  <c:v>255896566.16633606</c:v>
                </c:pt>
                <c:pt idx="1">
                  <c:v>255896566.16633606</c:v>
                </c:pt>
                <c:pt idx="2">
                  <c:v>255896566.16633606</c:v>
                </c:pt>
                <c:pt idx="3">
                  <c:v>255896566.16633606</c:v>
                </c:pt>
                <c:pt idx="4">
                  <c:v>255896566.16633606</c:v>
                </c:pt>
                <c:pt idx="5">
                  <c:v>255896566.16633606</c:v>
                </c:pt>
                <c:pt idx="6">
                  <c:v>255896566.16633606</c:v>
                </c:pt>
                <c:pt idx="7">
                  <c:v>255896566.16633606</c:v>
                </c:pt>
                <c:pt idx="8">
                  <c:v>255896566.16633606</c:v>
                </c:pt>
                <c:pt idx="9">
                  <c:v>255896566.16633606</c:v>
                </c:pt>
                <c:pt idx="10">
                  <c:v>255896566.16633606</c:v>
                </c:pt>
                <c:pt idx="11">
                  <c:v>255896566.16633606</c:v>
                </c:pt>
                <c:pt idx="12">
                  <c:v>255896566.16633606</c:v>
                </c:pt>
                <c:pt idx="13">
                  <c:v>255896566.16633606</c:v>
                </c:pt>
                <c:pt idx="14">
                  <c:v>255896566.16633606</c:v>
                </c:pt>
                <c:pt idx="15">
                  <c:v>255896566.16633606</c:v>
                </c:pt>
                <c:pt idx="16">
                  <c:v>255896566.16633606</c:v>
                </c:pt>
                <c:pt idx="17">
                  <c:v>255896566.16633606</c:v>
                </c:pt>
                <c:pt idx="18">
                  <c:v>255896566.16633606</c:v>
                </c:pt>
                <c:pt idx="19">
                  <c:v>255896566.16633606</c:v>
                </c:pt>
                <c:pt idx="20">
                  <c:v>255896566.16633606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C6-4C4C-B760-0621CD5544EA}"/>
            </c:ext>
          </c:extLst>
        </c:ser>
        <c:ser>
          <c:idx val="3"/>
          <c:order val="3"/>
          <c:tx>
            <c:strRef>
              <c:f>'F-2 Estructura'!$E$77</c:f>
              <c:strCache>
                <c:ptCount val="1"/>
                <c:pt idx="0">
                  <c:v>Variables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Estructura'!$E$78:$E$98</c:f>
              <c:numCache>
                <c:formatCode>_(\$* #,##0.00_);_(\$* \(#,##0.00\);_(\$* \-??_);_(@_)</c:formatCode>
                <c:ptCount val="21"/>
                <c:pt idx="0">
                  <c:v>0</c:v>
                </c:pt>
                <c:pt idx="1">
                  <c:v>64515480.223317683</c:v>
                </c:pt>
                <c:pt idx="2">
                  <c:v>129030960.44663537</c:v>
                </c:pt>
                <c:pt idx="3">
                  <c:v>193546440.66995305</c:v>
                </c:pt>
                <c:pt idx="4">
                  <c:v>258061920.89327073</c:v>
                </c:pt>
                <c:pt idx="5">
                  <c:v>322577401.11658841</c:v>
                </c:pt>
                <c:pt idx="6">
                  <c:v>387092881.3399061</c:v>
                </c:pt>
                <c:pt idx="7">
                  <c:v>451608361.56322378</c:v>
                </c:pt>
                <c:pt idx="8">
                  <c:v>516123841.78654146</c:v>
                </c:pt>
                <c:pt idx="9">
                  <c:v>580639322.0098592</c:v>
                </c:pt>
                <c:pt idx="10">
                  <c:v>645154802.23317683</c:v>
                </c:pt>
                <c:pt idx="11">
                  <c:v>709670282.45649457</c:v>
                </c:pt>
                <c:pt idx="12">
                  <c:v>774185762.67981219</c:v>
                </c:pt>
                <c:pt idx="13">
                  <c:v>838701242.90312994</c:v>
                </c:pt>
                <c:pt idx="14">
                  <c:v>903216723.12644756</c:v>
                </c:pt>
                <c:pt idx="15">
                  <c:v>967732203.3497653</c:v>
                </c:pt>
                <c:pt idx="16">
                  <c:v>1032247683.5730829</c:v>
                </c:pt>
                <c:pt idx="17">
                  <c:v>1096763163.7964005</c:v>
                </c:pt>
                <c:pt idx="18">
                  <c:v>1161278644.0197184</c:v>
                </c:pt>
                <c:pt idx="19">
                  <c:v>1225794124.243036</c:v>
                </c:pt>
                <c:pt idx="20">
                  <c:v>1290309604.4663537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0C6-4C4C-B760-0621CD5544EA}"/>
            </c:ext>
          </c:extLst>
        </c:ser>
        <c:ser>
          <c:idx val="4"/>
          <c:order val="4"/>
          <c:tx>
            <c:strRef>
              <c:f>'F-2 Estructura'!$F$77</c:f>
              <c:strCache>
                <c:ptCount val="1"/>
                <c:pt idx="0">
                  <c:v>Totales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Estructura'!$F$78:$F$98</c:f>
              <c:numCache>
                <c:formatCode>_(\$* #,##0.00_);_(\$* \(#,##0.00\);_(\$* \-??_);_(@_)</c:formatCode>
                <c:ptCount val="21"/>
                <c:pt idx="0">
                  <c:v>255896566.16633606</c:v>
                </c:pt>
                <c:pt idx="1">
                  <c:v>320412046.38965374</c:v>
                </c:pt>
                <c:pt idx="2">
                  <c:v>384927526.61297143</c:v>
                </c:pt>
                <c:pt idx="3">
                  <c:v>449443006.83628911</c:v>
                </c:pt>
                <c:pt idx="4">
                  <c:v>513958487.05960679</c:v>
                </c:pt>
                <c:pt idx="5">
                  <c:v>578473967.28292441</c:v>
                </c:pt>
                <c:pt idx="6">
                  <c:v>642989447.50624216</c:v>
                </c:pt>
                <c:pt idx="7">
                  <c:v>707504927.7295599</c:v>
                </c:pt>
                <c:pt idx="8">
                  <c:v>772020407.95287752</c:v>
                </c:pt>
                <c:pt idx="9">
                  <c:v>836535888.17619526</c:v>
                </c:pt>
                <c:pt idx="10">
                  <c:v>901051368.39951289</c:v>
                </c:pt>
                <c:pt idx="11">
                  <c:v>965566848.62283063</c:v>
                </c:pt>
                <c:pt idx="12">
                  <c:v>1030082328.8461483</c:v>
                </c:pt>
                <c:pt idx="13">
                  <c:v>1094597809.0694661</c:v>
                </c:pt>
                <c:pt idx="14">
                  <c:v>1159113289.2927837</c:v>
                </c:pt>
                <c:pt idx="15">
                  <c:v>1223628769.5161014</c:v>
                </c:pt>
                <c:pt idx="16">
                  <c:v>1288144249.739419</c:v>
                </c:pt>
                <c:pt idx="17">
                  <c:v>1352659729.9627366</c:v>
                </c:pt>
                <c:pt idx="18">
                  <c:v>1417175210.1860545</c:v>
                </c:pt>
                <c:pt idx="19">
                  <c:v>1481690690.4093721</c:v>
                </c:pt>
                <c:pt idx="20">
                  <c:v>1546206170.6326897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0C6-4C4C-B760-0621CD554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0203255"/>
        <c:axId val="1335391096"/>
      </c:lineChart>
      <c:catAx>
        <c:axId val="11902032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35391096"/>
        <c:crosses val="autoZero"/>
        <c:auto val="1"/>
        <c:lblAlgn val="ctr"/>
        <c:lblOffset val="100"/>
        <c:noMultiLvlLbl val="0"/>
      </c:catAx>
      <c:valAx>
        <c:axId val="1335391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190203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13</xdr:row>
      <xdr:rowOff>9525</xdr:rowOff>
    </xdr:from>
    <xdr:to>
      <xdr:col>12</xdr:col>
      <xdr:colOff>666750</xdr:colOff>
      <xdr:row>29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2E6B47-8996-F618-B380-EBB7E9D0BF9C}"/>
            </a:ext>
            <a:ext uri="{147F2762-F138-4A5C-976F-8EAC2B608ADB}">
              <a16:predDERef xmlns:a16="http://schemas.microsoft.com/office/drawing/2014/main" pre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1700" y="2219325"/>
          <a:ext cx="2562225" cy="26003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36</xdr:row>
      <xdr:rowOff>28575</xdr:rowOff>
    </xdr:from>
    <xdr:to>
      <xdr:col>16</xdr:col>
      <xdr:colOff>857250</xdr:colOff>
      <xdr:row>51</xdr:row>
      <xdr:rowOff>66675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2F57117-B245-1194-013F-B19C481A6DE0}"/>
            </a:ext>
            <a:ext uri="{147F2762-F138-4A5C-976F-8EAC2B608ADB}">
              <a16:predDERef xmlns:a16="http://schemas.microsoft.com/office/drawing/2014/main" pred="{092E6B47-8996-F618-B380-EBB7E9D0B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6300" y="5981700"/>
          <a:ext cx="8420100" cy="2466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164</xdr:row>
      <xdr:rowOff>19050</xdr:rowOff>
    </xdr:from>
    <xdr:ext cx="6057900" cy="2828925"/>
    <xdr:graphicFrame macro="">
      <xdr:nvGraphicFramePr>
        <xdr:cNvPr id="505568322" name="Chart 1">
          <a:extLst>
            <a:ext uri="{FF2B5EF4-FFF2-40B4-BE49-F238E27FC236}">
              <a16:creationId xmlns:a16="http://schemas.microsoft.com/office/drawing/2014/main" id="{00000000-0008-0000-0700-0000425C2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200025</xdr:colOff>
      <xdr:row>189</xdr:row>
      <xdr:rowOff>19050</xdr:rowOff>
    </xdr:from>
    <xdr:ext cx="5981700" cy="2743200"/>
    <xdr:graphicFrame macro="">
      <xdr:nvGraphicFramePr>
        <xdr:cNvPr id="1181109896" name="Chart 2">
          <a:extLst>
            <a:ext uri="{FF2B5EF4-FFF2-40B4-BE49-F238E27FC236}">
              <a16:creationId xmlns:a16="http://schemas.microsoft.com/office/drawing/2014/main" id="{00000000-0008-0000-0700-0000884E6646}"/>
            </a:ext>
            <a:ext uri="{147F2762-F138-4A5C-976F-8EAC2B608ADB}">
              <a16:predDERef xmlns:a16="http://schemas.microsoft.com/office/drawing/2014/main" pred="{00000000-0008-0000-0700-0000425C2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19</xdr:row>
      <xdr:rowOff>76200</xdr:rowOff>
    </xdr:from>
    <xdr:to>
      <xdr:col>20</xdr:col>
      <xdr:colOff>381000</xdr:colOff>
      <xdr:row>38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9EED8A-12A4-DCBC-9989-6927DAD6C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30250" y="3228975"/>
          <a:ext cx="7962900" cy="314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49</xdr:row>
      <xdr:rowOff>114300</xdr:rowOff>
    </xdr:from>
    <xdr:to>
      <xdr:col>14</xdr:col>
      <xdr:colOff>542925</xdr:colOff>
      <xdr:row>72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B9D6A6-17E2-F64D-9712-2575C5C91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514350</xdr:colOff>
      <xdr:row>76</xdr:row>
      <xdr:rowOff>19050</xdr:rowOff>
    </xdr:from>
    <xdr:to>
      <xdr:col>15</xdr:col>
      <xdr:colOff>285750</xdr:colOff>
      <xdr:row>98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94907D2-EE5E-A13C-2FFE-CE3F51B55E15}"/>
            </a:ext>
            <a:ext uri="{147F2762-F138-4A5C-976F-8EAC2B608ADB}">
              <a16:predDERef xmlns:a16="http://schemas.microsoft.com/office/drawing/2014/main" pred="{E2B9D6A6-17E2-F64D-9712-2575C5C91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el Armado Irvin  VALENCIA BOCANEGRA" id="{BCF3E629-33DE-4287-A888-E6A706D05612}" userId="S::jvalencia-tmp@alumnos.frh.utn.edu.ar::712a9360-8e76-41d3-a39b-78cd3234eb36" providerId="AD"/>
  <person displayName="Usuario invitado" id="{6E775197-4FA1-4A7A-A27E-5E1B28A0D4F4}" userId="S::urn:spo:anon#52e480d0a2818f7a4af30c197b5cfd4d489464ebe130d4bcae0517433deb49ec::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" dT="2022-09-23T01:33:30.89" personId="{6E775197-4FA1-4A7A-A27E-5E1B28A0D4F4}" id="{C6A36AB6-6A97-4294-AB33-D56732A9E410}">
    <text>Sale del técnico (ej 6 a 11)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72" dT="2022-09-23T02:24:31.60" personId="{6E775197-4FA1-4A7A-A27E-5E1B28A0D4F4}" id="{F3C2F626-B91D-4F46-B9B2-2311D736F6CB}">
    <text>porcentajes salen de práctica dada por catedra</text>
  </threadedComment>
  <threadedComment ref="D82" dT="2022-09-20T20:50:15.91" personId="{BCF3E629-33DE-4287-A888-E6A706D05612}" id="{42141B42-B524-413F-9B65-A83336A63F0D}">
    <text xml:space="preserve">datos optenidos del  ejercicio 19- I4DT1 EJERCICIOS DE APLICADION
</text>
  </threadedComment>
  <threadedComment ref="E87" dT="2022-09-20T20:57:23.85" personId="{BCF3E629-33DE-4287-A888-E6A706D05612}" id="{F7BD38D8-FDBD-4B4D-941D-8F26CAD1CF6B}">
    <text xml:space="preserve">Estos porcentaje es obtenido del ejercicio 14 de amortización 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24" dT="2022-10-28T12:08:15.19" personId="{6E775197-4FA1-4A7A-A27E-5E1B28A0D4F4}" id="{7F9A97BA-A8C5-464C-8897-6213A3A75426}">
    <text>ACTIVO TOTAL=PASIVO+PATRIMONIO NETO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larhoy.com/cotizacion-dolar-banco-nacion" TargetMode="External"/><Relationship Id="rId1" Type="http://schemas.openxmlformats.org/officeDocument/2006/relationships/hyperlink" Target="https://www.bice.com.ar/productos/linea-pymes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rgentina.gob.ar/produccion/financiamiento-pyme" TargetMode="External"/><Relationship Id="rId1" Type="http://schemas.openxmlformats.org/officeDocument/2006/relationships/hyperlink" Target="https://www.bna.com.ar/Empresas/Grandes/CreditoMaquinasFabNacional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ercadolibre.com.ar/microondas-bgh-quick-chef-b120db9-blanco-20l-220v/p/MLA15237032?pdp_filters=category:MLA1577" TargetMode="External"/><Relationship Id="rId18" Type="http://schemas.openxmlformats.org/officeDocument/2006/relationships/hyperlink" Target="https://www.argentina.gob.ar/inpi/marcas/registrar-una-marca" TargetMode="External"/><Relationship Id="rId26" Type="http://schemas.openxmlformats.org/officeDocument/2006/relationships/hyperlink" Target="https://homesolution.net/ar/about/preciosreferencia/electricista" TargetMode="External"/><Relationship Id="rId3" Type="http://schemas.openxmlformats.org/officeDocument/2006/relationships/hyperlink" Target="https://www.mercadolibre.com.ar/cafetera-oster-bvstdc10ss-automatica-negra-220v/p/MLA15589099?pdp_filters=category:MLA4340" TargetMode="External"/><Relationship Id="rId21" Type="http://schemas.openxmlformats.org/officeDocument/2006/relationships/hyperlink" Target="https://www.musimundo.com/informatica/notebook/notebook-hp-14-dq2029la-intel-core-i5/p/00454005?&amp;utm_source=braindw&amp;utm_medium=g%C3%B3ndola-masvendidos-cateogoria&amp;utm_campaign=g%C3%B3ndola-masvendidos-cateogoria" TargetMode="External"/><Relationship Id="rId7" Type="http://schemas.openxmlformats.org/officeDocument/2006/relationships/hyperlink" Target="https://desillas.com/producto-2676-sillon-lancaster.html?gclid=Cj0KCQjwhsmaBhCvARIsAIbEbH4MuD7ASmt43CdgDowSvyp9MPxIAppzlQqUzO61EI8ERo9v6WdSVHwaAltnEALw_wcB" TargetMode="External"/><Relationship Id="rId12" Type="http://schemas.openxmlformats.org/officeDocument/2006/relationships/hyperlink" Target="https://www.mercadolibre.com.ar/telefono-fijo-noblex-nct300-negro/p/MLA7979292" TargetMode="External"/><Relationship Id="rId17" Type="http://schemas.openxmlformats.org/officeDocument/2006/relationships/hyperlink" Target="http://www.portalsocietario.com.ar/constitucionsrl-ciudad.html" TargetMode="External"/><Relationship Id="rId25" Type="http://schemas.openxmlformats.org/officeDocument/2006/relationships/hyperlink" Target="https://www.iprofesional.com/actualidad/367715-mano-de-obra-electrica-precios-y-tabla-de-costo-2022-argentina" TargetMode="External"/><Relationship Id="rId33" Type="http://schemas.openxmlformats.org/officeDocument/2006/relationships/hyperlink" Target="https://articulo.mercadolibre.com.ar/MLA-723278664-mesa-industrial-80x180-patas-de-hierro-tapa-color-madera-_JM?searchVariation=36130025560" TargetMode="External"/><Relationship Id="rId2" Type="http://schemas.openxmlformats.org/officeDocument/2006/relationships/hyperlink" Target="https://www.mercadolibre.com.ar/impresora-multifuncion-canon-imageclass-mf264dw-con-wifi-negra-120v230v/p/MLA15712570?pdp_filters=category:MLA1676" TargetMode="External"/><Relationship Id="rId16" Type="http://schemas.openxmlformats.org/officeDocument/2006/relationships/hyperlink" Target="https://articulo.mercadolibre.com.ar/MLA-603877434-zorra-hidraulica-para-palets-capacidad-de-carga-3000-kg-ancha-680-mm-nueva-reforzada-_JM" TargetMode="External"/><Relationship Id="rId20" Type="http://schemas.openxmlformats.org/officeDocument/2006/relationships/hyperlink" Target="https://terreno.mercadolibre.com.ar/MLA-1201627773-ultimo-lote-de-8600m2-en-parque-industrial-en-197-panamericana-_JM" TargetMode="External"/><Relationship Id="rId29" Type="http://schemas.openxmlformats.org/officeDocument/2006/relationships/hyperlink" Target="https://articulo.mercadolibre.com.ar/MLA-856919586-llave-toma-corriente-doble-exterior-enchufe-aplicar-jeluz-_JM?searchVariation=56415635697" TargetMode="External"/><Relationship Id="rId1" Type="http://schemas.openxmlformats.org/officeDocument/2006/relationships/hyperlink" Target="https://www.nexo-consulting.com/?gclid=Cj0KCQjwtMCKBhDAARIsAG-2Eu8W0pvqS3Og96N-x4PWSN3LM8Xu2I55qD5iFXwVIcci8L6ou3zC83oaAkC4EALw_wcB" TargetMode="External"/><Relationship Id="rId6" Type="http://schemas.openxmlformats.org/officeDocument/2006/relationships/hyperlink" Target="https://listado.mercadolibre.com.ar/escritorio-de-oficina" TargetMode="External"/><Relationship Id="rId11" Type="http://schemas.openxmlformats.org/officeDocument/2006/relationships/hyperlink" Target="https://articulo.mercadolibre.com.ar/MLA-611291859-caja-fuerte-digital-llave-tamano-apto-notebook-43x20x37cm-_JM" TargetMode="External"/><Relationship Id="rId24" Type="http://schemas.openxmlformats.org/officeDocument/2006/relationships/hyperlink" Target="https://homesolution.net/ar/about/preciosreferencia/electricista" TargetMode="External"/><Relationship Id="rId32" Type="http://schemas.openxmlformats.org/officeDocument/2006/relationships/hyperlink" Target="https://articulo.mercadolibre.com.ar/MLA-1124900352-silla-comedor-industrial-metal-reforzada-apilable-tolix-x6-_JM?searchVariation=174240299027" TargetMode="External"/><Relationship Id="rId5" Type="http://schemas.openxmlformats.org/officeDocument/2006/relationships/hyperlink" Target="https://www.mercadolibre.com.ar/smart-tv-tcl-s60a-series-l32s60a-led-hd-32-100v240v/p/MLA16266563" TargetMode="External"/><Relationship Id="rId15" Type="http://schemas.openxmlformats.org/officeDocument/2006/relationships/hyperlink" Target="https://articulo.mercadolibre.com.ar/MLA-762418054-reloj-control-personal-tarjeta-fichero-entradasalida-_JM" TargetMode="External"/><Relationship Id="rId23" Type="http://schemas.openxmlformats.org/officeDocument/2006/relationships/hyperlink" Target="https://servicio.mercadolibre.com.ar/MLA-1167154428-instalacion-de-gas-natural-gasista-matriculado-110000-_JM" TargetMode="External"/><Relationship Id="rId28" Type="http://schemas.openxmlformats.org/officeDocument/2006/relationships/hyperlink" Target="https://articulo.mercadolibre.com.ar/MLA-886428461-distribuidor-de-tension-trifasico-63a-_JM" TargetMode="External"/><Relationship Id="rId10" Type="http://schemas.openxmlformats.org/officeDocument/2006/relationships/hyperlink" Target="https://articulo.mercadolibre.com.ar/MLA-776320001-mueble-auxiliar-bajo-oficina-escritorio-ote-muebles-_JM" TargetMode="External"/><Relationship Id="rId19" Type="http://schemas.openxmlformats.org/officeDocument/2006/relationships/hyperlink" Target="https://www.argentina.gob.ar/sites/default/files/aranceles_vigentesinpi19.pdf" TargetMode="External"/><Relationship Id="rId31" Type="http://schemas.openxmlformats.org/officeDocument/2006/relationships/hyperlink" Target="https://www.musimundo.com/electrohogar/cocinas/cocina-morelli-forza-900-puerta-visor-5-h/p/00188006?gclid=Cj0KCQjwhsmaBhCvARIsAIbEbH4FqQ4eyJ4V7g65MXjyHox_hOaHy31Dny5ZMSYbL07ibCsYwq7VgD8aAmfmEALw_wcB" TargetMode="External"/><Relationship Id="rId4" Type="http://schemas.openxmlformats.org/officeDocument/2006/relationships/hyperlink" Target="https://www.mercadolibre.com.ar/heladera-patrick-hpk135m00b01-blanca-con-freezer-264l-220v/p/MLA17827341?pdp_filters=category:MLA398582" TargetMode="External"/><Relationship Id="rId9" Type="http://schemas.openxmlformats.org/officeDocument/2006/relationships/hyperlink" Target="https://articulo.mercadolibre.com.ar/MLA-1125288930-computadora-pc-cpu-solarmax-intel-core-i5-16gb-480-ssd-wifi-_JM" TargetMode="External"/><Relationship Id="rId14" Type="http://schemas.openxmlformats.org/officeDocument/2006/relationships/hyperlink" Target="https://articulo.mercadolibre.com.ar/MLA-1158566259-pava-electrica-jarra-acero-inoxidable-mate-cafe-2-litros-_JM" TargetMode="External"/><Relationship Id="rId22" Type="http://schemas.openxmlformats.org/officeDocument/2006/relationships/hyperlink" Target="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" TargetMode="External"/><Relationship Id="rId27" Type="http://schemas.openxmlformats.org/officeDocument/2006/relationships/hyperlink" Target="https://articulo.mercadolibre.com.ar/MLA-912073941-transformador-380v-110v-200w-industrial-celenia-_JM" TargetMode="External"/><Relationship Id="rId30" Type="http://schemas.openxmlformats.org/officeDocument/2006/relationships/hyperlink" Target="https://tienda.personal.com.ar/tienda/motorola-moto-g200-remote-morado-128-gb" TargetMode="External"/><Relationship Id="rId8" Type="http://schemas.openxmlformats.org/officeDocument/2006/relationships/hyperlink" Target="https://www.mercadolibre.com.ar/aire-acondicionado-bgh-split-friocalor-3000-frigorias-blanco-220v-bs35wcat/p/MLA18705457?pdp_filters=category:MLA164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deeac.org.ar/wp-content/uploads/2021/06/SALARIOS-MARZO-2022.pdf" TargetMode="External"/><Relationship Id="rId13" Type="http://schemas.openxmlformats.org/officeDocument/2006/relationships/hyperlink" Target="https://www.argentina.gob.ar/transporte/cnrt/transparencia/escalas-salariales" TargetMode="External"/><Relationship Id="rId18" Type="http://schemas.openxmlformats.org/officeDocument/2006/relationships/hyperlink" Target="https://www.iprofesional.com/management/354392-sueldo-empleado-de-comercio-argentina-2022" TargetMode="External"/><Relationship Id="rId3" Type="http://schemas.openxmlformats.org/officeDocument/2006/relationships/hyperlink" Target="https://articulo.mercadolibre.com.ar/MLA-703505145-caja-carton-embalaje-40x30x30-mudanza-doble-reforzada-x50-_JM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uci.org.ar/index.php?seccion=Escala" TargetMode="External"/><Relationship Id="rId12" Type="http://schemas.openxmlformats.org/officeDocument/2006/relationships/hyperlink" Target="https://www.argentina.gob.ar/transporte/cnrt/transparencia/escalas-salariales" TargetMode="External"/><Relationship Id="rId17" Type="http://schemas.openxmlformats.org/officeDocument/2006/relationships/hyperlink" Target="https://www.iprofesional.com/management/354392-sueldo-empleado-de-comercio-argentina-2022" TargetMode="External"/><Relationship Id="rId2" Type="http://schemas.openxmlformats.org/officeDocument/2006/relationships/hyperlink" Target="https://www.abproject.com.ar/es/landing/marketing-para-empresas" TargetMode="External"/><Relationship Id="rId16" Type="http://schemas.openxmlformats.org/officeDocument/2006/relationships/hyperlink" Target="https://www.iprofesional.com/management/354392-sueldo-empleado-de-comercio-argentina-2022" TargetMode="External"/><Relationship Id="rId20" Type="http://schemas.openxmlformats.org/officeDocument/2006/relationships/hyperlink" Target="http://www.enre.gov.ar/web/TARIFASD.nsf/2c0594d20466d3be0325823d006aecda/0bcaee58e935ab080325823b0068cc17?OpenDocument" TargetMode="External"/><Relationship Id="rId1" Type="http://schemas.openxmlformats.org/officeDocument/2006/relationships/hyperlink" Target="https://telecom.com.ar/pymes/productos/conectividad/Infinite?gclid=Cj0KCQjwtMCKBhDAARIsAG-2Eu-707954ChKbcOdkR5cKiyd9WwMOoOTuFt3zjvVAxWaOU8oPXMRGNIaAoCxEALw_wcB" TargetMode="External"/><Relationship Id="rId6" Type="http://schemas.openxmlformats.org/officeDocument/2006/relationships/hyperlink" Target="https://articulo.mercadolibre.com.ar/MLA-1162788258-conos-plasticos-11-cms-vacios-de-hilos-de-coser-x-36-unidade-_JM" TargetMode="External"/><Relationship Id="rId11" Type="http://schemas.openxmlformats.org/officeDocument/2006/relationships/hyperlink" Target="https://www.argentina.gob.ar/transporte/cnrt/transparencia/escalas-salariales" TargetMode="External"/><Relationship Id="rId24" Type="http://schemas.microsoft.com/office/2017/10/relationships/threadedComment" Target="../threadedComments/threadedComment2.xml"/><Relationship Id="rId5" Type="http://schemas.openxmlformats.org/officeDocument/2006/relationships/hyperlink" Target="https://articulo.mercadolibre.com.ar/MLA-906321472-bolsa-arranque-rolan-30-x-40-750-grs-bulto-x-6-rollos-_JM" TargetMode="External"/><Relationship Id="rId15" Type="http://schemas.openxmlformats.org/officeDocument/2006/relationships/hyperlink" Target="https://www.iprofesional.com/management/354392-sueldo-empleado-de-comercio-argentina-2022" TargetMode="External"/><Relationship Id="rId23" Type="http://schemas.openxmlformats.org/officeDocument/2006/relationships/comments" Target="../comments2.xml"/><Relationship Id="rId10" Type="http://schemas.openxmlformats.org/officeDocument/2006/relationships/hyperlink" Target="http://setia.org.ar/pdf-setia/gremiales/convenio123-90/Escala%20salarial%20junio22-Mayo%202023%20FE%20DE%20ERRATAS.pdf" TargetMode="External"/><Relationship Id="rId19" Type="http://schemas.openxmlformats.org/officeDocument/2006/relationships/hyperlink" Target="https://www.iprofesional.com/management/354392-sueldo-empleado-de-comercio-argentina-2022" TargetMode="External"/><Relationship Id="rId4" Type="http://schemas.openxmlformats.org/officeDocument/2006/relationships/hyperlink" Target="https://articulo.mercadolibre.com.ar/MLA-927700472-12-rollos-de-etiquetas-termicas-troqueladas-de-100-x-190-mm-_JM" TargetMode="External"/><Relationship Id="rId9" Type="http://schemas.openxmlformats.org/officeDocument/2006/relationships/hyperlink" Target="https://www.uci.org.ar/calcular2.php" TargetMode="External"/><Relationship Id="rId14" Type="http://schemas.openxmlformats.org/officeDocument/2006/relationships/hyperlink" Target="https://www.argentina.gob.ar/transporte/cnrt/transparencia/escalas-salariales" TargetMode="External"/><Relationship Id="rId22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BD4B4"/>
  </sheetPr>
  <dimension ref="B1:AA1002"/>
  <sheetViews>
    <sheetView showGridLines="0" workbookViewId="0">
      <selection activeCell="I37" sqref="I37"/>
    </sheetView>
  </sheetViews>
  <sheetFormatPr baseColWidth="10" defaultColWidth="12.7109375" defaultRowHeight="15" customHeight="1"/>
  <cols>
    <col min="1" max="1" width="4.140625" customWidth="1"/>
    <col min="2" max="2" width="19.28515625" customWidth="1"/>
    <col min="3" max="3" width="20.42578125" customWidth="1"/>
    <col min="4" max="7" width="17.42578125" bestFit="1" customWidth="1"/>
    <col min="8" max="8" width="3.7109375" customWidth="1"/>
    <col min="9" max="9" width="4" customWidth="1"/>
    <col min="10" max="10" width="21.42578125" customWidth="1"/>
    <col min="11" max="11" width="19.28515625" customWidth="1"/>
    <col min="12" max="12" width="18.7109375" customWidth="1"/>
    <col min="13" max="13" width="17.140625" customWidth="1"/>
    <col min="14" max="14" width="18.85546875" customWidth="1"/>
    <col min="15" max="15" width="17.85546875" customWidth="1"/>
    <col min="16" max="17" width="10.7109375" customWidth="1"/>
    <col min="18" max="18" width="23.140625" customWidth="1"/>
    <col min="19" max="27" width="10.7109375" customWidth="1"/>
  </cols>
  <sheetData>
    <row r="1" spans="2:27" ht="15" customHeight="1">
      <c r="C1">
        <f>C5*1000/2.5</f>
        <v>540000</v>
      </c>
    </row>
    <row r="2" spans="2:27" ht="12.75" customHeight="1">
      <c r="B2" s="949" t="s">
        <v>0</v>
      </c>
      <c r="C2" s="950"/>
      <c r="D2" s="950"/>
      <c r="E2" s="950"/>
      <c r="F2" s="950"/>
      <c r="G2" s="951"/>
      <c r="J2" s="254" t="s">
        <v>1</v>
      </c>
      <c r="K2" s="255" t="s">
        <v>2</v>
      </c>
      <c r="L2" s="255" t="s">
        <v>3</v>
      </c>
      <c r="M2" s="255" t="s">
        <v>4</v>
      </c>
      <c r="N2" s="255" t="s">
        <v>5</v>
      </c>
      <c r="O2" s="256" t="s">
        <v>6</v>
      </c>
    </row>
    <row r="3" spans="2:27" ht="12.75" customHeight="1">
      <c r="B3" s="146"/>
      <c r="C3" s="1"/>
      <c r="D3" s="1"/>
      <c r="E3" s="1"/>
      <c r="F3" s="1"/>
      <c r="G3" s="2"/>
      <c r="H3" s="3"/>
      <c r="I3" s="3"/>
      <c r="J3" s="257" t="s">
        <v>7</v>
      </c>
      <c r="K3" s="271">
        <f>1350</f>
        <v>1350</v>
      </c>
      <c r="L3" s="271">
        <f>D5</f>
        <v>1890</v>
      </c>
      <c r="M3" s="271">
        <f>E5</f>
        <v>1890</v>
      </c>
      <c r="N3" s="271">
        <f>F5</f>
        <v>1890</v>
      </c>
      <c r="O3" s="271">
        <f>G5</f>
        <v>1890</v>
      </c>
      <c r="S3" s="3"/>
      <c r="T3" s="3"/>
      <c r="U3" s="3"/>
      <c r="V3" s="3"/>
      <c r="W3" s="3"/>
      <c r="X3" s="3"/>
      <c r="Y3" s="3"/>
      <c r="Z3" s="3"/>
      <c r="AA3" s="3"/>
    </row>
    <row r="4" spans="2:27" ht="12.75" customHeight="1">
      <c r="B4" s="254" t="s">
        <v>1</v>
      </c>
      <c r="C4" s="255" t="s">
        <v>2</v>
      </c>
      <c r="D4" s="255" t="s">
        <v>3</v>
      </c>
      <c r="E4" s="255" t="s">
        <v>4</v>
      </c>
      <c r="F4" s="255" t="s">
        <v>5</v>
      </c>
      <c r="G4" s="256" t="s">
        <v>6</v>
      </c>
      <c r="J4" s="257" t="s">
        <v>8</v>
      </c>
      <c r="K4" s="273">
        <f>2.5</f>
        <v>2.5</v>
      </c>
      <c r="L4" s="273">
        <f>2.5</f>
        <v>2.5</v>
      </c>
      <c r="M4" s="273">
        <f>2.5</f>
        <v>2.5</v>
      </c>
      <c r="N4" s="273">
        <f>2.5</f>
        <v>2.5</v>
      </c>
      <c r="O4" s="273">
        <f>2.5</f>
        <v>2.5</v>
      </c>
    </row>
    <row r="5" spans="2:27" ht="12.75" customHeight="1">
      <c r="B5" s="257" t="s">
        <v>7</v>
      </c>
      <c r="C5" s="271">
        <v>1350</v>
      </c>
      <c r="D5" s="271">
        <f>1890</f>
        <v>1890</v>
      </c>
      <c r="E5" s="271">
        <f>1890</f>
        <v>1890</v>
      </c>
      <c r="F5" s="271">
        <f>1890</f>
        <v>1890</v>
      </c>
      <c r="G5" s="271">
        <f>1890</f>
        <v>1890</v>
      </c>
      <c r="J5" s="257" t="s">
        <v>9</v>
      </c>
      <c r="K5" s="271">
        <f>(K3*1000)/K4</f>
        <v>540000</v>
      </c>
      <c r="L5" s="271">
        <f>(L3*1000)/L4</f>
        <v>756000</v>
      </c>
      <c r="M5" s="271">
        <f>(M3*1000)/M4</f>
        <v>756000</v>
      </c>
      <c r="N5" s="271">
        <f>(N3*1000)/N4</f>
        <v>756000</v>
      </c>
      <c r="O5" s="271">
        <f>(O3*1000)/O4</f>
        <v>756000</v>
      </c>
    </row>
    <row r="6" spans="2:27" ht="12.75" customHeight="1">
      <c r="B6" s="257" t="s">
        <v>10</v>
      </c>
      <c r="C6" s="273">
        <f>2.5</f>
        <v>2.5</v>
      </c>
      <c r="D6" s="273">
        <f>2.5</f>
        <v>2.5</v>
      </c>
      <c r="E6" s="273">
        <f>2.5</f>
        <v>2.5</v>
      </c>
      <c r="F6" s="273">
        <f>2.5</f>
        <v>2.5</v>
      </c>
      <c r="G6" s="273">
        <f>2.5</f>
        <v>2.5</v>
      </c>
      <c r="J6" s="258" t="s">
        <v>11</v>
      </c>
      <c r="K6" s="271">
        <v>1050</v>
      </c>
      <c r="L6" s="271">
        <v>1050</v>
      </c>
      <c r="M6" s="271">
        <v>1050</v>
      </c>
      <c r="N6" s="271">
        <v>1050</v>
      </c>
      <c r="O6" s="272">
        <v>1050</v>
      </c>
    </row>
    <row r="7" spans="2:27" ht="12.75" customHeight="1">
      <c r="B7" s="257" t="s">
        <v>9</v>
      </c>
      <c r="C7" s="271">
        <f>(C5*1000)/C6</f>
        <v>540000</v>
      </c>
      <c r="D7" s="271">
        <f>(D5*1000)/D6</f>
        <v>756000</v>
      </c>
      <c r="E7" s="271">
        <f>(E5*1000)/E6</f>
        <v>756000</v>
      </c>
      <c r="F7" s="271">
        <f>(F5*1000)/F6</f>
        <v>756000</v>
      </c>
      <c r="G7" s="271">
        <f>(G5*1000)/G6</f>
        <v>756000</v>
      </c>
      <c r="J7" s="259" t="s">
        <v>12</v>
      </c>
      <c r="K7" s="274">
        <f>K6*K3*1000</f>
        <v>1417500000</v>
      </c>
      <c r="L7" s="274">
        <f>L6*L3*1000</f>
        <v>1984500000</v>
      </c>
      <c r="M7" s="274">
        <f>M6*M3*1000</f>
        <v>1984500000</v>
      </c>
      <c r="N7" s="274">
        <f>N6*N3*1000</f>
        <v>1984500000</v>
      </c>
      <c r="O7" s="274">
        <f>O6*O3*1000</f>
        <v>1984500000</v>
      </c>
    </row>
    <row r="8" spans="2:27" ht="12.75" customHeight="1">
      <c r="B8" s="258" t="s">
        <v>11</v>
      </c>
      <c r="C8" s="271">
        <v>1050</v>
      </c>
      <c r="D8" s="271">
        <v>1050</v>
      </c>
      <c r="E8" s="271">
        <v>1050</v>
      </c>
      <c r="F8" s="271">
        <v>1050</v>
      </c>
      <c r="G8" s="272">
        <v>1050</v>
      </c>
      <c r="K8" s="232">
        <f>K7/K5</f>
        <v>2625</v>
      </c>
      <c r="L8" s="232">
        <f>L7/L5</f>
        <v>2625</v>
      </c>
      <c r="M8" s="232">
        <f>M7/M5</f>
        <v>2625</v>
      </c>
      <c r="N8" s="232">
        <f>N7/N5</f>
        <v>2625</v>
      </c>
      <c r="O8" s="232">
        <f>O7/O5</f>
        <v>2625</v>
      </c>
    </row>
    <row r="9" spans="2:27" ht="12.75" customHeight="1">
      <c r="B9" s="259" t="s">
        <v>12</v>
      </c>
      <c r="C9" s="274">
        <f>C8*2.5*C7</f>
        <v>1417500000</v>
      </c>
      <c r="D9" s="274">
        <f>D8*2.5*D7</f>
        <v>1984500000</v>
      </c>
      <c r="E9" s="274">
        <f>E8*2.5*E7</f>
        <v>1984500000</v>
      </c>
      <c r="F9" s="274">
        <f>F8*2.5*F7</f>
        <v>1984500000</v>
      </c>
      <c r="G9" s="274">
        <f>G8*2.5*G7</f>
        <v>1984500000</v>
      </c>
    </row>
    <row r="10" spans="2:27" ht="12.75" customHeight="1">
      <c r="B10" s="7"/>
      <c r="C10" s="8">
        <f>C8*2.5</f>
        <v>2625</v>
      </c>
      <c r="D10" s="8"/>
      <c r="E10" s="8"/>
      <c r="F10" s="8"/>
      <c r="G10" s="9"/>
      <c r="J10" s="952" t="s">
        <v>13</v>
      </c>
      <c r="K10" s="953"/>
      <c r="L10" s="953"/>
      <c r="M10" s="953"/>
      <c r="N10" s="954"/>
    </row>
    <row r="11" spans="2:27" ht="12.75" customHeight="1">
      <c r="J11" s="266"/>
      <c r="K11" s="267" t="s">
        <v>14</v>
      </c>
      <c r="L11" s="267" t="s">
        <v>15</v>
      </c>
      <c r="M11" s="267" t="s">
        <v>16</v>
      </c>
      <c r="N11" s="268" t="s">
        <v>17</v>
      </c>
      <c r="O11" s="3"/>
    </row>
    <row r="12" spans="2:27" ht="12.75" customHeight="1">
      <c r="B12" s="949" t="s">
        <v>18</v>
      </c>
      <c r="C12" s="950"/>
      <c r="D12" s="950"/>
      <c r="E12" s="950"/>
      <c r="F12" s="950"/>
      <c r="G12" s="951"/>
      <c r="J12" s="278" t="s">
        <v>19</v>
      </c>
      <c r="K12" s="279">
        <v>0</v>
      </c>
      <c r="L12" s="280">
        <f>1598*1000</f>
        <v>1598000</v>
      </c>
      <c r="M12" s="281">
        <f>1000*L3</f>
        <v>1890000</v>
      </c>
      <c r="N12" s="282" t="s">
        <v>20</v>
      </c>
      <c r="O12">
        <f>1617*1000</f>
        <v>1617000</v>
      </c>
    </row>
    <row r="13" spans="2:27" ht="12.75" customHeight="1">
      <c r="B13" s="147" t="s">
        <v>21</v>
      </c>
      <c r="C13" s="155" t="s">
        <v>22</v>
      </c>
      <c r="D13" s="10"/>
      <c r="E13" s="3"/>
      <c r="F13" s="3"/>
      <c r="G13" s="11"/>
      <c r="J13" s="283" t="s">
        <v>23</v>
      </c>
      <c r="K13" s="279">
        <v>0</v>
      </c>
      <c r="L13" s="280">
        <f>37.058824*1000</f>
        <v>37058.824000000001</v>
      </c>
      <c r="M13" s="284">
        <f>1000*37.0588235</f>
        <v>37058.823500000006</v>
      </c>
      <c r="N13" s="282" t="s">
        <v>20</v>
      </c>
    </row>
    <row r="14" spans="2:27" ht="12.75" customHeight="1">
      <c r="B14" s="12" t="s">
        <v>24</v>
      </c>
      <c r="C14" s="3"/>
      <c r="D14" s="3"/>
      <c r="E14" s="3"/>
      <c r="F14" s="3"/>
      <c r="G14" s="11"/>
      <c r="J14" s="283" t="s">
        <v>25</v>
      </c>
      <c r="K14" s="279">
        <v>0</v>
      </c>
      <c r="L14" s="586">
        <f>1617*1000</f>
        <v>1617000</v>
      </c>
      <c r="M14" s="285">
        <f>1000*1890</f>
        <v>1890000</v>
      </c>
      <c r="N14" s="282" t="s">
        <v>20</v>
      </c>
      <c r="Q14" s="3"/>
      <c r="R14" s="3"/>
      <c r="S14" s="3"/>
      <c r="T14" s="3"/>
      <c r="U14" s="3"/>
      <c r="V14" s="3"/>
    </row>
    <row r="15" spans="2:27" ht="12.75" customHeight="1">
      <c r="B15" s="260" t="s">
        <v>26</v>
      </c>
      <c r="C15" s="13">
        <v>141</v>
      </c>
      <c r="D15" s="3" t="s">
        <v>27</v>
      </c>
      <c r="E15" s="3"/>
      <c r="F15" s="3"/>
      <c r="G15" s="11"/>
      <c r="J15" s="286" t="s">
        <v>28</v>
      </c>
      <c r="K15" s="279">
        <v>0</v>
      </c>
      <c r="L15" s="280">
        <v>0</v>
      </c>
      <c r="M15" s="284">
        <v>0</v>
      </c>
      <c r="N15" s="282" t="s">
        <v>20</v>
      </c>
      <c r="Q15" s="3"/>
      <c r="R15" s="3"/>
      <c r="S15" s="3"/>
      <c r="T15" s="3"/>
      <c r="U15" s="3"/>
      <c r="V15" s="3"/>
    </row>
    <row r="16" spans="2:27" ht="12.75" customHeight="1">
      <c r="B16" s="257" t="s">
        <v>29</v>
      </c>
      <c r="C16" s="275">
        <v>149</v>
      </c>
      <c r="D16" s="3" t="s">
        <v>27</v>
      </c>
      <c r="E16" s="3"/>
      <c r="F16" s="3"/>
      <c r="G16" s="11"/>
      <c r="J16" s="286" t="s">
        <v>30</v>
      </c>
      <c r="K16" s="279">
        <v>0</v>
      </c>
      <c r="L16" s="280">
        <f>1000*42</f>
        <v>42000</v>
      </c>
      <c r="M16" s="284">
        <f>1000*42</f>
        <v>42000</v>
      </c>
      <c r="N16" s="282" t="s">
        <v>20</v>
      </c>
      <c r="O16" t="s">
        <v>31</v>
      </c>
      <c r="Q16" s="3"/>
      <c r="R16" s="3"/>
      <c r="S16" s="3"/>
      <c r="T16" s="3"/>
      <c r="U16" s="3"/>
      <c r="V16" s="3"/>
    </row>
    <row r="17" spans="2:27" ht="12.75" customHeight="1">
      <c r="B17" s="261" t="s">
        <v>32</v>
      </c>
      <c r="C17" s="276">
        <f>AVERAGE(C15:C16)</f>
        <v>145</v>
      </c>
      <c r="D17" s="8" t="s">
        <v>27</v>
      </c>
      <c r="E17" s="8"/>
      <c r="F17" s="8"/>
      <c r="G17" s="9"/>
      <c r="J17" s="286" t="s">
        <v>33</v>
      </c>
      <c r="K17" s="279">
        <v>0</v>
      </c>
      <c r="L17" s="279">
        <f>1000*1659</f>
        <v>1659000</v>
      </c>
      <c r="M17" s="279">
        <f>1000*1890</f>
        <v>1890000</v>
      </c>
      <c r="N17" s="282" t="s">
        <v>20</v>
      </c>
      <c r="Q17" s="3"/>
      <c r="R17" s="3"/>
      <c r="S17" s="3"/>
      <c r="T17" s="3"/>
      <c r="U17" s="3"/>
      <c r="V17" s="3"/>
    </row>
    <row r="18" spans="2:27" ht="12.75" customHeight="1">
      <c r="B18" s="3"/>
      <c r="C18" s="3"/>
      <c r="D18" s="3"/>
      <c r="E18" s="3"/>
      <c r="F18" s="3"/>
      <c r="G18" s="3"/>
      <c r="J18" s="286" t="s">
        <v>34</v>
      </c>
      <c r="K18" s="279">
        <v>0</v>
      </c>
      <c r="L18" s="279">
        <f>1000*165</f>
        <v>165000</v>
      </c>
      <c r="M18" s="279">
        <f>1000*165</f>
        <v>165000</v>
      </c>
      <c r="N18" s="282" t="s">
        <v>20</v>
      </c>
      <c r="Q18" s="3"/>
      <c r="R18" s="3"/>
      <c r="S18" s="3"/>
      <c r="T18" s="3"/>
      <c r="U18" s="3"/>
      <c r="V18" s="3"/>
    </row>
    <row r="19" spans="2:27" ht="12.75" customHeight="1">
      <c r="B19" s="262" t="s">
        <v>35</v>
      </c>
      <c r="C19" s="263"/>
      <c r="D19" s="277"/>
      <c r="E19" s="263"/>
      <c r="F19" s="263"/>
      <c r="G19" s="264"/>
      <c r="J19" s="286" t="s">
        <v>36</v>
      </c>
      <c r="K19" s="570">
        <v>1616.5531900000001</v>
      </c>
      <c r="L19" s="279">
        <f>1000*208</f>
        <v>208000</v>
      </c>
      <c r="M19" s="279">
        <f>1000*1682</f>
        <v>1682000</v>
      </c>
      <c r="N19" s="282" t="s">
        <v>20</v>
      </c>
      <c r="Q19" s="3"/>
      <c r="R19" s="3"/>
      <c r="S19" s="3"/>
      <c r="T19" s="3"/>
      <c r="U19" s="3"/>
      <c r="V19" s="3"/>
    </row>
    <row r="20" spans="2:27" ht="12.75" customHeight="1">
      <c r="B20" s="147" t="s">
        <v>21</v>
      </c>
      <c r="C20" s="148" t="s">
        <v>37</v>
      </c>
      <c r="D20" s="3"/>
      <c r="E20" s="3"/>
      <c r="F20" s="3"/>
      <c r="G20" s="3"/>
      <c r="H20" s="3"/>
      <c r="I20" s="3"/>
      <c r="J20" s="286" t="s">
        <v>38</v>
      </c>
      <c r="K20" s="279">
        <f>ROUNDUP(K19/C6,0)</f>
        <v>647</v>
      </c>
      <c r="L20" s="279"/>
      <c r="M20" s="279"/>
      <c r="N20" s="282" t="s">
        <v>39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12.75" customHeight="1">
      <c r="B21" s="3"/>
      <c r="C21" s="3"/>
      <c r="D21" s="3"/>
      <c r="E21" s="3"/>
      <c r="F21" s="3"/>
      <c r="G21" s="3"/>
      <c r="H21" s="3"/>
      <c r="I21" s="180"/>
      <c r="J21" s="159"/>
      <c r="K21" s="955" t="s">
        <v>40</v>
      </c>
      <c r="L21" s="956"/>
      <c r="M21" s="956"/>
      <c r="N21" s="957"/>
      <c r="O21" s="159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12.75" customHeight="1">
      <c r="B22" s="260" t="s">
        <v>41</v>
      </c>
      <c r="C22" s="17">
        <v>0.75</v>
      </c>
      <c r="D22" s="3" t="s">
        <v>42</v>
      </c>
      <c r="E22" s="3"/>
      <c r="F22" s="14" t="s">
        <v>43</v>
      </c>
      <c r="G22" s="15">
        <f>L16/L17</f>
        <v>2.5316455696202531E-2</v>
      </c>
      <c r="H22" s="3"/>
      <c r="I22" s="180"/>
      <c r="K22" s="269"/>
      <c r="L22" s="269" t="s">
        <v>2</v>
      </c>
      <c r="M22" s="270" t="s">
        <v>16</v>
      </c>
      <c r="N22" s="270" t="s">
        <v>17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12.75" customHeight="1">
      <c r="B23" s="260" t="s">
        <v>44</v>
      </c>
      <c r="C23" s="13">
        <v>80</v>
      </c>
      <c r="D23" s="3" t="s">
        <v>42</v>
      </c>
      <c r="E23" s="3"/>
      <c r="F23" s="16" t="s">
        <v>43</v>
      </c>
      <c r="G23" s="15">
        <f>M16/M17</f>
        <v>2.2222222222222223E-2</v>
      </c>
      <c r="H23" s="3"/>
      <c r="I23" s="180"/>
      <c r="K23" s="278" t="s">
        <v>19</v>
      </c>
      <c r="L23" s="184">
        <f>L12/4</f>
        <v>399500</v>
      </c>
      <c r="M23" s="185">
        <f>M12/4</f>
        <v>472500</v>
      </c>
      <c r="N23" s="186" t="s">
        <v>45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12.75" customHeight="1">
      <c r="B24" s="265" t="s">
        <v>46</v>
      </c>
      <c r="C24" s="149">
        <v>0.02</v>
      </c>
      <c r="D24" s="3"/>
      <c r="E24" s="3"/>
      <c r="F24" s="3"/>
      <c r="G24" s="3"/>
      <c r="I24" s="159"/>
      <c r="K24" s="283" t="s">
        <v>23</v>
      </c>
      <c r="L24" s="184">
        <f t="shared" ref="L24:M30" si="0">L13/4</f>
        <v>9264.7060000000001</v>
      </c>
      <c r="M24" s="185">
        <f t="shared" si="0"/>
        <v>9264.7058750000015</v>
      </c>
      <c r="N24" s="186" t="s">
        <v>45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2.75" customHeight="1">
      <c r="B25" s="18"/>
      <c r="C25" s="3"/>
      <c r="D25" s="3"/>
      <c r="I25" s="159"/>
      <c r="K25" s="283" t="s">
        <v>25</v>
      </c>
      <c r="L25" s="184">
        <f t="shared" si="0"/>
        <v>404250</v>
      </c>
      <c r="M25" s="185">
        <f t="shared" si="0"/>
        <v>472500</v>
      </c>
      <c r="N25" s="186" t="s">
        <v>45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2.75" customHeight="1">
      <c r="B26" s="18"/>
      <c r="C26" s="180"/>
      <c r="D26" s="180"/>
      <c r="I26" s="159"/>
      <c r="K26" s="286" t="s">
        <v>28</v>
      </c>
      <c r="L26" s="184">
        <f t="shared" si="0"/>
        <v>0</v>
      </c>
      <c r="M26" s="185">
        <f t="shared" si="0"/>
        <v>0</v>
      </c>
      <c r="N26" s="186" t="s">
        <v>45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12.75" customHeight="1">
      <c r="B27" s="265" t="s">
        <v>47</v>
      </c>
      <c r="C27">
        <f>47.8*2+35.81*2</f>
        <v>167.22</v>
      </c>
      <c r="D27" s="159" t="s">
        <v>48</v>
      </c>
      <c r="I27" s="159"/>
      <c r="K27" s="286" t="s">
        <v>30</v>
      </c>
      <c r="L27" s="184">
        <f t="shared" si="0"/>
        <v>10500</v>
      </c>
      <c r="M27" s="185">
        <f t="shared" si="0"/>
        <v>10500</v>
      </c>
      <c r="N27" s="186" t="s">
        <v>45</v>
      </c>
      <c r="O27" s="180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2.75" customHeight="1">
      <c r="B28" t="s">
        <v>49</v>
      </c>
      <c r="C28" s="159"/>
      <c r="D28" s="159"/>
      <c r="K28" s="286" t="s">
        <v>33</v>
      </c>
      <c r="L28" s="184">
        <f>L17/4</f>
        <v>414750</v>
      </c>
      <c r="M28" s="185">
        <f t="shared" si="0"/>
        <v>472500</v>
      </c>
      <c r="N28" s="186" t="s">
        <v>45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2.75" customHeight="1">
      <c r="K29" s="286" t="s">
        <v>34</v>
      </c>
      <c r="L29" s="184">
        <f t="shared" si="0"/>
        <v>41250</v>
      </c>
      <c r="M29" s="185">
        <f t="shared" si="0"/>
        <v>41250</v>
      </c>
      <c r="N29" s="186" t="s">
        <v>45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2.75" customHeight="1">
      <c r="D30" t="s">
        <v>50</v>
      </c>
      <c r="E30" t="s">
        <v>51</v>
      </c>
      <c r="F30" t="s">
        <v>52</v>
      </c>
      <c r="G30" t="s">
        <v>53</v>
      </c>
      <c r="K30" s="286" t="s">
        <v>36</v>
      </c>
      <c r="L30" s="184">
        <f t="shared" si="0"/>
        <v>52000</v>
      </c>
      <c r="M30" s="185">
        <f t="shared" si="0"/>
        <v>420500</v>
      </c>
      <c r="N30" s="186" t="s">
        <v>45</v>
      </c>
      <c r="P30" s="180"/>
    </row>
    <row r="31" spans="2:27" ht="12.75" customHeight="1">
      <c r="B31" s="947" t="s">
        <v>54</v>
      </c>
      <c r="C31" s="948"/>
      <c r="D31">
        <v>3</v>
      </c>
      <c r="E31">
        <v>8</v>
      </c>
      <c r="F31">
        <v>20</v>
      </c>
      <c r="G31">
        <f>D31*F31*E31</f>
        <v>480</v>
      </c>
      <c r="P31" s="180"/>
    </row>
    <row r="32" spans="2:27" ht="12.75" customHeight="1">
      <c r="P32" s="180"/>
    </row>
    <row r="33" spans="2:2" ht="12.75" customHeight="1">
      <c r="B33" s="3"/>
    </row>
    <row r="34" spans="2:2" ht="12.75" customHeight="1">
      <c r="B34" s="3"/>
    </row>
    <row r="35" spans="2:2" ht="12.75" customHeight="1">
      <c r="B35" s="3"/>
    </row>
    <row r="36" spans="2:2" ht="12.75" customHeight="1">
      <c r="B36" s="3"/>
    </row>
    <row r="37" spans="2:2" ht="12.75" customHeight="1">
      <c r="B37" s="3"/>
    </row>
    <row r="38" spans="2:2" ht="12.75" customHeight="1">
      <c r="B38" s="3"/>
    </row>
    <row r="39" spans="2:2" ht="12.75" customHeight="1">
      <c r="B39" s="3"/>
    </row>
    <row r="40" spans="2:2" ht="12.75" customHeight="1">
      <c r="B40" s="3"/>
    </row>
    <row r="41" spans="2:2" ht="12.75" customHeight="1">
      <c r="B41" s="3"/>
    </row>
    <row r="42" spans="2:2" ht="12.75" customHeight="1">
      <c r="B42" s="3"/>
    </row>
    <row r="43" spans="2:2" ht="12.75" customHeight="1">
      <c r="B43" s="3"/>
    </row>
    <row r="44" spans="2:2" ht="12.75" customHeight="1">
      <c r="B44" s="3"/>
    </row>
    <row r="45" spans="2:2" ht="12.75" customHeight="1">
      <c r="B45" s="3"/>
    </row>
    <row r="46" spans="2:2" ht="12.75" customHeight="1">
      <c r="B46" s="3"/>
    </row>
    <row r="47" spans="2:2" ht="12.75" customHeight="1">
      <c r="B47" s="3"/>
    </row>
    <row r="48" spans="2:2" ht="12.75" customHeight="1">
      <c r="B48" s="3"/>
    </row>
    <row r="49" spans="2:2" ht="12.75" customHeight="1">
      <c r="B49" s="3"/>
    </row>
    <row r="50" spans="2:2" ht="12.75" customHeight="1">
      <c r="B50" s="3"/>
    </row>
    <row r="51" spans="2:2" ht="12.75" customHeight="1">
      <c r="B51" s="3"/>
    </row>
    <row r="52" spans="2:2" ht="12.75" customHeight="1">
      <c r="B52" s="3"/>
    </row>
    <row r="53" spans="2:2" ht="12.75" customHeight="1">
      <c r="B53" s="3"/>
    </row>
    <row r="54" spans="2:2" ht="12.75" customHeight="1">
      <c r="B54" s="3"/>
    </row>
    <row r="55" spans="2:2" ht="12.75" customHeight="1">
      <c r="B55" s="3"/>
    </row>
    <row r="56" spans="2:2" ht="12.75" customHeight="1">
      <c r="B56" s="3"/>
    </row>
    <row r="57" spans="2:2" ht="12.75" customHeight="1">
      <c r="B57" s="3"/>
    </row>
    <row r="58" spans="2:2" ht="12.75" customHeight="1">
      <c r="B58" s="3"/>
    </row>
    <row r="59" spans="2:2" ht="12.75" customHeight="1">
      <c r="B59" s="3"/>
    </row>
    <row r="60" spans="2:2" ht="12.75" customHeight="1">
      <c r="B60" s="3"/>
    </row>
    <row r="61" spans="2:2" ht="12.75" customHeight="1">
      <c r="B61" s="3"/>
    </row>
    <row r="62" spans="2:2" ht="12.75" customHeight="1">
      <c r="B62" s="3"/>
    </row>
    <row r="63" spans="2:2" ht="12.75" customHeight="1">
      <c r="B63" s="3"/>
    </row>
    <row r="64" spans="2:2" ht="12.75" customHeight="1">
      <c r="B64" s="3"/>
    </row>
    <row r="65" spans="2:2" ht="12.75" customHeight="1">
      <c r="B65" s="3"/>
    </row>
    <row r="66" spans="2:2" ht="12.75" customHeight="1">
      <c r="B66" s="3"/>
    </row>
    <row r="67" spans="2:2" ht="12.75" customHeight="1">
      <c r="B67" s="3"/>
    </row>
    <row r="68" spans="2:2" ht="12.75" customHeight="1">
      <c r="B68" s="3"/>
    </row>
    <row r="69" spans="2:2" ht="12.75" customHeight="1">
      <c r="B69" s="3"/>
    </row>
    <row r="70" spans="2:2" ht="12.75" customHeight="1">
      <c r="B70" s="3"/>
    </row>
    <row r="71" spans="2:2" ht="12.75" customHeight="1">
      <c r="B71" s="3"/>
    </row>
    <row r="72" spans="2:2" ht="12.75" customHeight="1">
      <c r="B72" s="3"/>
    </row>
    <row r="73" spans="2:2" ht="12.75" customHeight="1">
      <c r="B73" s="3"/>
    </row>
    <row r="74" spans="2:2" ht="12.75" customHeight="1">
      <c r="B74" s="3"/>
    </row>
    <row r="75" spans="2:2" ht="12.75" customHeight="1">
      <c r="B75" s="3"/>
    </row>
    <row r="76" spans="2:2" ht="12.75" customHeight="1">
      <c r="B76" s="3"/>
    </row>
    <row r="77" spans="2:2" ht="12.75" customHeight="1">
      <c r="B77" s="3"/>
    </row>
    <row r="78" spans="2:2" ht="12.75" customHeight="1">
      <c r="B78" s="3"/>
    </row>
    <row r="79" spans="2:2" ht="12.75" customHeight="1">
      <c r="B79" s="3"/>
    </row>
    <row r="80" spans="2:2" ht="12.75" customHeight="1">
      <c r="B80" s="3"/>
    </row>
    <row r="81" spans="2:2" ht="12.75" customHeight="1">
      <c r="B81" s="3"/>
    </row>
    <row r="82" spans="2:2" ht="12.75" customHeight="1">
      <c r="B82" s="3"/>
    </row>
    <row r="83" spans="2:2" ht="12.75" customHeight="1">
      <c r="B83" s="3"/>
    </row>
    <row r="84" spans="2:2" ht="12.75" customHeight="1">
      <c r="B84" s="3"/>
    </row>
    <row r="85" spans="2:2" ht="12.75" customHeight="1">
      <c r="B85" s="3"/>
    </row>
    <row r="86" spans="2:2" ht="12.75" customHeight="1">
      <c r="B86" s="3"/>
    </row>
    <row r="87" spans="2:2" ht="12.75" customHeight="1">
      <c r="B87" s="3"/>
    </row>
    <row r="88" spans="2:2" ht="12.75" customHeight="1">
      <c r="B88" s="3"/>
    </row>
    <row r="89" spans="2:2" ht="12.75" customHeight="1">
      <c r="B89" s="3"/>
    </row>
    <row r="90" spans="2:2" ht="12.75" customHeight="1">
      <c r="B90" s="3"/>
    </row>
    <row r="91" spans="2:2" ht="12.75" customHeight="1">
      <c r="B91" s="3"/>
    </row>
    <row r="92" spans="2:2" ht="12.75" customHeight="1">
      <c r="B92" s="3"/>
    </row>
    <row r="93" spans="2:2" ht="12.75" customHeight="1">
      <c r="B93" s="3"/>
    </row>
    <row r="94" spans="2:2" ht="12.75" customHeight="1">
      <c r="B94" s="3"/>
    </row>
    <row r="95" spans="2:2" ht="12.75" customHeight="1">
      <c r="B95" s="3"/>
    </row>
    <row r="96" spans="2:2" ht="12.75" customHeight="1">
      <c r="B96" s="3"/>
    </row>
    <row r="97" spans="2:2" ht="12.75" customHeight="1">
      <c r="B97" s="3"/>
    </row>
    <row r="98" spans="2:2" ht="12.75" customHeight="1">
      <c r="B98" s="3"/>
    </row>
    <row r="99" spans="2:2" ht="12.75" customHeight="1">
      <c r="B99" s="3"/>
    </row>
    <row r="100" spans="2:2" ht="12.75" customHeight="1">
      <c r="B100" s="3"/>
    </row>
    <row r="101" spans="2:2" ht="12.75" customHeight="1">
      <c r="B101" s="3"/>
    </row>
    <row r="102" spans="2:2" ht="12.75" customHeight="1">
      <c r="B102" s="3"/>
    </row>
    <row r="103" spans="2:2" ht="12.75" customHeight="1">
      <c r="B103" s="3"/>
    </row>
    <row r="104" spans="2:2" ht="12.75" customHeight="1">
      <c r="B104" s="3"/>
    </row>
    <row r="105" spans="2:2" ht="12.75" customHeight="1">
      <c r="B105" s="3"/>
    </row>
    <row r="106" spans="2:2" ht="12.75" customHeight="1">
      <c r="B106" s="3"/>
    </row>
    <row r="107" spans="2:2" ht="12.75" customHeight="1">
      <c r="B107" s="3"/>
    </row>
    <row r="108" spans="2:2" ht="12.75" customHeight="1">
      <c r="B108" s="3"/>
    </row>
    <row r="109" spans="2:2" ht="12.75" customHeight="1">
      <c r="B109" s="3"/>
    </row>
    <row r="110" spans="2:2" ht="12.75" customHeight="1">
      <c r="B110" s="3"/>
    </row>
    <row r="111" spans="2:2" ht="12.75" customHeight="1">
      <c r="B111" s="3"/>
    </row>
    <row r="112" spans="2:2" ht="12.75" customHeight="1">
      <c r="B112" s="3"/>
    </row>
    <row r="113" spans="2:2" ht="12.75" customHeight="1">
      <c r="B113" s="3"/>
    </row>
    <row r="114" spans="2:2" ht="12.75" customHeight="1">
      <c r="B114" s="3"/>
    </row>
    <row r="115" spans="2:2" ht="12.75" customHeight="1">
      <c r="B115" s="3"/>
    </row>
    <row r="116" spans="2:2" ht="12.75" customHeight="1">
      <c r="B116" s="3"/>
    </row>
    <row r="117" spans="2:2" ht="12.75" customHeight="1">
      <c r="B117" s="3"/>
    </row>
    <row r="118" spans="2:2" ht="12.75" customHeight="1">
      <c r="B118" s="3"/>
    </row>
    <row r="119" spans="2:2" ht="12.75" customHeight="1">
      <c r="B119" s="3"/>
    </row>
    <row r="120" spans="2:2" ht="12.75" customHeight="1">
      <c r="B120" s="3"/>
    </row>
    <row r="121" spans="2:2" ht="12.75" customHeight="1">
      <c r="B121" s="3"/>
    </row>
    <row r="122" spans="2:2" ht="12.75" customHeight="1">
      <c r="B122" s="3"/>
    </row>
    <row r="123" spans="2:2" ht="12.75" customHeight="1">
      <c r="B123" s="3"/>
    </row>
    <row r="124" spans="2:2" ht="12.75" customHeight="1">
      <c r="B124" s="3"/>
    </row>
    <row r="125" spans="2:2" ht="12.75" customHeight="1">
      <c r="B125" s="3"/>
    </row>
    <row r="126" spans="2:2" ht="12.75" customHeight="1">
      <c r="B126" s="3"/>
    </row>
    <row r="127" spans="2:2" ht="12.75" customHeight="1">
      <c r="B127" s="3"/>
    </row>
    <row r="128" spans="2:2" ht="12.75" customHeight="1">
      <c r="B128" s="3"/>
    </row>
    <row r="129" spans="2:2" ht="12.75" customHeight="1">
      <c r="B129" s="3"/>
    </row>
    <row r="130" spans="2:2" ht="12.75" customHeight="1">
      <c r="B130" s="3"/>
    </row>
    <row r="131" spans="2:2" ht="12.75" customHeight="1">
      <c r="B131" s="3"/>
    </row>
    <row r="132" spans="2:2" ht="12.75" customHeight="1">
      <c r="B132" s="3"/>
    </row>
    <row r="133" spans="2:2" ht="12.75" customHeight="1">
      <c r="B133" s="3"/>
    </row>
    <row r="134" spans="2:2" ht="12.75" customHeight="1">
      <c r="B134" s="3"/>
    </row>
    <row r="135" spans="2:2" ht="12.75" customHeight="1">
      <c r="B135" s="3"/>
    </row>
    <row r="136" spans="2:2" ht="12.75" customHeight="1">
      <c r="B136" s="3"/>
    </row>
    <row r="137" spans="2:2" ht="12.75" customHeight="1">
      <c r="B137" s="3"/>
    </row>
    <row r="138" spans="2:2" ht="12.75" customHeight="1">
      <c r="B138" s="3"/>
    </row>
    <row r="139" spans="2:2" ht="12.75" customHeight="1">
      <c r="B139" s="3"/>
    </row>
    <row r="140" spans="2:2" ht="12.75" customHeight="1">
      <c r="B140" s="3"/>
    </row>
    <row r="141" spans="2:2" ht="12.75" customHeight="1">
      <c r="B141" s="3"/>
    </row>
    <row r="142" spans="2:2" ht="12.75" customHeight="1">
      <c r="B142" s="3"/>
    </row>
    <row r="143" spans="2:2" ht="12.75" customHeight="1">
      <c r="B143" s="3"/>
    </row>
    <row r="144" spans="2:2" ht="12.75" customHeight="1">
      <c r="B144" s="3"/>
    </row>
    <row r="145" spans="2:2" ht="12.75" customHeight="1">
      <c r="B145" s="3"/>
    </row>
    <row r="146" spans="2:2" ht="12.75" customHeight="1">
      <c r="B146" s="3"/>
    </row>
    <row r="147" spans="2:2" ht="12.75" customHeight="1">
      <c r="B147" s="3"/>
    </row>
    <row r="148" spans="2:2" ht="12.75" customHeight="1">
      <c r="B148" s="3"/>
    </row>
    <row r="149" spans="2:2" ht="12.75" customHeight="1">
      <c r="B149" s="3"/>
    </row>
    <row r="150" spans="2:2" ht="12.75" customHeight="1"/>
    <row r="151" spans="2:2" ht="12.75" customHeight="1"/>
    <row r="152" spans="2:2" ht="12.75" customHeight="1"/>
    <row r="153" spans="2:2" ht="12.75" customHeight="1"/>
    <row r="154" spans="2:2" ht="12.75" customHeight="1"/>
    <row r="155" spans="2:2" ht="12.75" customHeight="1"/>
    <row r="156" spans="2:2" ht="12.75" customHeight="1"/>
    <row r="157" spans="2:2" ht="12.75" customHeight="1"/>
    <row r="158" spans="2:2" ht="12.75" customHeight="1"/>
    <row r="159" spans="2:2" ht="12.75" customHeight="1"/>
    <row r="160" spans="2:2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spans="18:18" ht="15.75" customHeight="1"/>
    <row r="994" spans="18:18" ht="15.75" customHeight="1"/>
    <row r="995" spans="18:18" ht="15.75" customHeight="1"/>
    <row r="996" spans="18:18" ht="15.75" customHeight="1"/>
    <row r="997" spans="18:18" ht="15.75" customHeight="1"/>
    <row r="998" spans="18:18" ht="15.75" customHeight="1"/>
    <row r="999" spans="18:18" ht="15.75" customHeight="1"/>
    <row r="1000" spans="18:18" ht="15.75" customHeight="1"/>
    <row r="1001" spans="18:18" ht="15.75" customHeight="1"/>
    <row r="1002" spans="18:18" ht="15.75" customHeight="1">
      <c r="R1002" s="4" t="s">
        <v>55</v>
      </c>
    </row>
  </sheetData>
  <mergeCells count="5">
    <mergeCell ref="B31:C31"/>
    <mergeCell ref="B2:G2"/>
    <mergeCell ref="B12:G12"/>
    <mergeCell ref="J10:N10"/>
    <mergeCell ref="K21:N21"/>
  </mergeCells>
  <hyperlinks>
    <hyperlink ref="C20" r:id="rId1" xr:uid="{00000000-0004-0000-0000-000000000000}"/>
    <hyperlink ref="C13" r:id="rId2" xr:uid="{AFE89736-0B08-43A5-A77C-2A5125F0AE79}"/>
  </hyperlink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</sheetPr>
  <dimension ref="A1:Z1000"/>
  <sheetViews>
    <sheetView showGridLines="0" topLeftCell="C1" workbookViewId="0">
      <selection activeCell="F35" sqref="F35"/>
    </sheetView>
  </sheetViews>
  <sheetFormatPr baseColWidth="10" defaultColWidth="12.7109375" defaultRowHeight="15" customHeight="1"/>
  <cols>
    <col min="1" max="1" width="28" customWidth="1"/>
    <col min="2" max="2" width="40.28515625" customWidth="1"/>
    <col min="3" max="3" width="18" bestFit="1" customWidth="1"/>
    <col min="4" max="4" width="16.28515625" bestFit="1" customWidth="1"/>
    <col min="5" max="5" width="17.28515625" customWidth="1"/>
    <col min="6" max="6" width="19.28515625" customWidth="1"/>
    <col min="7" max="7" width="20.85546875" customWidth="1"/>
    <col min="8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20">
        <f>InfoInicial!E1</f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02" t="s">
        <v>629</v>
      </c>
      <c r="B2" s="77"/>
      <c r="C2" s="77"/>
      <c r="D2" s="77"/>
      <c r="E2" s="77"/>
      <c r="F2" s="77"/>
      <c r="G2" s="7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535"/>
      <c r="B3" s="536" t="s">
        <v>630</v>
      </c>
      <c r="C3" s="536"/>
      <c r="D3" s="536"/>
      <c r="E3" s="536"/>
      <c r="F3" s="536"/>
      <c r="G3" s="53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103" t="s">
        <v>444</v>
      </c>
      <c r="B4" s="104" t="s">
        <v>14</v>
      </c>
      <c r="C4" s="435" t="s">
        <v>2</v>
      </c>
      <c r="D4" s="435" t="s">
        <v>3</v>
      </c>
      <c r="E4" s="435" t="s">
        <v>4</v>
      </c>
      <c r="F4" s="435" t="s">
        <v>5</v>
      </c>
      <c r="G4" s="436" t="s">
        <v>6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538" t="s">
        <v>631</v>
      </c>
      <c r="B5" s="539"/>
      <c r="C5" s="438"/>
      <c r="D5" s="438"/>
      <c r="E5" s="438"/>
      <c r="F5" s="438"/>
      <c r="G5" s="439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540" t="s">
        <v>632</v>
      </c>
      <c r="B6" s="541"/>
      <c r="C6" s="441">
        <f>'E-Costos'!C7*InfoInicial!$B$3</f>
        <v>265296969</v>
      </c>
      <c r="D6" s="441">
        <f>'E-Costos'!D7*InfoInicial!$B$3</f>
        <v>249419898</v>
      </c>
      <c r="E6" s="441">
        <f>'E-Costos'!E7*InfoInicial!$B$3</f>
        <v>249419898</v>
      </c>
      <c r="F6" s="441">
        <f>'E-Costos'!F7*InfoInicial!$B$3</f>
        <v>249419898</v>
      </c>
      <c r="G6" s="441">
        <f>'E-Costos'!G7*InfoInicial!$B$3</f>
        <v>249419898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540" t="s">
        <v>515</v>
      </c>
      <c r="B7" s="541"/>
      <c r="C7" s="441">
        <f>'E-Costos'!C12*InfoInicial!$B$3</f>
        <v>4498644.9994061626</v>
      </c>
      <c r="D7" s="441">
        <f>'E-Costos'!D12*InfoInicial!$B$3</f>
        <v>4284304.540906162</v>
      </c>
      <c r="E7" s="441">
        <f>'E-Costos'!E12*InfoInicial!$B$3</f>
        <v>4284304.540906162</v>
      </c>
      <c r="F7" s="441">
        <f>'E-Costos'!F12*InfoInicial!$B$3</f>
        <v>4284304.540906162</v>
      </c>
      <c r="G7" s="441">
        <f>'E-Costos'!G12*InfoInicial!$B$3</f>
        <v>4284304.540906162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540" t="s">
        <v>322</v>
      </c>
      <c r="B8" s="541"/>
      <c r="C8" s="441">
        <f>'E-Costos'!C13*InfoInicial!$B$3</f>
        <v>1659637.2683726104</v>
      </c>
      <c r="D8" s="441">
        <f>'E-Costos'!D13*InfoInicial!$B$3</f>
        <v>1659637.2683726104</v>
      </c>
      <c r="E8" s="441">
        <f>'E-Costos'!E13*InfoInicial!$B$3</f>
        <v>1659637.2683726104</v>
      </c>
      <c r="F8" s="441">
        <f>'E-Costos'!F13*InfoInicial!$B$3</f>
        <v>1659637.2683726104</v>
      </c>
      <c r="G8" s="441">
        <f>'E-Costos'!G13*InfoInicial!$B$3</f>
        <v>1659637.2683726104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540" t="s">
        <v>516</v>
      </c>
      <c r="B9" s="541"/>
      <c r="C9" s="441">
        <f>'E-Costos'!C14*0.21</f>
        <v>0</v>
      </c>
      <c r="D9" s="441">
        <f>'E-Costos'!D14*0.21</f>
        <v>0</v>
      </c>
      <c r="E9" s="441">
        <f>'E-Costos'!E14*0.21</f>
        <v>0</v>
      </c>
      <c r="F9" s="441">
        <f>'E-Costos'!F14*0.21</f>
        <v>0</v>
      </c>
      <c r="G9" s="441">
        <f>'E-Costos'!G14*0.21</f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540" t="s">
        <v>633</v>
      </c>
      <c r="B10" s="541"/>
      <c r="C10" s="441"/>
      <c r="D10" s="441"/>
      <c r="E10" s="441"/>
      <c r="F10" s="441"/>
      <c r="G10" s="44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540" t="s">
        <v>634</v>
      </c>
      <c r="B11" s="541"/>
      <c r="C11" s="441"/>
      <c r="D11" s="441"/>
      <c r="E11" s="441"/>
      <c r="F11" s="441"/>
      <c r="G11" s="44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542" t="s">
        <v>508</v>
      </c>
      <c r="B12" s="541"/>
      <c r="C12" s="441">
        <f>SUM(C6:C11)</f>
        <v>271455251.26777875</v>
      </c>
      <c r="D12" s="441">
        <f t="shared" ref="D12:G12" si="0">SUM(D6:D11)</f>
        <v>255363839.80927879</v>
      </c>
      <c r="E12" s="441">
        <f t="shared" si="0"/>
        <v>255363839.80927879</v>
      </c>
      <c r="F12" s="441">
        <f t="shared" si="0"/>
        <v>255363839.80927879</v>
      </c>
      <c r="G12" s="441">
        <f t="shared" si="0"/>
        <v>255363839.80927879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540" t="s">
        <v>635</v>
      </c>
      <c r="B13" s="541"/>
      <c r="C13" s="441">
        <f>('E-Costos'!H45-'E-Costos'!H34)*InfoInicial!B3</f>
        <v>12903096.625749601</v>
      </c>
      <c r="D13" s="441"/>
      <c r="E13" s="441"/>
      <c r="F13" s="441"/>
      <c r="G13" s="44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540" t="s">
        <v>636</v>
      </c>
      <c r="B14" s="541"/>
      <c r="C14" s="441"/>
      <c r="D14" s="441"/>
      <c r="E14" s="441"/>
      <c r="F14" s="441"/>
      <c r="G14" s="44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540" t="s">
        <v>637</v>
      </c>
      <c r="B15" s="541"/>
      <c r="C15" s="441">
        <f>'E-InvAT'!C32</f>
        <v>2550635.053171007</v>
      </c>
      <c r="D15" s="441">
        <f>'E-InvAT'!D32</f>
        <v>-238678.46358215844</v>
      </c>
      <c r="E15" s="441">
        <f>'E-InvAT'!E32</f>
        <v>0</v>
      </c>
      <c r="F15" s="441">
        <f>'E-InvAT'!F32</f>
        <v>0</v>
      </c>
      <c r="G15" s="441">
        <f>'E-InvAT'!G32</f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540" t="s">
        <v>638</v>
      </c>
      <c r="B16" s="541"/>
      <c r="C16" s="441">
        <f>'E-InvAT'!C33</f>
        <v>5875840.7247429471</v>
      </c>
      <c r="D16" s="441">
        <f>'E-InvAT'!D33</f>
        <v>-918294.7304305546</v>
      </c>
      <c r="E16" s="441">
        <f>'E-InvAT'!E33</f>
        <v>0</v>
      </c>
      <c r="F16" s="441">
        <f>'E-InvAT'!F33</f>
        <v>0</v>
      </c>
      <c r="G16" s="441">
        <f>'E-InvAT'!G33</f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542" t="s">
        <v>639</v>
      </c>
      <c r="B17" s="541"/>
      <c r="C17" s="441">
        <f>C12-SUM(C13:C16)</f>
        <v>250125678.86411521</v>
      </c>
      <c r="D17" s="441">
        <f t="shared" ref="D17:G17" si="1">D12-SUM(D13:D16)</f>
        <v>256520813.00329149</v>
      </c>
      <c r="E17" s="441">
        <f t="shared" si="1"/>
        <v>255363839.80927879</v>
      </c>
      <c r="F17" s="441">
        <f t="shared" si="1"/>
        <v>255363839.80927879</v>
      </c>
      <c r="G17" s="441">
        <f t="shared" si="1"/>
        <v>255363839.80927879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542" t="s">
        <v>640</v>
      </c>
      <c r="B18" s="541"/>
      <c r="C18" s="441">
        <f>SUM('E-Costos'!C66:C69)*InfoInicial!$B$3</f>
        <v>336943.38714640524</v>
      </c>
      <c r="D18" s="441">
        <f>SUM('E-Costos'!D66:D69)*InfoInicial!$B$3</f>
        <v>325035.58389640524</v>
      </c>
      <c r="E18" s="441">
        <f>SUM('E-Costos'!E66:E69)*InfoInicial!$B$3</f>
        <v>325035.58389640524</v>
      </c>
      <c r="F18" s="441">
        <f>SUM('E-Costos'!F66:F69)*InfoInicial!$B$3</f>
        <v>325035.58389640524</v>
      </c>
      <c r="G18" s="441">
        <f>SUM('E-Costos'!G66:G69)*InfoInicial!$B$3</f>
        <v>325035.58389640524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542" t="s">
        <v>641</v>
      </c>
      <c r="B19" s="541"/>
      <c r="C19" s="441">
        <f>SUM('E-Costos'!C87:C91)*InfoInicial!$B$3</f>
        <v>1104164.8221892312</v>
      </c>
      <c r="D19" s="441">
        <f>SUM('E-Costos'!D87:D91)*InfoInicial!$B$3</f>
        <v>1092257.0189392313</v>
      </c>
      <c r="E19" s="441">
        <f>SUM('E-Costos'!E87:E91)*InfoInicial!$B$3</f>
        <v>1092257.0189392313</v>
      </c>
      <c r="F19" s="441">
        <f>SUM('E-Costos'!F87:F91)*InfoInicial!$B$3</f>
        <v>1092257.0189392313</v>
      </c>
      <c r="G19" s="441">
        <f>SUM('E-Costos'!G87:G91)*InfoInicial!$B$3</f>
        <v>1092257.0189392313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542"/>
      <c r="B20" s="541"/>
      <c r="C20" s="441"/>
      <c r="D20" s="441"/>
      <c r="E20" s="441"/>
      <c r="F20" s="441"/>
      <c r="G20" s="44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540" t="s">
        <v>642</v>
      </c>
      <c r="B21" s="541"/>
      <c r="C21" s="441">
        <f>SUM(C17:C19)</f>
        <v>251566787.07345086</v>
      </c>
      <c r="D21" s="441">
        <f t="shared" ref="D21:G21" si="2">SUM(D17:D19)</f>
        <v>257938105.60612711</v>
      </c>
      <c r="E21" s="441">
        <f t="shared" si="2"/>
        <v>256781132.41211441</v>
      </c>
      <c r="F21" s="441">
        <f t="shared" si="2"/>
        <v>256781132.41211441</v>
      </c>
      <c r="G21" s="441">
        <f t="shared" si="2"/>
        <v>256781132.41211441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540" t="s">
        <v>643</v>
      </c>
      <c r="B22" s="541"/>
      <c r="C22" s="441">
        <f>'E-Costos'!C114*InfoInicial!$B$3</f>
        <v>297675000</v>
      </c>
      <c r="D22" s="441">
        <f>'E-Costos'!D114*InfoInicial!$B$3</f>
        <v>416745000</v>
      </c>
      <c r="E22" s="441">
        <f>'E-Costos'!E114*InfoInicial!$B$3</f>
        <v>416745000</v>
      </c>
      <c r="F22" s="441">
        <f>'E-Costos'!F114*InfoInicial!$B$3</f>
        <v>416745000</v>
      </c>
      <c r="G22" s="441">
        <f>'E-Costos'!G114*InfoInicial!$B$3</f>
        <v>416745000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542" t="s">
        <v>644</v>
      </c>
      <c r="B23" s="541"/>
      <c r="C23" s="441">
        <f>IF(C21&lt;0,C22+C21,C22-C21)</f>
        <v>46108212.926549137</v>
      </c>
      <c r="D23" s="441">
        <f t="shared" ref="D23:G23" si="3">IF(D21&lt;0,D22+D21,D22-D21)</f>
        <v>158806894.39387289</v>
      </c>
      <c r="E23" s="441">
        <f t="shared" si="3"/>
        <v>159963867.58788559</v>
      </c>
      <c r="F23" s="441">
        <f t="shared" si="3"/>
        <v>159963867.58788559</v>
      </c>
      <c r="G23" s="441">
        <f t="shared" si="3"/>
        <v>159963867.58788559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540"/>
      <c r="B24" s="541"/>
      <c r="C24" s="441"/>
      <c r="D24" s="441"/>
      <c r="E24" s="441"/>
      <c r="F24" s="441"/>
      <c r="G24" s="44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543" t="s">
        <v>645</v>
      </c>
      <c r="B25" s="541"/>
      <c r="C25" s="441">
        <f t="shared" ref="C25:D25" si="4">B27</f>
        <v>62056335.882382587</v>
      </c>
      <c r="D25" s="441">
        <f t="shared" si="4"/>
        <v>96792567.574118197</v>
      </c>
      <c r="E25" s="441">
        <f>D27</f>
        <v>0</v>
      </c>
      <c r="F25" s="441">
        <f>E27</f>
        <v>0</v>
      </c>
      <c r="G25" s="441">
        <f>F27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543" t="s">
        <v>646</v>
      </c>
      <c r="B26" s="541">
        <f>'E-Cal Inv.'!B23+'E-Cal Inv.'!C23</f>
        <v>62056335.882382587</v>
      </c>
      <c r="C26" s="441">
        <f>'E-Cal Inv.'!D23</f>
        <v>80844444.618284732</v>
      </c>
      <c r="D26" s="441">
        <f>'E-Cal Inv.'!E23</f>
        <v>12131105.897041362</v>
      </c>
      <c r="E26" s="441">
        <f>'E-Cal Inv.'!F23</f>
        <v>-217.7429526336584</v>
      </c>
      <c r="F26" s="441">
        <f>'E-Cal Inv.'!G23</f>
        <v>0</v>
      </c>
      <c r="G26" s="441">
        <f>'E-Cal Inv.'!H23</f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542" t="s">
        <v>647</v>
      </c>
      <c r="B27" s="541">
        <f>B26-B23</f>
        <v>62056335.882382587</v>
      </c>
      <c r="C27" s="441">
        <f>IF(C26+C25-C23&lt;0,0,C26+C25-C23)</f>
        <v>96792567.574118197</v>
      </c>
      <c r="D27" s="441">
        <f>IF(D26+D25-D23&lt;0,0,D26+D25-D23)</f>
        <v>0</v>
      </c>
      <c r="E27" s="441">
        <f t="shared" ref="E27" si="5">IF(E26+E25-E23&lt;0,0,E26+E25-E23)</f>
        <v>0</v>
      </c>
      <c r="F27" s="441">
        <f>IF(F26+F25-F23&lt;0,0,F26+F25-F23)</f>
        <v>0</v>
      </c>
      <c r="G27" s="441">
        <f t="shared" ref="G27" si="6">IF(G26+G25-G23&lt;0,0,G26+G25-G23)</f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542" t="s">
        <v>648</v>
      </c>
      <c r="B28" s="541"/>
      <c r="C28" s="441">
        <f>B27-C27+C26</f>
        <v>46108212.926549122</v>
      </c>
      <c r="D28" s="441">
        <f t="shared" ref="D28:E28" si="7">C27-D27+D26</f>
        <v>108923673.47115956</v>
      </c>
      <c r="E28" s="441">
        <f t="shared" si="7"/>
        <v>-217.7429526336584</v>
      </c>
      <c r="F28" s="441">
        <f>E27-F27+F26</f>
        <v>0</v>
      </c>
      <c r="G28" s="441">
        <f t="shared" ref="G28" si="8">F27-G27+G26</f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540"/>
      <c r="B29" s="541"/>
      <c r="C29" s="441"/>
      <c r="D29" s="441"/>
      <c r="E29" s="441"/>
      <c r="F29" s="441"/>
      <c r="G29" s="44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563" t="s">
        <v>649</v>
      </c>
      <c r="B30" s="544"/>
      <c r="C30" s="448">
        <f>C23-C28</f>
        <v>0</v>
      </c>
      <c r="D30" s="448">
        <f t="shared" ref="D30:G30" si="9">D23-D28</f>
        <v>49883220.922713324</v>
      </c>
      <c r="E30" s="448">
        <f t="shared" si="9"/>
        <v>159964085.33083823</v>
      </c>
      <c r="F30" s="448">
        <f t="shared" si="9"/>
        <v>159963867.58788559</v>
      </c>
      <c r="G30" s="448">
        <f t="shared" si="9"/>
        <v>159963867.58788559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239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25972222222222202" right="0.45972222222222198" top="1.27013888888889" bottom="1" header="0" footer="0"/>
  <pageSetup paperSize="9" orientation="landscape"/>
  <ignoredErrors>
    <ignoredError sqref="G26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</sheetPr>
  <dimension ref="A1:Z1000"/>
  <sheetViews>
    <sheetView showGridLines="0" workbookViewId="0">
      <selection activeCell="C20" sqref="C20"/>
    </sheetView>
  </sheetViews>
  <sheetFormatPr baseColWidth="10" defaultColWidth="12.7109375" defaultRowHeight="15" customHeight="1"/>
  <cols>
    <col min="1" max="1" width="28" customWidth="1"/>
    <col min="2" max="2" width="18.85546875" customWidth="1"/>
    <col min="3" max="3" width="19.42578125" customWidth="1"/>
    <col min="4" max="4" width="25.5703125" customWidth="1"/>
    <col min="5" max="5" width="18.42578125" customWidth="1"/>
    <col min="6" max="6" width="19.85546875" customWidth="1"/>
    <col min="7" max="7" width="15.7109375" customWidth="1"/>
    <col min="8" max="8" width="17.140625" customWidth="1"/>
    <col min="9" max="9" width="21.28515625" customWidth="1"/>
    <col min="10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20">
        <f>InfoInicial!E1</f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53" t="s">
        <v>650</v>
      </c>
      <c r="B3" s="77"/>
      <c r="C3" s="77"/>
      <c r="D3" s="77"/>
      <c r="E3" s="77"/>
      <c r="F3" s="77"/>
      <c r="G3" s="77"/>
      <c r="H3" s="77"/>
      <c r="I3" s="7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79" t="s">
        <v>444</v>
      </c>
      <c r="B4" s="104" t="s">
        <v>651</v>
      </c>
      <c r="C4" s="104" t="s">
        <v>652</v>
      </c>
      <c r="D4" s="435" t="s">
        <v>2</v>
      </c>
      <c r="E4" s="435" t="s">
        <v>3</v>
      </c>
      <c r="F4" s="435" t="s">
        <v>4</v>
      </c>
      <c r="G4" s="435" t="s">
        <v>5</v>
      </c>
      <c r="H4" s="545" t="s">
        <v>6</v>
      </c>
      <c r="I4" s="436" t="s">
        <v>595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37" t="s">
        <v>653</v>
      </c>
      <c r="B5" s="438"/>
      <c r="C5" s="438"/>
      <c r="D5" s="438"/>
      <c r="E5" s="438"/>
      <c r="F5" s="438"/>
      <c r="G5" s="438"/>
      <c r="H5" s="546"/>
      <c r="I5" s="43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40" t="s">
        <v>654</v>
      </c>
      <c r="B6" s="441">
        <f>'E-Inv AF y Am'!B21</f>
        <v>178373548.63124999</v>
      </c>
      <c r="C6" s="441">
        <v>0</v>
      </c>
      <c r="D6" s="441">
        <v>0</v>
      </c>
      <c r="E6" s="441">
        <v>0</v>
      </c>
      <c r="F6" s="441">
        <v>0</v>
      </c>
      <c r="G6" s="441">
        <v>0</v>
      </c>
      <c r="H6" s="547">
        <v>0</v>
      </c>
      <c r="I6" s="442">
        <f t="shared" ref="I6:I7" si="0">SUM(B6:H6)</f>
        <v>178373548.63124999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40" t="s">
        <v>655</v>
      </c>
      <c r="B7" s="441">
        <f>0</f>
        <v>0</v>
      </c>
      <c r="C7" s="441">
        <f>'E-Inv AF y Am'!B33</f>
        <v>113848598.15000001</v>
      </c>
      <c r="D7" s="441">
        <f>'E-Inv AF y Am'!C33</f>
        <v>177258991.25894368</v>
      </c>
      <c r="E7" s="441">
        <v>0</v>
      </c>
      <c r="F7" s="441">
        <v>0</v>
      </c>
      <c r="G7" s="441">
        <v>0</v>
      </c>
      <c r="H7" s="547">
        <v>0</v>
      </c>
      <c r="I7" s="442">
        <f t="shared" si="0"/>
        <v>291107589.40894365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37" t="s">
        <v>656</v>
      </c>
      <c r="B8" s="441">
        <f>SUM(B6:B7)</f>
        <v>178373548.63124999</v>
      </c>
      <c r="C8" s="441">
        <f>SUM(C6:C7)</f>
        <v>113848598.15000001</v>
      </c>
      <c r="D8" s="441">
        <f>SUM(D6:D7)</f>
        <v>177258991.25894368</v>
      </c>
      <c r="E8" s="441">
        <f t="shared" ref="E8:H8" si="1">SUM(E6:E7)</f>
        <v>0</v>
      </c>
      <c r="F8" s="441">
        <f t="shared" si="1"/>
        <v>0</v>
      </c>
      <c r="G8" s="441">
        <f t="shared" si="1"/>
        <v>0</v>
      </c>
      <c r="H8" s="441">
        <f t="shared" si="1"/>
        <v>0</v>
      </c>
      <c r="I8" s="442">
        <f>SUM(B8:H8)</f>
        <v>469481138.04019368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40"/>
      <c r="B9" s="441"/>
      <c r="C9" s="441"/>
      <c r="D9" s="441"/>
      <c r="E9" s="441"/>
      <c r="F9" s="441"/>
      <c r="G9" s="441"/>
      <c r="H9" s="547"/>
      <c r="I9" s="44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37" t="s">
        <v>657</v>
      </c>
      <c r="B10" s="441"/>
      <c r="C10" s="441"/>
      <c r="D10" s="441"/>
      <c r="E10" s="441"/>
      <c r="F10" s="441"/>
      <c r="G10" s="441"/>
      <c r="H10" s="547"/>
      <c r="I10" s="44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40" t="s">
        <v>658</v>
      </c>
      <c r="B11" s="441"/>
      <c r="C11" s="441">
        <f>'E-InvAT'!B6</f>
        <v>2268000</v>
      </c>
      <c r="D11" s="441">
        <f>'E-InvAT'!C6-'E-InvAT'!B6</f>
        <v>26082000</v>
      </c>
      <c r="E11" s="441">
        <f>'E-InvAT'!D6-'E-InvAT'!C6</f>
        <v>11340000</v>
      </c>
      <c r="F11" s="441">
        <f>'E-InvAT'!E6-'E-InvAT'!D6</f>
        <v>0</v>
      </c>
      <c r="G11" s="441">
        <f>'E-InvAT'!F6-'E-InvAT'!E6</f>
        <v>0</v>
      </c>
      <c r="H11" s="547">
        <f>'E-InvAT'!G6-'E-InvAT'!F6</f>
        <v>0</v>
      </c>
      <c r="I11" s="442">
        <f>SUM(C11:H11)</f>
        <v>39690000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40" t="s">
        <v>659</v>
      </c>
      <c r="B12" s="441"/>
      <c r="C12" s="441"/>
      <c r="D12" s="919">
        <f>'E-InvAT'!C7</f>
        <v>116506849.3150685</v>
      </c>
      <c r="E12" s="919">
        <f>'E-InvAT'!D7-'E-InvAT'!C7</f>
        <v>46602739.726027384</v>
      </c>
      <c r="F12" s="919">
        <f>'E-InvAT'!E7-'E-InvAT'!D7</f>
        <v>0</v>
      </c>
      <c r="G12" s="919">
        <f>'E-InvAT'!F7-'E-InvAT'!E7</f>
        <v>0</v>
      </c>
      <c r="H12" s="919">
        <f>'E-InvAT'!G7-'E-InvAT'!F7</f>
        <v>0</v>
      </c>
      <c r="I12" s="920">
        <f>SUM(B12:H12)</f>
        <v>163109589.04109588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440" t="s">
        <v>660</v>
      </c>
      <c r="B13" s="441"/>
      <c r="C13" s="441"/>
      <c r="D13" s="441"/>
      <c r="E13" s="441"/>
      <c r="F13" s="441"/>
      <c r="G13" s="441"/>
      <c r="H13" s="547"/>
      <c r="I13" s="442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40" t="s">
        <v>661</v>
      </c>
      <c r="B14" s="441"/>
      <c r="C14" s="441">
        <f>'E-InvAT'!B10</f>
        <v>435014.463429</v>
      </c>
      <c r="D14" s="441">
        <f>'E-InvAT'!C10-'E-InvAT'!B10</f>
        <v>43966485.536570996</v>
      </c>
      <c r="E14" s="441">
        <f>'E-InvAT'!D10-'E-InvAT'!C10</f>
        <v>0</v>
      </c>
      <c r="F14" s="441">
        <f>'E-InvAT'!E10-'E-InvAT'!D10</f>
        <v>0</v>
      </c>
      <c r="G14" s="441">
        <f>'E-InvAT'!F10-'E-InvAT'!E10</f>
        <v>0</v>
      </c>
      <c r="H14" s="547">
        <f>'E-InvAT'!G10-'E-InvAT'!F10</f>
        <v>0</v>
      </c>
      <c r="I14" s="442">
        <f t="shared" ref="I14:I18" si="2">SUM(C14:H14)</f>
        <v>44401499.999999993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40" t="s">
        <v>662</v>
      </c>
      <c r="B15" s="441"/>
      <c r="C15" s="441">
        <f>'E-InvAT'!B11</f>
        <v>581200.10000000009</v>
      </c>
      <c r="D15" s="441">
        <f>'E-InvAT'!C11-'E-InvAT'!B11</f>
        <v>1307823.0661843747</v>
      </c>
      <c r="E15" s="441">
        <f>'E-InvAT'!D11-'E-InvAT'!C11</f>
        <v>0</v>
      </c>
      <c r="F15" s="441">
        <f>'E-InvAT'!E11-'E-InvAT'!D11</f>
        <v>0</v>
      </c>
      <c r="G15" s="441">
        <f>'E-InvAT'!F11-'E-InvAT'!E11</f>
        <v>0</v>
      </c>
      <c r="H15" s="547">
        <f>'E-InvAT'!G11-'E-InvAT'!F11</f>
        <v>0</v>
      </c>
      <c r="I15" s="442">
        <f t="shared" si="2"/>
        <v>1889023.1661843748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921" t="s">
        <v>663</v>
      </c>
      <c r="B16" s="441"/>
      <c r="C16" s="441"/>
      <c r="D16" s="919">
        <f>'E-Costos'!C46</f>
        <v>13195136.041492481</v>
      </c>
      <c r="E16" s="919">
        <f>'E-Costos'!D46-'E-Costos'!C46</f>
        <v>-159197.34242744744</v>
      </c>
      <c r="F16" s="919">
        <f>'E-Costos'!E46-'E-Costos'!D46</f>
        <v>0</v>
      </c>
      <c r="G16" s="919">
        <f>'E-Costos'!F46-'E-Costos'!E46</f>
        <v>0</v>
      </c>
      <c r="H16" s="919">
        <f>'E-Costos'!G46-'E-Costos'!F46</f>
        <v>0</v>
      </c>
      <c r="I16" s="920">
        <f t="shared" si="2"/>
        <v>13035938.699065033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40" t="s">
        <v>664</v>
      </c>
      <c r="B17" s="441"/>
      <c r="C17" s="441"/>
      <c r="D17" s="441">
        <f>'E-InvAT'!C13-'E-InvAT'!C18</f>
        <v>6656260.5830958411</v>
      </c>
      <c r="E17" s="441">
        <f>('E-InvAT'!D13-'E-InvAT'!D18)-('E-InvAT'!C13-'E-InvAT'!C18)</f>
        <v>-16371.445307736285</v>
      </c>
      <c r="F17" s="441">
        <f>('E-InvAT'!E13-'E-InvAT'!E18)-('E-InvAT'!D13-'E-InvAT'!D18)</f>
        <v>-1036.8712030174211</v>
      </c>
      <c r="G17" s="441">
        <f>('E-InvAT'!F13-'E-InvAT'!F18)-('E-InvAT'!E13-'E-InvAT'!E18)</f>
        <v>0</v>
      </c>
      <c r="H17" s="441">
        <f>('E-InvAT'!G13-'E-InvAT'!G18)-('E-InvAT'!F13-'E-InvAT'!F18)</f>
        <v>0</v>
      </c>
      <c r="I17" s="442">
        <f t="shared" si="2"/>
        <v>6638852.2665850874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37" t="s">
        <v>665</v>
      </c>
      <c r="B18" s="441"/>
      <c r="C18" s="441">
        <f>SUM(C11:C17)</f>
        <v>3284214.5634290003</v>
      </c>
      <c r="D18" s="441">
        <f>SUM(D11:D17)</f>
        <v>207714554.54241219</v>
      </c>
      <c r="E18" s="441">
        <f>SUM(E11:E17)</f>
        <v>57767170.938292198</v>
      </c>
      <c r="F18" s="441">
        <f t="shared" ref="F18:H18" si="3">SUM(F11:F17)</f>
        <v>-1036.8712030174211</v>
      </c>
      <c r="G18" s="441">
        <f t="shared" si="3"/>
        <v>0</v>
      </c>
      <c r="H18" s="441">
        <f t="shared" si="3"/>
        <v>0</v>
      </c>
      <c r="I18" s="442">
        <f t="shared" si="2"/>
        <v>268764903.17293036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40"/>
      <c r="B19" s="441"/>
      <c r="C19" s="441"/>
      <c r="D19" s="441"/>
      <c r="E19" s="441"/>
      <c r="F19" s="441"/>
      <c r="G19" s="441"/>
      <c r="H19" s="547"/>
      <c r="I19" s="44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37" t="s">
        <v>666</v>
      </c>
      <c r="B20" s="441"/>
      <c r="C20" s="441"/>
      <c r="D20" s="441"/>
      <c r="E20" s="441"/>
      <c r="F20" s="441"/>
      <c r="G20" s="441"/>
      <c r="H20" s="547"/>
      <c r="I20" s="44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40" t="s">
        <v>667</v>
      </c>
      <c r="B21" s="441">
        <f>B8*InfoInicial!B3</f>
        <v>37458445.212562494</v>
      </c>
      <c r="C21" s="441">
        <f>C8*InfoInicial!B3</f>
        <v>23908205.611499999</v>
      </c>
      <c r="D21" s="441">
        <f>D8*InfoInicial!B3</f>
        <v>37224388.164378174</v>
      </c>
      <c r="E21" s="441">
        <f>E8*InfoInicial!B3</f>
        <v>0</v>
      </c>
      <c r="F21" s="441">
        <f>F8*InfoInicial!B3</f>
        <v>0</v>
      </c>
      <c r="G21" s="441">
        <f t="shared" ref="G21:H21" si="4">0.21*G8</f>
        <v>0</v>
      </c>
      <c r="H21" s="441">
        <f t="shared" si="4"/>
        <v>0</v>
      </c>
      <c r="I21" s="442">
        <f>SUM(B21:H21)</f>
        <v>98591038.988440663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40" t="s">
        <v>668</v>
      </c>
      <c r="C22" s="441">
        <f>C18*InfoInicial!B3</f>
        <v>689685.05832009006</v>
      </c>
      <c r="D22" s="441">
        <f>D18*InfoInicial!B3</f>
        <v>43620056.453906558</v>
      </c>
      <c r="E22" s="441">
        <f>E18*InfoInicial!B3</f>
        <v>12131105.897041362</v>
      </c>
      <c r="F22" s="441">
        <f>F18*InfoInicial!B3</f>
        <v>-217.7429526336584</v>
      </c>
      <c r="G22" s="441">
        <f>G18*InfoInicial!B3</f>
        <v>0</v>
      </c>
      <c r="H22" s="441">
        <f>H18*InfoInicial!B3</f>
        <v>0</v>
      </c>
      <c r="I22" s="442">
        <f>SUM(C22:H22)</f>
        <v>56440629.666315369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37" t="s">
        <v>669</v>
      </c>
      <c r="B23" s="441">
        <f>SUM(B21:B22)</f>
        <v>37458445.212562494</v>
      </c>
      <c r="C23" s="441">
        <f>SUM(C21:C22)</f>
        <v>24597890.669820089</v>
      </c>
      <c r="D23" s="441">
        <f>SUM(D21:D22)</f>
        <v>80844444.618284732</v>
      </c>
      <c r="E23" s="441">
        <f t="shared" ref="E23:H23" si="5">SUM(E21:E22)</f>
        <v>12131105.897041362</v>
      </c>
      <c r="F23" s="441">
        <f t="shared" si="5"/>
        <v>-217.7429526336584</v>
      </c>
      <c r="G23" s="441">
        <f t="shared" si="5"/>
        <v>0</v>
      </c>
      <c r="H23" s="441">
        <f t="shared" si="5"/>
        <v>0</v>
      </c>
      <c r="I23" s="442">
        <f>SUM(B23:H23)</f>
        <v>155031668.65475604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37"/>
      <c r="B24" s="441"/>
      <c r="C24" s="441"/>
      <c r="D24" s="441"/>
      <c r="E24" s="441"/>
      <c r="F24" s="441"/>
      <c r="G24" s="441"/>
      <c r="H24" s="547"/>
      <c r="I24" s="44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47" t="s">
        <v>670</v>
      </c>
      <c r="B25" s="448">
        <f>B8+B18+B23</f>
        <v>215831993.8438125</v>
      </c>
      <c r="C25" s="448">
        <f>C8+C18+C23</f>
        <v>141730703.3832491</v>
      </c>
      <c r="D25" s="448">
        <f>D8+D18+D23</f>
        <v>465817990.41964054</v>
      </c>
      <c r="E25" s="448">
        <f t="shared" ref="E25:H25" si="6">E8+E18+E23</f>
        <v>69898276.835333556</v>
      </c>
      <c r="F25" s="448">
        <f t="shared" si="6"/>
        <v>-1254.6141556510795</v>
      </c>
      <c r="G25" s="448">
        <f t="shared" si="6"/>
        <v>0</v>
      </c>
      <c r="H25" s="448">
        <f t="shared" si="6"/>
        <v>0</v>
      </c>
      <c r="I25" s="548">
        <f>SUM(B25:H25)</f>
        <v>893277709.86788011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/>
    <row r="227" spans="1:26" ht="15.75" customHeight="1"/>
    <row r="228" spans="1:26" ht="15.75" customHeight="1"/>
    <row r="229" spans="1:26" ht="15.75" customHeight="1"/>
    <row r="230" spans="1:26" ht="15.75" customHeight="1"/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25972222222222202" right="0.45972222222222198" top="1.27013888888889" bottom="1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</sheetPr>
  <dimension ref="A1:Z1000"/>
  <sheetViews>
    <sheetView showGridLines="0" workbookViewId="0">
      <selection activeCell="C23" sqref="C23"/>
    </sheetView>
  </sheetViews>
  <sheetFormatPr baseColWidth="10" defaultColWidth="12.7109375" defaultRowHeight="15" customHeight="1"/>
  <cols>
    <col min="1" max="1" width="7.85546875" customWidth="1"/>
    <col min="2" max="2" width="22.7109375" customWidth="1"/>
    <col min="3" max="3" width="31" customWidth="1"/>
    <col min="4" max="4" width="19.7109375" customWidth="1"/>
    <col min="5" max="5" width="16.28515625" bestFit="1" customWidth="1"/>
    <col min="6" max="6" width="18" customWidth="1"/>
    <col min="7" max="7" width="26.42578125" customWidth="1"/>
    <col min="8" max="8" width="18.28515625" customWidth="1"/>
    <col min="9" max="9" width="16.28515625" bestFit="1" customWidth="1"/>
    <col min="10" max="10" width="22.140625" customWidth="1"/>
    <col min="11" max="11" width="18.7109375" customWidth="1"/>
    <col min="12" max="13" width="19.7109375" bestFit="1" customWidth="1"/>
    <col min="14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3"/>
      <c r="F1" s="3"/>
      <c r="G1" s="3">
        <f>InfoInicial!E1</f>
        <v>9</v>
      </c>
      <c r="H1" s="20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02" t="s">
        <v>671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103" t="s">
        <v>672</v>
      </c>
      <c r="B3" s="104" t="s">
        <v>673</v>
      </c>
      <c r="C3" s="104" t="s">
        <v>674</v>
      </c>
      <c r="D3" s="104" t="s">
        <v>675</v>
      </c>
      <c r="E3" s="104" t="s">
        <v>61</v>
      </c>
      <c r="F3" s="104" t="s">
        <v>676</v>
      </c>
      <c r="G3" s="104" t="s">
        <v>677</v>
      </c>
      <c r="H3" s="104" t="s">
        <v>678</v>
      </c>
      <c r="I3" s="104" t="s">
        <v>295</v>
      </c>
      <c r="J3" s="104" t="s">
        <v>679</v>
      </c>
      <c r="K3" s="104" t="s">
        <v>680</v>
      </c>
      <c r="L3" s="105" t="s">
        <v>681</v>
      </c>
      <c r="M3" s="106" t="s">
        <v>682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107">
        <v>0</v>
      </c>
      <c r="B4" s="539">
        <f>'E-Inv AF y Am'!B35</f>
        <v>292222146.78125</v>
      </c>
      <c r="C4" s="438">
        <f>'E-Cal Inv.'!C18</f>
        <v>3284214.5634290003</v>
      </c>
      <c r="D4" s="438">
        <f>'E-Cal Inv.'!B23+'E-Cal Inv.'!C23</f>
        <v>62056335.882382587</v>
      </c>
      <c r="E4" s="438">
        <v>0</v>
      </c>
      <c r="F4" s="438">
        <v>0</v>
      </c>
      <c r="G4" s="438">
        <f>SUM(B4:F4)</f>
        <v>357562697.22706157</v>
      </c>
      <c r="H4" s="438">
        <v>0</v>
      </c>
      <c r="I4" s="438">
        <v>0</v>
      </c>
      <c r="J4" s="438">
        <v>0</v>
      </c>
      <c r="K4" s="438">
        <f t="shared" ref="K4:K8" si="0">SUM(H4:J4)</f>
        <v>0</v>
      </c>
      <c r="L4" s="546">
        <f t="shared" ref="L4:L9" si="1">K4-G4</f>
        <v>-357562697.22706157</v>
      </c>
      <c r="M4" s="439">
        <f>L4</f>
        <v>-357562697.22706157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108">
        <v>1</v>
      </c>
      <c r="B5" s="541">
        <f>'E-Cal Inv.'!D8</f>
        <v>177258991.25894368</v>
      </c>
      <c r="C5" s="438">
        <f>'E-Cal Inv.'!D18</f>
        <v>207714554.54241219</v>
      </c>
      <c r="D5" s="441">
        <f>'E-Cal Inv.'!D23</f>
        <v>80844444.618284732</v>
      </c>
      <c r="E5" s="441">
        <f>'E-Costos'!C143</f>
        <v>160840.37939223531</v>
      </c>
      <c r="F5" s="441">
        <f>'E-Costos'!C144</f>
        <v>747907.76417389396</v>
      </c>
      <c r="G5" s="438">
        <f>SUM(B5:F5)</f>
        <v>466726738.56320661</v>
      </c>
      <c r="H5" s="441">
        <f>'E-Costos'!C142</f>
        <v>2297719.7056033611</v>
      </c>
      <c r="I5" s="441">
        <f>'E-Inv AF y Am'!D57</f>
        <v>70132120.162205398</v>
      </c>
      <c r="J5" s="441">
        <f>'E-IVA '!C28</f>
        <v>46108212.926549122</v>
      </c>
      <c r="K5" s="438">
        <f>SUM(H5:J5)</f>
        <v>118538052.79435788</v>
      </c>
      <c r="L5" s="546">
        <f t="shared" si="1"/>
        <v>-348188685.76884872</v>
      </c>
      <c r="M5" s="442">
        <f>M4+L5</f>
        <v>-705751382.99591029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108">
        <v>2</v>
      </c>
      <c r="B6" s="541">
        <v>0</v>
      </c>
      <c r="C6" s="438">
        <f>'E-Cal Inv.'!E18</f>
        <v>57767170.938292198</v>
      </c>
      <c r="D6" s="441">
        <f>'E-Cal Inv.'!E23</f>
        <v>12131105.897041362</v>
      </c>
      <c r="E6" s="441">
        <f>'E-Costos'!D143</f>
        <v>38345969.83235278</v>
      </c>
      <c r="F6" s="441">
        <f>'E-Costos'!D144</f>
        <v>178308759.72044039</v>
      </c>
      <c r="G6" s="438">
        <f>SUM(B6:F6)</f>
        <v>286553006.38812673</v>
      </c>
      <c r="H6" s="441">
        <f>'E-Costos'!D142</f>
        <v>547799569.03361106</v>
      </c>
      <c r="I6" s="441">
        <f>'E-Inv AF y Am'!D57</f>
        <v>70132120.162205398</v>
      </c>
      <c r="J6" s="441">
        <f>'E-IVA '!D28</f>
        <v>108923673.47115956</v>
      </c>
      <c r="K6" s="438">
        <f t="shared" si="0"/>
        <v>726855362.66697609</v>
      </c>
      <c r="L6" s="546">
        <f t="shared" si="1"/>
        <v>440302356.27884936</v>
      </c>
      <c r="M6" s="442">
        <f t="shared" ref="M6:M8" si="2">M5+L6</f>
        <v>-265449026.71706092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108">
        <v>3</v>
      </c>
      <c r="B7" s="541">
        <v>0</v>
      </c>
      <c r="C7" s="438">
        <f>'E-Cal Inv.'!F18</f>
        <v>-1036.8712030174211</v>
      </c>
      <c r="D7" s="441">
        <f>'E-Cal Inv.'!F23</f>
        <v>-217.7429526336584</v>
      </c>
      <c r="E7" s="441">
        <f>'E-Costos'!E143</f>
        <v>38439944.940327525</v>
      </c>
      <c r="F7" s="441">
        <f>'E-Costos'!E144</f>
        <v>178745743.97252297</v>
      </c>
      <c r="G7" s="438">
        <f>SUM(B7:F7)</f>
        <v>217184434.29869485</v>
      </c>
      <c r="H7" s="441">
        <f>'E-Costos'!E142</f>
        <v>549142070.5761075</v>
      </c>
      <c r="I7" s="441">
        <f>'E-Inv AF y Am'!D57</f>
        <v>70132120.162205398</v>
      </c>
      <c r="J7" s="441">
        <f>'E-IVA '!E28</f>
        <v>-217.7429526336584</v>
      </c>
      <c r="K7" s="438">
        <f>SUM(H7:J7)</f>
        <v>619273972.99536037</v>
      </c>
      <c r="L7" s="546">
        <f t="shared" si="1"/>
        <v>402089538.69666553</v>
      </c>
      <c r="M7" s="442">
        <f t="shared" si="2"/>
        <v>136640511.9796046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108">
        <v>4</v>
      </c>
      <c r="B8" s="541">
        <v>0</v>
      </c>
      <c r="C8" s="438">
        <f>'E-Cal Inv.'!G18</f>
        <v>0</v>
      </c>
      <c r="D8" s="441">
        <f>'E-Cal Inv.'!G23</f>
        <v>0</v>
      </c>
      <c r="E8" s="441">
        <f>'E-Costos'!F143</f>
        <v>38440017.521311738</v>
      </c>
      <c r="F8" s="441">
        <f>'E-Costos'!F144</f>
        <v>178746081.47409952</v>
      </c>
      <c r="G8" s="438">
        <f t="shared" ref="G8" si="3">SUM(B8:F8)</f>
        <v>217186098.99541125</v>
      </c>
      <c r="H8" s="441">
        <f>'E-Costos'!F142</f>
        <v>549143107.44731045</v>
      </c>
      <c r="I8" s="441">
        <f>'E-Inv AF y Am'!E57</f>
        <v>70132120.162205398</v>
      </c>
      <c r="J8" s="441">
        <f>'E-IVA '!F28</f>
        <v>0</v>
      </c>
      <c r="K8" s="438">
        <f t="shared" si="0"/>
        <v>619275227.60951591</v>
      </c>
      <c r="L8" s="546">
        <f t="shared" si="1"/>
        <v>402089128.61410463</v>
      </c>
      <c r="M8" s="442">
        <f t="shared" si="2"/>
        <v>538729640.59370923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108">
        <v>5</v>
      </c>
      <c r="B9" s="541">
        <f>-'E-Inv AF y Am'!G57</f>
        <v>-118820537.22916667</v>
      </c>
      <c r="C9" s="441">
        <f>'E-Cal Inv.'!H18-'E-Cal Inv.'!I18</f>
        <v>-268764903.17293036</v>
      </c>
      <c r="D9" s="441">
        <f>'E-Cal Inv.'!H23</f>
        <v>0</v>
      </c>
      <c r="E9" s="441">
        <f>'E-Costos'!G143</f>
        <v>38440017.521311738</v>
      </c>
      <c r="F9" s="441">
        <f>'E-Costos'!G144</f>
        <v>178746081.47409952</v>
      </c>
      <c r="G9" s="438">
        <f>SUM(B9:F9)</f>
        <v>-170399341.40668577</v>
      </c>
      <c r="H9" s="441">
        <f>'E-Costos'!G142</f>
        <v>549143107.44731045</v>
      </c>
      <c r="I9" s="441">
        <f>'E-Inv AF y Am'!E57</f>
        <v>70132120.162205398</v>
      </c>
      <c r="J9" s="441">
        <f>'E-IVA '!G28</f>
        <v>0</v>
      </c>
      <c r="K9" s="438">
        <f>SUM(H9:J9)</f>
        <v>619275227.60951591</v>
      </c>
      <c r="L9" s="546">
        <f t="shared" si="1"/>
        <v>789674569.01620173</v>
      </c>
      <c r="M9" s="442">
        <f>M8+L9</f>
        <v>1328404209.609911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108"/>
      <c r="B10" s="541"/>
      <c r="C10" s="441"/>
      <c r="D10" s="441"/>
      <c r="E10" s="441"/>
      <c r="F10" s="441"/>
      <c r="G10" s="441"/>
      <c r="H10" s="441"/>
      <c r="I10" s="441"/>
      <c r="J10" s="441"/>
      <c r="K10" s="441"/>
      <c r="L10" s="547"/>
      <c r="M10" s="442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109" t="s">
        <v>683</v>
      </c>
      <c r="B11" s="544">
        <f>B4+B5+B9</f>
        <v>350660600.81102699</v>
      </c>
      <c r="C11" s="448">
        <f>SUM(C4:C10)</f>
        <v>0</v>
      </c>
      <c r="D11" s="448">
        <f t="shared" ref="D11:L11" si="4">SUM(D4:D9)</f>
        <v>155031668.65475604</v>
      </c>
      <c r="E11" s="448">
        <f>SUM(E4:E9)</f>
        <v>153826790.19469601</v>
      </c>
      <c r="F11" s="448">
        <f>SUM(F4:F9)</f>
        <v>715294574.40533626</v>
      </c>
      <c r="G11" s="448">
        <f>SUM(G4:G9)</f>
        <v>1374813634.065815</v>
      </c>
      <c r="H11" s="448">
        <f>SUM(H4:H9)</f>
        <v>2197525574.2099428</v>
      </c>
      <c r="I11" s="448">
        <f>SUM(I4:I9)</f>
        <v>350660600.81102699</v>
      </c>
      <c r="J11" s="448">
        <f t="shared" si="4"/>
        <v>155031668.65475604</v>
      </c>
      <c r="K11" s="448">
        <f>SUM(K4:K9)</f>
        <v>2703217843.6757259</v>
      </c>
      <c r="L11" s="448">
        <f t="shared" si="4"/>
        <v>1328404209.609911</v>
      </c>
      <c r="M11" s="448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3"/>
      <c r="B13" s="3"/>
      <c r="C13" s="23" t="s">
        <v>684</v>
      </c>
      <c r="D13" s="245">
        <f>L11</f>
        <v>1328404209.609911</v>
      </c>
      <c r="E13" s="3"/>
      <c r="F13" s="3"/>
      <c r="G13" s="3"/>
      <c r="H13" s="233">
        <f>H11-E11-F11</f>
        <v>1328404209.6099105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28"/>
      <c r="B14" s="3"/>
      <c r="C14" s="23" t="s">
        <v>685</v>
      </c>
      <c r="D14" s="246">
        <f>2+(-M5/L6)</f>
        <v>3.6028789601774207</v>
      </c>
      <c r="E14" s="3" t="s">
        <v>67</v>
      </c>
      <c r="F14" s="234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3"/>
      <c r="B15" s="3"/>
      <c r="C15" s="23" t="s">
        <v>686</v>
      </c>
      <c r="D15" s="247">
        <f>IRR(L4:L9)</f>
        <v>0.41311467303221261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1023" t="s">
        <v>687</v>
      </c>
      <c r="M16" s="972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3"/>
      <c r="B17" s="3"/>
      <c r="C17" s="3"/>
      <c r="D17" s="3"/>
      <c r="E17" s="3"/>
      <c r="F17" s="3"/>
      <c r="G17" s="3"/>
      <c r="H17" s="3"/>
      <c r="I17" s="3"/>
      <c r="J17" s="1"/>
      <c r="K17" s="3"/>
      <c r="L17" s="1023" t="s">
        <v>688</v>
      </c>
      <c r="M17" s="972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110" t="s">
        <v>295</v>
      </c>
      <c r="M18" s="187" t="str">
        <f>IF(ROUND(B11,3)=ROUND(I11,3),"OK","MAL")</f>
        <v>OK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3"/>
      <c r="B19" s="3"/>
      <c r="C19" s="3"/>
      <c r="D19" s="3"/>
      <c r="E19" s="3"/>
      <c r="I19" s="3"/>
      <c r="J19" s="3"/>
      <c r="K19" s="3"/>
      <c r="L19" s="110" t="s">
        <v>689</v>
      </c>
      <c r="M19" s="187" t="str">
        <f>IF(ROUND(D11,3)=ROUND(J11,3),"OK","MAL")</f>
        <v>OK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3"/>
      <c r="B20" s="3"/>
      <c r="C20" s="3"/>
      <c r="D20" s="3"/>
      <c r="E20" s="3"/>
      <c r="I20" s="3"/>
      <c r="J20" s="3"/>
      <c r="K20" s="3"/>
      <c r="L20" s="110" t="s">
        <v>690</v>
      </c>
      <c r="M20" s="187" t="str">
        <f>IF(ROUND(D12,3)=ROUND(J12,3),"OK","MAL")</f>
        <v>OK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3"/>
      <c r="B21" s="3"/>
      <c r="C21" s="3"/>
      <c r="D21" s="3"/>
      <c r="E21" s="3"/>
      <c r="I21" s="3"/>
      <c r="J21" s="3"/>
      <c r="K21" s="3"/>
      <c r="L21" s="110" t="s">
        <v>691</v>
      </c>
      <c r="M21" s="187" t="str">
        <f>IF(ROUND((H11-F11-E11),3)=ROUND(L11,3),IF(ROUND(L11,3)=ROUND(M9,3),"OK","MAL"),"MAL")</f>
        <v>OK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3"/>
      <c r="B28" s="3"/>
      <c r="C28" s="3"/>
      <c r="D28" s="3"/>
      <c r="E28" s="3"/>
      <c r="F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L16:M16"/>
    <mergeCell ref="L17:M17"/>
  </mergeCells>
  <conditionalFormatting sqref="M18">
    <cfRule type="cellIs" dxfId="19" priority="2" operator="equal">
      <formula>"OK"</formula>
    </cfRule>
  </conditionalFormatting>
  <conditionalFormatting sqref="M18">
    <cfRule type="cellIs" dxfId="18" priority="3" operator="equal">
      <formula>"MAL"</formula>
    </cfRule>
  </conditionalFormatting>
  <conditionalFormatting sqref="M19:M20">
    <cfRule type="cellIs" dxfId="17" priority="4" operator="equal">
      <formula>"OK"</formula>
    </cfRule>
  </conditionalFormatting>
  <conditionalFormatting sqref="M19:M20">
    <cfRule type="cellIs" dxfId="16" priority="5" operator="equal">
      <formula>"MAL"</formula>
    </cfRule>
  </conditionalFormatting>
  <conditionalFormatting sqref="M21">
    <cfRule type="cellIs" dxfId="15" priority="8" operator="equal">
      <formula>"OK"</formula>
    </cfRule>
  </conditionalFormatting>
  <conditionalFormatting sqref="M21">
    <cfRule type="cellIs" dxfId="14" priority="9" operator="equal">
      <formula>"MAL"</formula>
    </cfRule>
  </conditionalFormatting>
  <conditionalFormatting sqref="J17">
    <cfRule type="cellIs" dxfId="13" priority="10" operator="equal">
      <formula>"OK"</formula>
    </cfRule>
  </conditionalFormatting>
  <conditionalFormatting sqref="J17">
    <cfRule type="cellIs" dxfId="12" priority="11" operator="equal">
      <formula>"MAL"</formula>
    </cfRule>
  </conditionalFormatting>
  <pageMargins left="0.25972222222222202" right="0.45972222222222198" top="1.27013888888889" bottom="1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422E3-E791-46E1-82E6-4BCE3DC3F385}">
  <dimension ref="A2:O153"/>
  <sheetViews>
    <sheetView topLeftCell="F1" workbookViewId="0">
      <selection activeCell="F18" sqref="F18"/>
    </sheetView>
  </sheetViews>
  <sheetFormatPr baseColWidth="10" defaultColWidth="8.85546875" defaultRowHeight="12.75"/>
  <cols>
    <col min="1" max="1" width="16.140625" customWidth="1"/>
    <col min="2" max="2" width="15.85546875" customWidth="1"/>
    <col min="3" max="3" width="17.42578125" customWidth="1"/>
    <col min="4" max="4" width="18.5703125" customWidth="1"/>
    <col min="5" max="5" width="19.28515625" customWidth="1"/>
    <col min="6" max="6" width="18.42578125" customWidth="1"/>
    <col min="7" max="7" width="20.7109375" customWidth="1"/>
    <col min="8" max="8" width="15.7109375" bestFit="1" customWidth="1"/>
    <col min="9" max="9" width="14.7109375" bestFit="1" customWidth="1"/>
    <col min="10" max="10" width="24.5703125" bestFit="1" customWidth="1"/>
  </cols>
  <sheetData>
    <row r="2" spans="1:10" ht="15.75">
      <c r="A2" s="691" t="s">
        <v>692</v>
      </c>
      <c r="B2" s="692"/>
      <c r="C2" s="692"/>
      <c r="D2" s="692"/>
      <c r="E2" s="692"/>
      <c r="F2" s="692"/>
      <c r="G2" s="692"/>
      <c r="H2" s="692"/>
      <c r="I2" s="692"/>
    </row>
    <row r="3" spans="1:10">
      <c r="E3" s="159"/>
      <c r="G3" s="159"/>
    </row>
    <row r="4" spans="1:10">
      <c r="A4" s="630" t="s">
        <v>693</v>
      </c>
      <c r="B4" s="630"/>
      <c r="C4" s="650"/>
      <c r="D4" s="650"/>
      <c r="E4" s="649">
        <f>InfoInicial!B38</f>
        <v>60</v>
      </c>
      <c r="F4" s="650" t="s">
        <v>694</v>
      </c>
      <c r="G4" s="651">
        <f>InfoInicial!B39</f>
        <v>0.5</v>
      </c>
      <c r="H4" s="650" t="s">
        <v>695</v>
      </c>
    </row>
    <row r="5" spans="1:10">
      <c r="A5" s="630" t="s">
        <v>696</v>
      </c>
      <c r="B5" s="650"/>
      <c r="C5" s="651">
        <f>InfoInicial!B40</f>
        <v>0.6</v>
      </c>
      <c r="D5" s="650" t="s">
        <v>99</v>
      </c>
      <c r="E5" s="650"/>
      <c r="F5" s="630"/>
      <c r="G5" s="650"/>
      <c r="H5" s="630"/>
    </row>
    <row r="6" spans="1:10">
      <c r="A6" s="630"/>
      <c r="B6" s="630"/>
      <c r="C6" s="650"/>
      <c r="D6" s="630"/>
      <c r="E6" s="650"/>
      <c r="F6" s="630"/>
      <c r="G6" s="630"/>
      <c r="H6" s="630"/>
    </row>
    <row r="7" spans="1:10">
      <c r="A7" s="630" t="s">
        <v>697</v>
      </c>
      <c r="B7" s="650"/>
      <c r="C7" s="630"/>
      <c r="D7" s="650"/>
      <c r="E7" s="708">
        <v>0.4</v>
      </c>
      <c r="F7" s="652"/>
      <c r="G7" s="630" t="s">
        <v>698</v>
      </c>
      <c r="H7" s="650" t="s">
        <v>699</v>
      </c>
      <c r="I7" s="653">
        <v>0.3</v>
      </c>
    </row>
    <row r="8" spans="1:10">
      <c r="A8" t="s">
        <v>700</v>
      </c>
      <c r="C8" s="650"/>
      <c r="D8" s="630"/>
      <c r="E8" s="708">
        <v>0.6</v>
      </c>
      <c r="G8" s="630" t="s">
        <v>698</v>
      </c>
      <c r="H8" s="630" t="s">
        <v>699</v>
      </c>
      <c r="I8" s="653">
        <v>0.25</v>
      </c>
    </row>
    <row r="9" spans="1:10">
      <c r="A9" s="631"/>
      <c r="B9" s="631"/>
      <c r="C9" s="631"/>
      <c r="D9" s="631"/>
      <c r="E9" s="631"/>
      <c r="F9" s="631"/>
      <c r="G9" s="630"/>
      <c r="H9" s="630"/>
    </row>
    <row r="11" spans="1:10">
      <c r="A11" s="734"/>
      <c r="B11" s="839"/>
      <c r="C11" s="734"/>
      <c r="D11" s="858"/>
      <c r="E11" s="632"/>
      <c r="F11" s="632"/>
      <c r="G11" s="632"/>
      <c r="H11" s="632"/>
      <c r="I11" s="632"/>
      <c r="J11" s="632"/>
    </row>
    <row r="12" spans="1:10">
      <c r="A12" s="859" t="s">
        <v>701</v>
      </c>
      <c r="B12" s="860" t="s">
        <v>2</v>
      </c>
      <c r="C12" s="861"/>
      <c r="D12" s="861"/>
      <c r="E12" s="861"/>
      <c r="F12" s="632"/>
      <c r="G12" s="632"/>
      <c r="H12" s="632"/>
      <c r="I12" s="632"/>
      <c r="J12" s="632"/>
    </row>
    <row r="13" spans="1:10">
      <c r="A13" s="862" t="s">
        <v>702</v>
      </c>
      <c r="B13" s="791">
        <f>'E-InvAT'!B10</f>
        <v>435014.463429</v>
      </c>
      <c r="C13" s="861"/>
      <c r="D13" s="861"/>
      <c r="E13" s="861"/>
      <c r="F13" s="632"/>
      <c r="G13" s="632"/>
      <c r="H13" s="632"/>
      <c r="I13" s="632"/>
      <c r="J13" s="632"/>
    </row>
    <row r="14" spans="1:10">
      <c r="A14" s="862" t="s">
        <v>703</v>
      </c>
      <c r="B14" s="791">
        <f>'E-InvAT'!B11</f>
        <v>581200.10000000009</v>
      </c>
      <c r="C14" s="861"/>
      <c r="D14" s="861"/>
      <c r="E14" s="861"/>
      <c r="F14" s="632"/>
      <c r="G14" s="632"/>
      <c r="H14" s="632"/>
      <c r="I14" s="632"/>
      <c r="J14" s="632"/>
    </row>
    <row r="15" spans="1:10">
      <c r="A15" s="862" t="s">
        <v>188</v>
      </c>
      <c r="B15" s="791">
        <f>SUM(B13:B14)</f>
        <v>1016214.5634290001</v>
      </c>
      <c r="C15" s="861"/>
      <c r="D15" s="861"/>
      <c r="E15" s="861"/>
      <c r="F15" s="632"/>
      <c r="G15" s="632"/>
      <c r="H15" s="632"/>
      <c r="I15" s="632"/>
      <c r="J15" s="632"/>
    </row>
    <row r="16" spans="1:10">
      <c r="A16" s="862" t="s">
        <v>704</v>
      </c>
      <c r="B16" s="791">
        <f>B15*InfoInicial!B39</f>
        <v>508107.28171450004</v>
      </c>
      <c r="C16" s="861"/>
      <c r="D16" s="861"/>
      <c r="E16" s="861"/>
      <c r="F16" s="632"/>
      <c r="G16" s="632"/>
      <c r="H16" s="632"/>
      <c r="I16" s="632"/>
      <c r="J16" s="632"/>
    </row>
    <row r="17" spans="1:10">
      <c r="A17" s="862" t="s">
        <v>705</v>
      </c>
      <c r="B17" s="791">
        <f>B16*InfoInicial!B40</f>
        <v>304864.36902869999</v>
      </c>
      <c r="C17" s="861"/>
      <c r="D17" s="861"/>
      <c r="E17" s="861"/>
      <c r="F17" s="632"/>
      <c r="G17" s="632"/>
      <c r="H17" s="632"/>
      <c r="I17" s="632"/>
      <c r="J17" s="632"/>
    </row>
    <row r="18" spans="1:10">
      <c r="A18" s="861"/>
      <c r="B18" s="861"/>
      <c r="C18" s="861"/>
      <c r="D18" s="861"/>
      <c r="E18" s="861"/>
      <c r="F18" s="632"/>
      <c r="G18" s="632"/>
      <c r="H18" s="632"/>
      <c r="I18" s="632"/>
      <c r="J18" s="632"/>
    </row>
    <row r="19" spans="1:10">
      <c r="A19" s="859" t="s">
        <v>706</v>
      </c>
      <c r="B19" s="860" t="s">
        <v>707</v>
      </c>
      <c r="C19" s="860" t="s">
        <v>708</v>
      </c>
      <c r="D19" s="860" t="s">
        <v>709</v>
      </c>
      <c r="E19" s="860" t="s">
        <v>710</v>
      </c>
      <c r="F19" s="632"/>
      <c r="G19" s="632"/>
      <c r="H19" s="632"/>
      <c r="I19" s="632"/>
      <c r="J19" s="632"/>
    </row>
    <row r="20" spans="1:10">
      <c r="A20" s="864" t="s">
        <v>711</v>
      </c>
      <c r="B20" s="867">
        <f>$B$15</f>
        <v>1016214.5634290001</v>
      </c>
      <c r="C20" s="867">
        <f>$B$16</f>
        <v>508107.28171450004</v>
      </c>
      <c r="D20" s="863" t="s">
        <v>712</v>
      </c>
      <c r="E20" s="867">
        <f>$B$17/12*2</f>
        <v>50810.728171449999</v>
      </c>
      <c r="F20" s="632"/>
      <c r="G20" s="632"/>
      <c r="H20" s="632"/>
      <c r="I20" s="632"/>
      <c r="J20" s="632"/>
    </row>
    <row r="21" spans="1:10">
      <c r="A21" s="864" t="s">
        <v>713</v>
      </c>
      <c r="B21" s="867">
        <f t="shared" ref="B21:B31" si="0">$B$15</f>
        <v>1016214.5634290001</v>
      </c>
      <c r="C21" s="867">
        <f t="shared" ref="C21:C31" si="1">$B$16</f>
        <v>508107.28171450004</v>
      </c>
      <c r="D21" s="863" t="s">
        <v>714</v>
      </c>
      <c r="E21" s="867">
        <f t="shared" ref="E21:E31" si="2">$B$17/12*2</f>
        <v>50810.728171449999</v>
      </c>
      <c r="F21" s="632"/>
      <c r="G21" s="632"/>
      <c r="H21" s="632"/>
      <c r="I21" s="632"/>
      <c r="J21" s="632"/>
    </row>
    <row r="22" spans="1:10">
      <c r="A22" s="864" t="s">
        <v>715</v>
      </c>
      <c r="B22" s="867">
        <f t="shared" si="0"/>
        <v>1016214.5634290001</v>
      </c>
      <c r="C22" s="867">
        <f t="shared" si="1"/>
        <v>508107.28171450004</v>
      </c>
      <c r="D22" s="863" t="s">
        <v>716</v>
      </c>
      <c r="E22" s="867">
        <f>$B$17/12*2</f>
        <v>50810.728171449999</v>
      </c>
      <c r="F22" s="632"/>
      <c r="G22" s="632"/>
      <c r="H22" s="632"/>
      <c r="I22" s="632"/>
      <c r="J22" s="632"/>
    </row>
    <row r="23" spans="1:10">
      <c r="A23" s="864" t="s">
        <v>714</v>
      </c>
      <c r="B23" s="867">
        <f t="shared" si="0"/>
        <v>1016214.5634290001</v>
      </c>
      <c r="C23" s="867">
        <f t="shared" si="1"/>
        <v>508107.28171450004</v>
      </c>
      <c r="D23" s="863" t="s">
        <v>717</v>
      </c>
      <c r="E23" s="867">
        <f t="shared" si="2"/>
        <v>50810.728171449999</v>
      </c>
      <c r="F23" s="632"/>
      <c r="G23" s="632"/>
      <c r="H23" s="632"/>
      <c r="I23" s="632"/>
      <c r="J23" s="632"/>
    </row>
    <row r="24" spans="1:10">
      <c r="A24" s="864" t="s">
        <v>716</v>
      </c>
      <c r="B24" s="867">
        <f t="shared" si="0"/>
        <v>1016214.5634290001</v>
      </c>
      <c r="C24" s="867">
        <f t="shared" si="1"/>
        <v>508107.28171450004</v>
      </c>
      <c r="D24" s="863" t="s">
        <v>718</v>
      </c>
      <c r="E24" s="867">
        <f t="shared" si="2"/>
        <v>50810.728171449999</v>
      </c>
      <c r="F24" s="632"/>
      <c r="G24" s="632"/>
      <c r="H24" s="632"/>
      <c r="I24" s="632"/>
      <c r="J24" s="632"/>
    </row>
    <row r="25" spans="1:10">
      <c r="A25" s="864" t="s">
        <v>717</v>
      </c>
      <c r="B25" s="867">
        <f t="shared" si="0"/>
        <v>1016214.5634290001</v>
      </c>
      <c r="C25" s="867">
        <f t="shared" si="1"/>
        <v>508107.28171450004</v>
      </c>
      <c r="D25" s="863" t="s">
        <v>719</v>
      </c>
      <c r="E25" s="867">
        <f t="shared" si="2"/>
        <v>50810.728171449999</v>
      </c>
      <c r="F25" s="632"/>
      <c r="G25" s="632"/>
      <c r="H25" s="632"/>
      <c r="I25" s="632"/>
      <c r="J25" s="632"/>
    </row>
    <row r="26" spans="1:10">
      <c r="A26" s="864" t="s">
        <v>718</v>
      </c>
      <c r="B26" s="867">
        <f t="shared" si="0"/>
        <v>1016214.5634290001</v>
      </c>
      <c r="C26" s="867">
        <f t="shared" si="1"/>
        <v>508107.28171450004</v>
      </c>
      <c r="D26" s="863" t="s">
        <v>720</v>
      </c>
      <c r="E26" s="867">
        <f t="shared" si="2"/>
        <v>50810.728171449999</v>
      </c>
      <c r="F26" s="632"/>
      <c r="G26" s="632"/>
      <c r="H26" s="632"/>
      <c r="I26" s="632"/>
      <c r="J26" s="632"/>
    </row>
    <row r="27" spans="1:10">
      <c r="A27" s="864" t="s">
        <v>719</v>
      </c>
      <c r="B27" s="867">
        <f t="shared" si="0"/>
        <v>1016214.5634290001</v>
      </c>
      <c r="C27" s="867">
        <f t="shared" si="1"/>
        <v>508107.28171450004</v>
      </c>
      <c r="D27" s="863" t="s">
        <v>721</v>
      </c>
      <c r="E27" s="867">
        <f t="shared" si="2"/>
        <v>50810.728171449999</v>
      </c>
      <c r="F27" s="632"/>
      <c r="G27" s="632"/>
      <c r="H27" s="632"/>
      <c r="I27" s="632"/>
      <c r="J27" s="632"/>
    </row>
    <row r="28" spans="1:10">
      <c r="A28" s="864" t="s">
        <v>720</v>
      </c>
      <c r="B28" s="867">
        <f t="shared" si="0"/>
        <v>1016214.5634290001</v>
      </c>
      <c r="C28" s="867">
        <f t="shared" si="1"/>
        <v>508107.28171450004</v>
      </c>
      <c r="D28" s="863" t="s">
        <v>722</v>
      </c>
      <c r="E28" s="867">
        <f t="shared" si="2"/>
        <v>50810.728171449999</v>
      </c>
      <c r="F28" s="632"/>
      <c r="G28" s="632"/>
      <c r="H28" s="632"/>
      <c r="I28" s="632"/>
      <c r="J28" s="632"/>
    </row>
    <row r="29" spans="1:10">
      <c r="A29" s="864" t="s">
        <v>721</v>
      </c>
      <c r="B29" s="867">
        <f t="shared" si="0"/>
        <v>1016214.5634290001</v>
      </c>
      <c r="C29" s="867">
        <f t="shared" si="1"/>
        <v>508107.28171450004</v>
      </c>
      <c r="D29" s="863" t="s">
        <v>723</v>
      </c>
      <c r="E29" s="867">
        <f t="shared" si="2"/>
        <v>50810.728171449999</v>
      </c>
      <c r="F29" s="632"/>
      <c r="G29" s="632"/>
      <c r="H29" s="632"/>
      <c r="I29" s="632"/>
      <c r="J29" s="632"/>
    </row>
    <row r="30" spans="1:10">
      <c r="A30" s="864" t="s">
        <v>722</v>
      </c>
      <c r="B30" s="867">
        <f t="shared" si="0"/>
        <v>1016214.5634290001</v>
      </c>
      <c r="C30" s="867">
        <f t="shared" si="1"/>
        <v>508107.28171450004</v>
      </c>
      <c r="D30" s="863" t="s">
        <v>724</v>
      </c>
      <c r="E30" s="867">
        <f t="shared" si="2"/>
        <v>50810.728171449999</v>
      </c>
      <c r="F30" s="632"/>
      <c r="G30" s="632"/>
      <c r="H30" s="632"/>
      <c r="I30" s="632"/>
      <c r="J30" s="632"/>
    </row>
    <row r="31" spans="1:10">
      <c r="A31" s="864" t="s">
        <v>723</v>
      </c>
      <c r="B31" s="867">
        <f t="shared" si="0"/>
        <v>1016214.5634290001</v>
      </c>
      <c r="C31" s="867">
        <f t="shared" si="1"/>
        <v>508107.28171450004</v>
      </c>
      <c r="D31" s="863" t="s">
        <v>725</v>
      </c>
      <c r="E31" s="867">
        <f t="shared" si="2"/>
        <v>50810.728171449999</v>
      </c>
      <c r="F31" s="632"/>
      <c r="G31" s="632"/>
      <c r="H31" s="632"/>
      <c r="I31" s="632"/>
      <c r="J31" s="632"/>
    </row>
    <row r="32" spans="1:10">
      <c r="A32" s="861"/>
      <c r="B32" s="861"/>
      <c r="C32" s="861"/>
      <c r="D32" s="861"/>
      <c r="E32" s="861"/>
      <c r="F32" s="632"/>
      <c r="G32" s="632"/>
      <c r="H32" s="632"/>
      <c r="I32" s="632"/>
      <c r="J32" s="632"/>
    </row>
    <row r="33" spans="1:11">
      <c r="A33" s="861"/>
      <c r="B33" s="861"/>
      <c r="C33" s="626"/>
      <c r="D33" s="703" t="s">
        <v>337</v>
      </c>
      <c r="E33" s="868">
        <f>SUM(E20:E29)</f>
        <v>508107.28171449993</v>
      </c>
      <c r="F33" s="632"/>
      <c r="G33" s="632"/>
      <c r="H33" s="632"/>
      <c r="I33" s="632"/>
      <c r="J33" s="632"/>
    </row>
    <row r="34" spans="1:11">
      <c r="A34" s="861"/>
      <c r="B34" s="861"/>
      <c r="C34" s="626"/>
      <c r="D34" s="626"/>
      <c r="E34" s="626"/>
      <c r="F34" s="632"/>
      <c r="G34" s="632"/>
      <c r="H34" s="632"/>
      <c r="I34" s="632"/>
      <c r="J34" s="632"/>
    </row>
    <row r="35" spans="1:11">
      <c r="A35" s="861"/>
      <c r="B35" s="861"/>
      <c r="C35" s="703" t="s">
        <v>726</v>
      </c>
      <c r="D35" s="865"/>
      <c r="E35" s="868">
        <f>E33/InfoInicial!B40</f>
        <v>846845.46952416655</v>
      </c>
      <c r="F35" s="632"/>
      <c r="G35" s="632"/>
      <c r="H35" s="632"/>
      <c r="I35" s="632"/>
      <c r="J35" s="632"/>
    </row>
    <row r="36" spans="1:11">
      <c r="A36" s="734"/>
      <c r="B36" s="839"/>
      <c r="C36" s="734"/>
      <c r="D36" s="858"/>
      <c r="E36" s="632"/>
      <c r="F36" s="632"/>
      <c r="G36" s="632"/>
      <c r="H36" s="632"/>
      <c r="I36" s="632"/>
      <c r="J36" s="632"/>
    </row>
    <row r="40" spans="1:11" ht="15.75">
      <c r="A40" s="691" t="s">
        <v>727</v>
      </c>
      <c r="B40" s="692"/>
      <c r="C40" s="692"/>
      <c r="D40" s="692"/>
      <c r="E40" s="692"/>
      <c r="F40" s="692"/>
      <c r="G40" s="692"/>
      <c r="H40" s="692"/>
      <c r="I40" s="692"/>
    </row>
    <row r="41" spans="1:11" ht="15.75">
      <c r="A41" s="691"/>
      <c r="B41" s="692"/>
      <c r="C41" s="692"/>
      <c r="D41" s="692"/>
      <c r="E41" s="692"/>
      <c r="F41" s="692"/>
      <c r="G41" s="692"/>
      <c r="H41" s="692"/>
      <c r="I41" s="692"/>
    </row>
    <row r="42" spans="1:11" ht="18">
      <c r="A42" s="876" t="s">
        <v>728</v>
      </c>
      <c r="B42" s="877"/>
      <c r="C42" s="877"/>
    </row>
    <row r="44" spans="1:11">
      <c r="A44" s="1025" t="s">
        <v>729</v>
      </c>
      <c r="B44" s="1026"/>
      <c r="C44" s="1026"/>
      <c r="D44" s="1026"/>
      <c r="E44" s="1026"/>
      <c r="F44" s="1026"/>
      <c r="G44" s="1027"/>
    </row>
    <row r="45" spans="1:11">
      <c r="A45" s="662" t="s">
        <v>730</v>
      </c>
      <c r="B45" s="632"/>
      <c r="C45" s="632"/>
      <c r="D45" s="632"/>
      <c r="E45" s="632"/>
      <c r="F45" s="632"/>
      <c r="G45" s="663"/>
      <c r="I45" s="1024" t="s">
        <v>731</v>
      </c>
      <c r="J45" s="1024"/>
      <c r="K45" s="564" t="s">
        <v>732</v>
      </c>
    </row>
    <row r="46" spans="1:11">
      <c r="A46" s="662" t="s">
        <v>733</v>
      </c>
      <c r="B46" s="632" t="s">
        <v>734</v>
      </c>
      <c r="C46" s="664">
        <v>0.4</v>
      </c>
      <c r="D46" s="632" t="s">
        <v>735</v>
      </c>
      <c r="E46" s="632"/>
      <c r="F46" s="635"/>
      <c r="G46" s="663"/>
    </row>
    <row r="47" spans="1:11">
      <c r="A47" s="662" t="s">
        <v>736</v>
      </c>
      <c r="B47" s="665"/>
      <c r="C47" s="666">
        <f>'E-Inv AF y Am'!B8</f>
        <v>111650000</v>
      </c>
      <c r="D47" s="632"/>
      <c r="E47" s="639" t="s">
        <v>737</v>
      </c>
      <c r="F47" s="667">
        <f>C47*C46</f>
        <v>44660000</v>
      </c>
      <c r="G47" s="663"/>
    </row>
    <row r="48" spans="1:11" ht="14.25">
      <c r="A48" s="662" t="s">
        <v>738</v>
      </c>
      <c r="B48" s="632"/>
      <c r="C48" s="668">
        <v>8</v>
      </c>
      <c r="D48" s="669" t="s">
        <v>739</v>
      </c>
      <c r="E48" s="632"/>
      <c r="F48" s="632"/>
      <c r="G48" s="632"/>
    </row>
    <row r="49" spans="1:15">
      <c r="A49" s="662" t="s">
        <v>740</v>
      </c>
      <c r="B49" s="632"/>
      <c r="C49" s="670">
        <v>0.3</v>
      </c>
      <c r="D49" s="632" t="s">
        <v>741</v>
      </c>
      <c r="E49" s="632"/>
      <c r="F49" s="632"/>
      <c r="G49" s="663"/>
    </row>
    <row r="50" spans="1:15">
      <c r="A50" s="662" t="s">
        <v>742</v>
      </c>
      <c r="B50" s="632"/>
      <c r="C50" s="630" t="s">
        <v>743</v>
      </c>
      <c r="D50" s="632"/>
      <c r="E50" s="632"/>
      <c r="F50" s="632"/>
      <c r="G50" s="632"/>
    </row>
    <row r="51" spans="1:15">
      <c r="A51" s="671" t="s">
        <v>744</v>
      </c>
      <c r="B51" s="635"/>
      <c r="C51" s="672">
        <v>0.03</v>
      </c>
      <c r="D51" s="635" t="s">
        <v>745</v>
      </c>
      <c r="E51" s="635"/>
      <c r="F51" s="635"/>
      <c r="G51" s="673"/>
    </row>
    <row r="53" spans="1:15">
      <c r="A53" s="1028" t="s">
        <v>746</v>
      </c>
      <c r="B53" s="1029"/>
      <c r="C53" s="1030"/>
      <c r="D53" s="1031" t="s">
        <v>747</v>
      </c>
      <c r="E53" s="1033" t="s">
        <v>748</v>
      </c>
      <c r="F53" s="1035" t="s">
        <v>749</v>
      </c>
      <c r="G53" s="1035" t="s">
        <v>750</v>
      </c>
      <c r="H53" s="1035" t="s">
        <v>751</v>
      </c>
      <c r="I53" s="1035" t="s">
        <v>752</v>
      </c>
      <c r="J53" s="1037" t="s">
        <v>753</v>
      </c>
    </row>
    <row r="54" spans="1:15">
      <c r="A54" s="674" t="s">
        <v>754</v>
      </c>
      <c r="B54" s="675" t="s">
        <v>755</v>
      </c>
      <c r="C54" s="676" t="s">
        <v>756</v>
      </c>
      <c r="D54" s="1032"/>
      <c r="E54" s="1034"/>
      <c r="F54" s="1036"/>
      <c r="G54" s="1036"/>
      <c r="H54" s="1036"/>
      <c r="I54" s="1036"/>
      <c r="J54" s="1038"/>
    </row>
    <row r="55" spans="1:15">
      <c r="A55" s="633">
        <v>1</v>
      </c>
      <c r="B55" s="666">
        <v>5</v>
      </c>
      <c r="C55" s="677">
        <v>-1</v>
      </c>
      <c r="D55" s="794">
        <f>F47/3</f>
        <v>14886666.666666666</v>
      </c>
      <c r="E55" s="794"/>
      <c r="F55" s="794"/>
      <c r="G55" s="794"/>
      <c r="H55" s="794"/>
      <c r="I55" s="794">
        <f>$C$51*$D$55</f>
        <v>446599.99999999994</v>
      </c>
      <c r="J55" s="793"/>
      <c r="M55" s="1047" t="s">
        <v>757</v>
      </c>
      <c r="N55" s="1047"/>
      <c r="O55" s="1047"/>
    </row>
    <row r="56" spans="1:15">
      <c r="A56" s="633">
        <v>1</v>
      </c>
      <c r="B56" s="666">
        <v>8</v>
      </c>
      <c r="C56" s="787">
        <v>-1</v>
      </c>
      <c r="D56" s="794">
        <f>D55*2</f>
        <v>29773333.333333332</v>
      </c>
      <c r="E56" s="794"/>
      <c r="F56" s="794">
        <f>C49/2*D55</f>
        <v>2233000</v>
      </c>
      <c r="G56" s="794"/>
      <c r="H56" s="794"/>
      <c r="I56" s="794">
        <f t="shared" ref="I56:I57" si="3">$C$51*$D$55</f>
        <v>446599.99999999994</v>
      </c>
      <c r="J56" s="795"/>
      <c r="M56" s="1024"/>
      <c r="N56" s="1024"/>
      <c r="O56" s="1024"/>
    </row>
    <row r="57" spans="1:15">
      <c r="A57" s="633">
        <v>1</v>
      </c>
      <c r="B57" s="666">
        <v>11</v>
      </c>
      <c r="C57" s="787">
        <v>-1</v>
      </c>
      <c r="D57" s="794">
        <f>F47</f>
        <v>44660000</v>
      </c>
      <c r="E57" s="794"/>
      <c r="F57" s="794">
        <f>C49/2*D56</f>
        <v>4466000</v>
      </c>
      <c r="G57" s="794"/>
      <c r="H57" s="794"/>
      <c r="I57" s="794">
        <f t="shared" si="3"/>
        <v>446599.99999999994</v>
      </c>
      <c r="J57" s="795"/>
      <c r="M57" s="1024"/>
      <c r="N57" s="1024"/>
      <c r="O57" s="1024"/>
    </row>
    <row r="58" spans="1:15">
      <c r="A58" s="633">
        <v>31</v>
      </c>
      <c r="B58" s="666">
        <v>12</v>
      </c>
      <c r="C58" s="680">
        <v>-1</v>
      </c>
      <c r="D58" s="794">
        <f>F47</f>
        <v>44660000</v>
      </c>
      <c r="E58" s="794"/>
      <c r="F58" s="794">
        <f>F57</f>
        <v>4466000</v>
      </c>
      <c r="G58" s="794"/>
      <c r="H58" s="794"/>
      <c r="I58" s="794"/>
      <c r="J58" s="798"/>
      <c r="M58" s="1047" t="s">
        <v>758</v>
      </c>
      <c r="N58" s="1047"/>
      <c r="O58" s="1047"/>
    </row>
    <row r="59" spans="1:15">
      <c r="A59" s="682"/>
      <c r="B59" s="683"/>
      <c r="C59" s="788" t="s">
        <v>759</v>
      </c>
      <c r="D59" s="789"/>
      <c r="E59" s="790"/>
      <c r="F59" s="799">
        <f>SUM(F56:F58)</f>
        <v>11165000</v>
      </c>
      <c r="G59" s="799"/>
      <c r="H59" s="799">
        <f>F59</f>
        <v>11165000</v>
      </c>
      <c r="I59" s="799">
        <f>SUM(I55:I57)</f>
        <v>1339799.9999999998</v>
      </c>
      <c r="J59" s="800">
        <f>I59+H59</f>
        <v>12504800</v>
      </c>
      <c r="M59" s="1049">
        <f>F47/C48</f>
        <v>5582500</v>
      </c>
      <c r="N59" s="1049"/>
      <c r="O59" s="1049"/>
    </row>
    <row r="60" spans="1:15">
      <c r="A60" s="633">
        <v>1</v>
      </c>
      <c r="B60" s="666">
        <v>1</v>
      </c>
      <c r="C60" s="677">
        <v>1</v>
      </c>
      <c r="D60" s="791">
        <f>D58</f>
        <v>44660000</v>
      </c>
      <c r="E60" s="801"/>
      <c r="F60" s="802"/>
      <c r="G60" s="678"/>
      <c r="H60" s="678"/>
      <c r="I60" s="678"/>
      <c r="J60" s="679"/>
      <c r="M60" s="1049"/>
      <c r="N60" s="1049"/>
      <c r="O60" s="1049"/>
    </row>
    <row r="61" spans="1:15">
      <c r="A61" s="633">
        <v>30</v>
      </c>
      <c r="B61" s="666">
        <v>6</v>
      </c>
      <c r="C61" s="677">
        <v>1</v>
      </c>
      <c r="D61" s="791">
        <f>D58-E61</f>
        <v>44660000</v>
      </c>
      <c r="E61" s="802"/>
      <c r="F61" s="792">
        <f>$C$49*D60</f>
        <v>13398000</v>
      </c>
      <c r="G61" s="641"/>
      <c r="H61" s="641"/>
      <c r="I61" s="678"/>
      <c r="J61" s="807">
        <f>F61+E61</f>
        <v>13398000</v>
      </c>
    </row>
    <row r="62" spans="1:15">
      <c r="A62" s="633">
        <v>31</v>
      </c>
      <c r="B62" s="666">
        <v>12</v>
      </c>
      <c r="C62" s="677">
        <v>1</v>
      </c>
      <c r="D62" s="791">
        <f>D61-E61</f>
        <v>44660000</v>
      </c>
      <c r="E62" s="802">
        <f t="shared" ref="E62:E69" si="4">$M$59</f>
        <v>5582500</v>
      </c>
      <c r="F62" s="792">
        <f>$C$49*D61</f>
        <v>13398000</v>
      </c>
      <c r="G62" s="805">
        <f>E60+E61</f>
        <v>0</v>
      </c>
      <c r="H62" s="806">
        <f>F61+F62</f>
        <v>26796000</v>
      </c>
      <c r="I62" s="678"/>
      <c r="J62" s="807">
        <f>F62+E62</f>
        <v>18980500</v>
      </c>
    </row>
    <row r="63" spans="1:15">
      <c r="A63" s="633">
        <v>30</v>
      </c>
      <c r="B63" s="666">
        <v>6</v>
      </c>
      <c r="C63" s="677">
        <v>2</v>
      </c>
      <c r="D63" s="791">
        <f>D62-E62</f>
        <v>39077500</v>
      </c>
      <c r="E63" s="802">
        <f t="shared" si="4"/>
        <v>5582500</v>
      </c>
      <c r="F63" s="792">
        <f>$C$49*D62</f>
        <v>13398000</v>
      </c>
      <c r="G63" s="641"/>
      <c r="H63" s="641"/>
      <c r="I63" s="678"/>
      <c r="J63" s="807">
        <f>F63+E63</f>
        <v>18980500</v>
      </c>
    </row>
    <row r="64" spans="1:15">
      <c r="A64" s="633">
        <v>31</v>
      </c>
      <c r="B64" s="666">
        <v>12</v>
      </c>
      <c r="C64" s="677">
        <v>2</v>
      </c>
      <c r="D64" s="791">
        <f t="shared" ref="D64:D69" si="5">D63-E63</f>
        <v>33495000</v>
      </c>
      <c r="E64" s="802">
        <f t="shared" si="4"/>
        <v>5582500</v>
      </c>
      <c r="F64" s="792">
        <f>$C$49*D63</f>
        <v>11723250</v>
      </c>
      <c r="G64" s="805">
        <f>E63+E62</f>
        <v>11165000</v>
      </c>
      <c r="H64" s="806">
        <f>F63+F64</f>
        <v>25121250</v>
      </c>
      <c r="I64" s="678"/>
      <c r="J64" s="807">
        <f>F64+E64</f>
        <v>17305750</v>
      </c>
    </row>
    <row r="65" spans="1:11">
      <c r="A65" s="633">
        <v>30</v>
      </c>
      <c r="B65" s="666">
        <v>6</v>
      </c>
      <c r="C65" s="677">
        <v>3</v>
      </c>
      <c r="D65" s="791">
        <f t="shared" si="5"/>
        <v>27912500</v>
      </c>
      <c r="E65" s="802">
        <f t="shared" si="4"/>
        <v>5582500</v>
      </c>
      <c r="F65" s="792">
        <f t="shared" ref="F65:F70" si="6">$C$49*D64</f>
        <v>10048500</v>
      </c>
      <c r="G65" s="641"/>
      <c r="H65" s="641"/>
      <c r="I65" s="678"/>
      <c r="J65" s="807">
        <f>F65+E65</f>
        <v>15631000</v>
      </c>
    </row>
    <row r="66" spans="1:11">
      <c r="A66" s="633">
        <v>31</v>
      </c>
      <c r="B66" s="666">
        <v>12</v>
      </c>
      <c r="C66" s="677">
        <v>3</v>
      </c>
      <c r="D66" s="791">
        <f t="shared" si="5"/>
        <v>22330000</v>
      </c>
      <c r="E66" s="802">
        <f t="shared" si="4"/>
        <v>5582500</v>
      </c>
      <c r="F66" s="792">
        <f t="shared" si="6"/>
        <v>8373750</v>
      </c>
      <c r="G66" s="805">
        <f>E65+E64</f>
        <v>11165000</v>
      </c>
      <c r="H66" s="806">
        <f>F65+F66</f>
        <v>18422250</v>
      </c>
      <c r="I66" s="678"/>
      <c r="J66" s="807">
        <f t="shared" ref="J66:J70" si="7">F66+E66</f>
        <v>13956250</v>
      </c>
    </row>
    <row r="67" spans="1:11">
      <c r="A67" s="633">
        <v>30</v>
      </c>
      <c r="B67" s="666">
        <v>6</v>
      </c>
      <c r="C67" s="677">
        <v>4</v>
      </c>
      <c r="D67" s="791">
        <f t="shared" si="5"/>
        <v>16747500</v>
      </c>
      <c r="E67" s="802">
        <f t="shared" si="4"/>
        <v>5582500</v>
      </c>
      <c r="F67" s="792">
        <f t="shared" si="6"/>
        <v>6699000</v>
      </c>
      <c r="G67" s="641"/>
      <c r="H67" s="641"/>
      <c r="I67" s="678"/>
      <c r="J67" s="807">
        <f t="shared" si="7"/>
        <v>12281500</v>
      </c>
    </row>
    <row r="68" spans="1:11">
      <c r="A68" s="633">
        <v>31</v>
      </c>
      <c r="B68" s="666">
        <v>12</v>
      </c>
      <c r="C68" s="677">
        <v>4</v>
      </c>
      <c r="D68" s="791">
        <f t="shared" si="5"/>
        <v>11165000</v>
      </c>
      <c r="E68" s="802">
        <f t="shared" si="4"/>
        <v>5582500</v>
      </c>
      <c r="F68" s="792">
        <f t="shared" si="6"/>
        <v>5024250</v>
      </c>
      <c r="G68" s="805">
        <f>E67+E66</f>
        <v>11165000</v>
      </c>
      <c r="H68" s="806">
        <f>F67+F68</f>
        <v>11723250</v>
      </c>
      <c r="I68" s="678"/>
      <c r="J68" s="807">
        <f t="shared" si="7"/>
        <v>10606750</v>
      </c>
    </row>
    <row r="69" spans="1:11">
      <c r="A69" s="633">
        <v>30</v>
      </c>
      <c r="B69" s="666">
        <v>6</v>
      </c>
      <c r="C69" s="677">
        <v>5</v>
      </c>
      <c r="D69" s="791">
        <f t="shared" si="5"/>
        <v>5582500</v>
      </c>
      <c r="E69" s="802">
        <f t="shared" si="4"/>
        <v>5582500</v>
      </c>
      <c r="F69" s="792">
        <f t="shared" si="6"/>
        <v>3349500</v>
      </c>
      <c r="G69" s="641"/>
      <c r="H69" s="641"/>
      <c r="I69" s="678"/>
      <c r="J69" s="807">
        <f t="shared" si="7"/>
        <v>8932000</v>
      </c>
    </row>
    <row r="70" spans="1:11">
      <c r="A70" s="684">
        <v>31</v>
      </c>
      <c r="B70" s="640">
        <v>12</v>
      </c>
      <c r="C70" s="680">
        <v>5</v>
      </c>
      <c r="D70" s="791">
        <f>D69-E69</f>
        <v>0</v>
      </c>
      <c r="F70" s="792">
        <f t="shared" si="6"/>
        <v>1674750</v>
      </c>
      <c r="G70" s="805">
        <f>E68+E69</f>
        <v>11165000</v>
      </c>
      <c r="H70" s="806">
        <f>F69+F70</f>
        <v>5024250</v>
      </c>
      <c r="I70" s="641"/>
      <c r="J70" s="807">
        <f t="shared" si="7"/>
        <v>1674750</v>
      </c>
    </row>
    <row r="71" spans="1:11">
      <c r="A71" s="1042" t="s">
        <v>224</v>
      </c>
      <c r="B71" s="1043"/>
      <c r="C71" s="1043"/>
      <c r="D71" s="1044"/>
      <c r="E71" s="803">
        <f>SUM(E61:E69)</f>
        <v>44660000</v>
      </c>
      <c r="F71" s="804">
        <f>SUM(F60:F70)</f>
        <v>87087000</v>
      </c>
      <c r="G71" s="803">
        <f>SUM(G62:G70)</f>
        <v>44660000</v>
      </c>
      <c r="H71" s="804">
        <f>SUM(H62:H70)</f>
        <v>87087000</v>
      </c>
      <c r="I71" s="642"/>
      <c r="J71" s="808">
        <f>SUM(J61:J70)</f>
        <v>131747000</v>
      </c>
    </row>
    <row r="73" spans="1:11" ht="18">
      <c r="A73" s="876" t="s">
        <v>760</v>
      </c>
      <c r="B73" s="876"/>
      <c r="C73" s="876"/>
      <c r="D73" s="877"/>
    </row>
    <row r="75" spans="1:11">
      <c r="A75" s="1025" t="s">
        <v>729</v>
      </c>
      <c r="B75" s="1026"/>
      <c r="C75" s="1026"/>
      <c r="D75" s="1026"/>
      <c r="E75" s="1026"/>
      <c r="F75" s="1026"/>
      <c r="G75" s="1027"/>
      <c r="H75" s="632"/>
      <c r="I75" s="1050" t="s">
        <v>731</v>
      </c>
      <c r="J75" s="1050"/>
      <c r="K75" s="564" t="s">
        <v>761</v>
      </c>
    </row>
    <row r="76" spans="1:11">
      <c r="A76" s="662" t="s">
        <v>730</v>
      </c>
      <c r="B76" s="632"/>
      <c r="C76" s="632"/>
      <c r="D76" s="632"/>
      <c r="E76" s="632"/>
      <c r="F76" s="632"/>
      <c r="G76" s="663"/>
      <c r="H76" s="632"/>
      <c r="I76" s="632"/>
      <c r="J76" s="632"/>
    </row>
    <row r="77" spans="1:11">
      <c r="A77" s="662" t="s">
        <v>733</v>
      </c>
      <c r="B77" s="632" t="s">
        <v>734</v>
      </c>
      <c r="C77" s="664">
        <v>0.6</v>
      </c>
      <c r="D77" s="632" t="s">
        <v>762</v>
      </c>
      <c r="E77" s="632"/>
      <c r="F77" s="635"/>
      <c r="G77" s="663"/>
      <c r="H77" s="632"/>
      <c r="I77" s="632"/>
      <c r="J77" s="632"/>
    </row>
    <row r="78" spans="1:11">
      <c r="A78" s="662" t="s">
        <v>736</v>
      </c>
      <c r="B78" s="665"/>
      <c r="C78" s="792">
        <f>'E-Inv AF y Am'!B11</f>
        <v>16385145</v>
      </c>
      <c r="D78" s="632"/>
      <c r="E78" s="639" t="s">
        <v>737</v>
      </c>
      <c r="F78" s="809">
        <f>C77*C78</f>
        <v>9831087</v>
      </c>
      <c r="G78" s="663"/>
      <c r="H78" s="632"/>
      <c r="I78" s="632"/>
      <c r="J78" s="632"/>
    </row>
    <row r="79" spans="1:11" ht="28.5" customHeight="1">
      <c r="A79" s="662" t="s">
        <v>738</v>
      </c>
      <c r="B79" s="632"/>
      <c r="C79" s="668">
        <v>10</v>
      </c>
      <c r="D79" s="669" t="s">
        <v>763</v>
      </c>
      <c r="E79" s="632"/>
      <c r="F79" s="632"/>
      <c r="G79" s="632"/>
      <c r="H79" s="632"/>
      <c r="I79" s="632"/>
      <c r="J79" s="632"/>
    </row>
    <row r="80" spans="1:11">
      <c r="A80" s="662" t="s">
        <v>740</v>
      </c>
      <c r="B80" s="632"/>
      <c r="C80" s="670">
        <v>0.25</v>
      </c>
      <c r="D80" s="632" t="s">
        <v>764</v>
      </c>
      <c r="E80" s="632"/>
      <c r="F80" s="632"/>
      <c r="G80" s="663"/>
      <c r="H80" s="632"/>
      <c r="I80" s="632"/>
      <c r="J80" s="632"/>
    </row>
    <row r="81" spans="1:14">
      <c r="A81" s="662" t="s">
        <v>742</v>
      </c>
      <c r="B81" s="632"/>
      <c r="C81" s="630" t="s">
        <v>743</v>
      </c>
      <c r="D81" s="632"/>
      <c r="E81" s="632"/>
      <c r="F81" s="632"/>
      <c r="G81" s="632"/>
      <c r="H81" s="632"/>
      <c r="I81" s="632"/>
      <c r="J81" s="632"/>
    </row>
    <row r="82" spans="1:14">
      <c r="A82" s="671" t="s">
        <v>744</v>
      </c>
      <c r="B82" s="635"/>
      <c r="C82" s="672">
        <v>0.03</v>
      </c>
      <c r="D82" s="635" t="s">
        <v>745</v>
      </c>
      <c r="E82" s="635"/>
      <c r="F82" s="635"/>
      <c r="G82" s="673"/>
      <c r="H82" s="632"/>
      <c r="I82" s="632"/>
      <c r="J82" s="632"/>
    </row>
    <row r="83" spans="1:14">
      <c r="A83" s="635"/>
      <c r="B83" s="635"/>
      <c r="C83" s="635"/>
      <c r="D83" s="635"/>
      <c r="E83" s="635"/>
      <c r="F83" s="635"/>
      <c r="G83" s="635"/>
      <c r="H83" s="635"/>
      <c r="I83" s="635"/>
      <c r="J83" s="635"/>
    </row>
    <row r="84" spans="1:14">
      <c r="A84" s="1028" t="s">
        <v>746</v>
      </c>
      <c r="B84" s="1029"/>
      <c r="C84" s="1030"/>
      <c r="D84" s="1031" t="s">
        <v>747</v>
      </c>
      <c r="E84" s="1033" t="s">
        <v>748</v>
      </c>
      <c r="F84" s="1035" t="s">
        <v>749</v>
      </c>
      <c r="G84" s="1035" t="s">
        <v>750</v>
      </c>
      <c r="H84" s="1035" t="s">
        <v>751</v>
      </c>
      <c r="I84" s="1035" t="s">
        <v>752</v>
      </c>
      <c r="J84" s="1037" t="s">
        <v>753</v>
      </c>
    </row>
    <row r="85" spans="1:14">
      <c r="A85" s="674" t="s">
        <v>754</v>
      </c>
      <c r="B85" s="675" t="s">
        <v>755</v>
      </c>
      <c r="C85" s="676" t="s">
        <v>756</v>
      </c>
      <c r="D85" s="1032"/>
      <c r="E85" s="1034"/>
      <c r="F85" s="1036"/>
      <c r="G85" s="1036"/>
      <c r="H85" s="1036"/>
      <c r="I85" s="1036"/>
      <c r="J85" s="1038"/>
      <c r="L85" s="1047" t="s">
        <v>758</v>
      </c>
      <c r="M85" s="1047"/>
      <c r="N85" s="1047"/>
    </row>
    <row r="86" spans="1:14">
      <c r="A86" s="633">
        <v>1</v>
      </c>
      <c r="B86" s="666">
        <v>8</v>
      </c>
      <c r="C86" s="677">
        <v>-1</v>
      </c>
      <c r="D86" s="791">
        <f>F78</f>
        <v>9831087</v>
      </c>
      <c r="E86" s="678"/>
      <c r="F86" s="678"/>
      <c r="G86" s="678"/>
      <c r="H86" s="678"/>
      <c r="I86" s="792">
        <f>D86*C82</f>
        <v>294932.61</v>
      </c>
      <c r="J86" s="679"/>
      <c r="L86" s="1048">
        <f>F78/C79</f>
        <v>983108.7</v>
      </c>
      <c r="M86" s="1024"/>
      <c r="N86" s="1024"/>
    </row>
    <row r="87" spans="1:14">
      <c r="A87" s="633">
        <v>31</v>
      </c>
      <c r="B87" s="666">
        <v>12</v>
      </c>
      <c r="C87" s="680">
        <v>-1</v>
      </c>
      <c r="D87" s="796">
        <f>D86</f>
        <v>9831087</v>
      </c>
      <c r="E87" s="641"/>
      <c r="F87" s="797">
        <f>D87*((C80/(6))*4)</f>
        <v>1638514.5</v>
      </c>
      <c r="G87" s="641"/>
      <c r="H87" s="641"/>
      <c r="I87" s="641"/>
      <c r="J87" s="681"/>
      <c r="L87" s="1024"/>
      <c r="M87" s="1024"/>
      <c r="N87" s="1024"/>
    </row>
    <row r="88" spans="1:14">
      <c r="A88" s="682"/>
      <c r="B88" s="683"/>
      <c r="C88" s="1039" t="s">
        <v>759</v>
      </c>
      <c r="D88" s="1040"/>
      <c r="E88" s="1041"/>
      <c r="F88" s="810">
        <f>F87</f>
        <v>1638514.5</v>
      </c>
      <c r="G88" s="641"/>
      <c r="H88" s="810">
        <f>F88</f>
        <v>1638514.5</v>
      </c>
      <c r="I88" s="810">
        <f>C82*F78</f>
        <v>294932.61</v>
      </c>
      <c r="J88" s="800">
        <f>I88+H88</f>
        <v>1933447.1099999999</v>
      </c>
    </row>
    <row r="89" spans="1:14">
      <c r="A89" s="633">
        <v>1</v>
      </c>
      <c r="B89" s="666">
        <v>1</v>
      </c>
      <c r="C89" s="677">
        <v>1</v>
      </c>
      <c r="D89" s="791">
        <f>D87</f>
        <v>9831087</v>
      </c>
      <c r="E89" s="678"/>
      <c r="F89" s="678"/>
      <c r="G89" s="678"/>
      <c r="H89" s="678"/>
      <c r="I89" s="678"/>
      <c r="J89" s="679"/>
    </row>
    <row r="90" spans="1:14">
      <c r="A90" s="633">
        <v>30</v>
      </c>
      <c r="B90" s="666">
        <v>6</v>
      </c>
      <c r="C90" s="677">
        <v>1</v>
      </c>
      <c r="D90" s="791">
        <f>D89-E89</f>
        <v>9831087</v>
      </c>
      <c r="E90" s="792">
        <f>$L$86</f>
        <v>983108.7</v>
      </c>
      <c r="F90" s="792">
        <f>D89*C80</f>
        <v>2457771.75</v>
      </c>
      <c r="G90" s="641"/>
      <c r="H90" s="641"/>
      <c r="I90" s="678"/>
      <c r="J90" s="807">
        <f>F90+E90</f>
        <v>3440880.45</v>
      </c>
    </row>
    <row r="91" spans="1:14">
      <c r="A91" s="633">
        <v>31</v>
      </c>
      <c r="B91" s="666">
        <v>12</v>
      </c>
      <c r="C91" s="677">
        <v>1</v>
      </c>
      <c r="D91" s="878">
        <f t="shared" ref="D91:D99" si="8">D90-E90</f>
        <v>8847978.3000000007</v>
      </c>
      <c r="E91" s="792">
        <f t="shared" ref="E91:E99" si="9">$L$86</f>
        <v>983108.7</v>
      </c>
      <c r="F91" s="791">
        <f>$C$80*D90</f>
        <v>2457771.75</v>
      </c>
      <c r="G91" s="810">
        <f>E90+E91</f>
        <v>1966217.4</v>
      </c>
      <c r="H91" s="806">
        <f>F91+F90</f>
        <v>4915543.5</v>
      </c>
      <c r="I91" s="678"/>
      <c r="J91" s="807">
        <f t="shared" ref="J91:J99" si="10">F91+E91</f>
        <v>3440880.45</v>
      </c>
    </row>
    <row r="92" spans="1:14">
      <c r="A92" s="633">
        <v>30</v>
      </c>
      <c r="B92" s="666">
        <v>6</v>
      </c>
      <c r="C92" s="677">
        <v>2</v>
      </c>
      <c r="D92" s="791">
        <f t="shared" si="8"/>
        <v>7864869.6000000006</v>
      </c>
      <c r="E92" s="792">
        <f t="shared" si="9"/>
        <v>983108.7</v>
      </c>
      <c r="F92" s="791">
        <f t="shared" ref="F92:F99" si="11">$C$80*D91</f>
        <v>2211994.5750000002</v>
      </c>
      <c r="G92" s="641"/>
      <c r="H92" s="641"/>
      <c r="I92" s="678"/>
      <c r="J92" s="807">
        <f t="shared" si="10"/>
        <v>3195103.2750000004</v>
      </c>
    </row>
    <row r="93" spans="1:14">
      <c r="A93" s="633">
        <v>31</v>
      </c>
      <c r="B93" s="666">
        <v>12</v>
      </c>
      <c r="C93" s="677">
        <v>2</v>
      </c>
      <c r="D93" s="878">
        <f t="shared" si="8"/>
        <v>6881760.9000000004</v>
      </c>
      <c r="E93" s="792">
        <f t="shared" si="9"/>
        <v>983108.7</v>
      </c>
      <c r="F93" s="791">
        <f t="shared" si="11"/>
        <v>1966217.4000000001</v>
      </c>
      <c r="G93" s="810">
        <f>E93+E92</f>
        <v>1966217.4</v>
      </c>
      <c r="H93" s="806">
        <f>F93+F92</f>
        <v>4178211.9750000006</v>
      </c>
      <c r="I93" s="678"/>
      <c r="J93" s="807">
        <f t="shared" si="10"/>
        <v>2949326.1</v>
      </c>
    </row>
    <row r="94" spans="1:14">
      <c r="A94" s="633">
        <v>30</v>
      </c>
      <c r="B94" s="666">
        <v>6</v>
      </c>
      <c r="C94" s="677">
        <v>3</v>
      </c>
      <c r="D94" s="791">
        <f t="shared" si="8"/>
        <v>5898652.2000000002</v>
      </c>
      <c r="E94" s="792">
        <f t="shared" si="9"/>
        <v>983108.7</v>
      </c>
      <c r="F94" s="791">
        <f t="shared" si="11"/>
        <v>1720440.2250000001</v>
      </c>
      <c r="G94" s="641"/>
      <c r="H94" s="641"/>
      <c r="I94" s="678"/>
      <c r="J94" s="807">
        <f t="shared" si="10"/>
        <v>2703548.9249999998</v>
      </c>
    </row>
    <row r="95" spans="1:14">
      <c r="A95" s="633">
        <v>31</v>
      </c>
      <c r="B95" s="666">
        <v>12</v>
      </c>
      <c r="C95" s="677">
        <v>3</v>
      </c>
      <c r="D95" s="878">
        <f t="shared" si="8"/>
        <v>4915543.5</v>
      </c>
      <c r="E95" s="792">
        <f t="shared" si="9"/>
        <v>983108.7</v>
      </c>
      <c r="F95" s="791">
        <f t="shared" si="11"/>
        <v>1474663.05</v>
      </c>
      <c r="G95" s="810">
        <f>E95+E94</f>
        <v>1966217.4</v>
      </c>
      <c r="H95" s="806">
        <f>F95+F94</f>
        <v>3195103.2750000004</v>
      </c>
      <c r="I95" s="678"/>
      <c r="J95" s="807">
        <f t="shared" si="10"/>
        <v>2457771.75</v>
      </c>
    </row>
    <row r="96" spans="1:14">
      <c r="A96" s="633">
        <v>30</v>
      </c>
      <c r="B96" s="666">
        <v>6</v>
      </c>
      <c r="C96" s="677">
        <v>4</v>
      </c>
      <c r="D96" s="791">
        <f t="shared" si="8"/>
        <v>3932434.8</v>
      </c>
      <c r="E96" s="792">
        <f t="shared" si="9"/>
        <v>983108.7</v>
      </c>
      <c r="F96" s="791">
        <f t="shared" si="11"/>
        <v>1228885.875</v>
      </c>
      <c r="G96" s="641"/>
      <c r="H96" s="641"/>
      <c r="I96" s="678"/>
      <c r="J96" s="807">
        <f t="shared" si="10"/>
        <v>2211994.5750000002</v>
      </c>
    </row>
    <row r="97" spans="1:10">
      <c r="A97" s="633">
        <v>31</v>
      </c>
      <c r="B97" s="666">
        <v>12</v>
      </c>
      <c r="C97" s="677">
        <v>4</v>
      </c>
      <c r="D97" s="791">
        <f t="shared" si="8"/>
        <v>2949326.0999999996</v>
      </c>
      <c r="E97" s="792">
        <f t="shared" si="9"/>
        <v>983108.7</v>
      </c>
      <c r="F97" s="791">
        <f t="shared" si="11"/>
        <v>983108.7</v>
      </c>
      <c r="G97" s="810">
        <f>E97+E96</f>
        <v>1966217.4</v>
      </c>
      <c r="H97" s="806">
        <f>F97+F96</f>
        <v>2211994.5750000002</v>
      </c>
      <c r="I97" s="678"/>
      <c r="J97" s="807">
        <f t="shared" si="10"/>
        <v>1966217.4</v>
      </c>
    </row>
    <row r="98" spans="1:10">
      <c r="A98" s="633">
        <v>30</v>
      </c>
      <c r="B98" s="666">
        <v>6</v>
      </c>
      <c r="C98" s="677">
        <v>5</v>
      </c>
      <c r="D98" s="791">
        <f t="shared" si="8"/>
        <v>1966217.3999999997</v>
      </c>
      <c r="E98" s="792">
        <f t="shared" si="9"/>
        <v>983108.7</v>
      </c>
      <c r="F98" s="791">
        <f t="shared" si="11"/>
        <v>737331.52499999991</v>
      </c>
      <c r="G98" s="641"/>
      <c r="H98" s="641"/>
      <c r="I98" s="678"/>
      <c r="J98" s="807">
        <f t="shared" si="10"/>
        <v>1720440.2249999999</v>
      </c>
    </row>
    <row r="99" spans="1:10">
      <c r="A99" s="633">
        <v>31</v>
      </c>
      <c r="B99" s="666">
        <v>12</v>
      </c>
      <c r="C99" s="677">
        <v>5</v>
      </c>
      <c r="D99" s="791">
        <f t="shared" si="8"/>
        <v>983108.69999999972</v>
      </c>
      <c r="E99" s="792">
        <f t="shared" si="9"/>
        <v>983108.7</v>
      </c>
      <c r="F99" s="791">
        <f t="shared" si="11"/>
        <v>491554.34999999992</v>
      </c>
      <c r="G99" s="810">
        <f>E99+E98</f>
        <v>1966217.4</v>
      </c>
      <c r="H99" s="806">
        <f>F99+F98</f>
        <v>1228885.8749999998</v>
      </c>
      <c r="I99" s="641"/>
      <c r="J99" s="807">
        <f t="shared" si="10"/>
        <v>1474663.0499999998</v>
      </c>
    </row>
    <row r="100" spans="1:10">
      <c r="A100" s="633">
        <v>1</v>
      </c>
      <c r="B100" s="666">
        <v>1</v>
      </c>
      <c r="C100" s="677">
        <v>6</v>
      </c>
      <c r="D100" s="872">
        <f>D99-E99</f>
        <v>0</v>
      </c>
      <c r="E100" s="633"/>
      <c r="F100" s="666"/>
      <c r="G100" s="633"/>
      <c r="H100" s="666"/>
      <c r="I100" s="633"/>
      <c r="J100" s="666"/>
    </row>
    <row r="101" spans="1:10">
      <c r="A101" s="1042" t="s">
        <v>224</v>
      </c>
      <c r="B101" s="1043"/>
      <c r="C101" s="1043"/>
      <c r="D101" s="1044"/>
      <c r="E101" s="804">
        <f>SUM(E90:E99)</f>
        <v>9831087</v>
      </c>
      <c r="F101" s="804">
        <f>SUM(F90:F99)</f>
        <v>15729739.199999999</v>
      </c>
      <c r="G101" s="804">
        <f>SUM(G91:G99)</f>
        <v>9831087</v>
      </c>
      <c r="H101" s="804">
        <f>SUM(H91:H99)</f>
        <v>15729739.200000003</v>
      </c>
      <c r="I101" s="642"/>
      <c r="J101" s="808">
        <f>SUM(J90:J99)</f>
        <v>25560826.199999999</v>
      </c>
    </row>
    <row r="102" spans="1:10">
      <c r="A102" s="632"/>
      <c r="B102" s="635"/>
      <c r="C102" s="635"/>
      <c r="D102" s="635"/>
      <c r="E102" s="632"/>
      <c r="F102" s="632"/>
      <c r="G102" s="632"/>
      <c r="H102" s="632"/>
      <c r="I102" s="632"/>
      <c r="J102" s="632"/>
    </row>
    <row r="103" spans="1:10">
      <c r="A103" s="663"/>
      <c r="B103" s="636" t="s">
        <v>765</v>
      </c>
      <c r="C103" s="635"/>
      <c r="D103" s="811">
        <f>J59+J88</f>
        <v>14438247.109999999</v>
      </c>
      <c r="E103" s="632"/>
      <c r="F103" s="632"/>
      <c r="G103" s="632"/>
      <c r="H103" s="632"/>
      <c r="I103" s="632"/>
      <c r="J103" s="632"/>
    </row>
    <row r="106" spans="1:10" ht="15.75">
      <c r="A106" s="1045" t="s">
        <v>766</v>
      </c>
      <c r="B106" s="1045"/>
      <c r="C106" s="1045"/>
      <c r="D106" s="1045"/>
      <c r="E106" s="1045"/>
      <c r="F106" s="1045"/>
      <c r="G106" s="1045"/>
      <c r="H106" s="1045"/>
      <c r="I106" s="1045"/>
    </row>
    <row r="107" spans="1:10">
      <c r="A107" s="632"/>
      <c r="B107" s="632"/>
      <c r="C107" s="632"/>
      <c r="D107" s="632"/>
      <c r="E107" s="632"/>
      <c r="F107" s="632"/>
      <c r="G107" s="632"/>
      <c r="H107" s="632"/>
      <c r="I107" s="632"/>
    </row>
    <row r="108" spans="1:10">
      <c r="A108" s="632"/>
      <c r="B108" s="632"/>
      <c r="C108" s="632"/>
      <c r="D108" s="632"/>
      <c r="E108" s="632"/>
      <c r="F108" s="632"/>
      <c r="G108" s="632"/>
      <c r="H108" s="632"/>
      <c r="I108" s="632"/>
    </row>
    <row r="109" spans="1:10" ht="15.75">
      <c r="A109" s="1045" t="s">
        <v>767</v>
      </c>
      <c r="B109" s="1045"/>
      <c r="C109" s="1045"/>
      <c r="D109" s="1045"/>
      <c r="E109" s="1045"/>
      <c r="F109" s="1045"/>
      <c r="G109" s="1045"/>
      <c r="H109" s="1045"/>
      <c r="I109" s="1045"/>
    </row>
    <row r="110" spans="1:10" ht="15">
      <c r="A110" s="632"/>
      <c r="B110" s="632"/>
      <c r="C110" s="632"/>
      <c r="D110" s="632"/>
      <c r="E110" s="632"/>
      <c r="F110" s="632" t="s">
        <v>768</v>
      </c>
      <c r="G110" s="632"/>
      <c r="H110" s="632">
        <v>3</v>
      </c>
      <c r="I110" s="659" t="s">
        <v>769</v>
      </c>
    </row>
    <row r="111" spans="1:10">
      <c r="A111" s="635" t="s">
        <v>770</v>
      </c>
      <c r="B111" s="631">
        <v>5</v>
      </c>
      <c r="C111" s="635"/>
      <c r="D111" s="635"/>
      <c r="E111" s="635"/>
      <c r="F111" s="632"/>
      <c r="G111" s="632"/>
      <c r="H111" s="632"/>
      <c r="I111" s="632"/>
    </row>
    <row r="112" spans="1:10" ht="38.25">
      <c r="A112" s="687" t="s">
        <v>771</v>
      </c>
      <c r="B112" s="688" t="s">
        <v>772</v>
      </c>
      <c r="C112" s="688" t="s">
        <v>773</v>
      </c>
      <c r="D112" s="688" t="s">
        <v>774</v>
      </c>
      <c r="E112" s="689" t="s">
        <v>775</v>
      </c>
      <c r="F112" s="632"/>
      <c r="G112" s="632"/>
      <c r="H112" s="632"/>
      <c r="I112" s="632"/>
    </row>
    <row r="113" spans="1:14">
      <c r="A113" s="633">
        <v>1</v>
      </c>
      <c r="B113" s="792">
        <f>($J$88+$J$59)/$H$110</f>
        <v>4812749.0366666662</v>
      </c>
      <c r="C113" s="792">
        <f>$B$17</f>
        <v>304864.36902869999</v>
      </c>
      <c r="D113" s="792">
        <f>H91+H62</f>
        <v>31711543.5</v>
      </c>
      <c r="E113" s="807">
        <f>SUM(B113:D113)</f>
        <v>36829156.905695364</v>
      </c>
      <c r="F113" s="632"/>
      <c r="G113" s="632"/>
      <c r="H113" s="632"/>
      <c r="I113" s="632"/>
    </row>
    <row r="114" spans="1:14">
      <c r="A114" s="633">
        <v>2</v>
      </c>
      <c r="B114" s="792">
        <f>($J$88+$J$59)/$H$110</f>
        <v>4812749.0366666662</v>
      </c>
      <c r="C114" s="792">
        <f t="shared" ref="C114:C117" si="12">$B$17</f>
        <v>304864.36902869999</v>
      </c>
      <c r="D114" s="792">
        <f>H93+H64</f>
        <v>29299461.975000001</v>
      </c>
      <c r="E114" s="807">
        <f t="shared" ref="E114:E117" si="13">SUM(B114:D114)</f>
        <v>34417075.380695365</v>
      </c>
      <c r="F114" s="632"/>
      <c r="G114" s="632"/>
      <c r="H114" s="632"/>
      <c r="I114" s="632"/>
    </row>
    <row r="115" spans="1:14">
      <c r="A115" s="633">
        <v>3</v>
      </c>
      <c r="B115" s="792">
        <f>($J$88+$J$59)/$H$110</f>
        <v>4812749.0366666662</v>
      </c>
      <c r="C115" s="792">
        <f t="shared" si="12"/>
        <v>304864.36902869999</v>
      </c>
      <c r="D115" s="792">
        <f>H95+H66</f>
        <v>21617353.274999999</v>
      </c>
      <c r="E115" s="807">
        <f t="shared" si="13"/>
        <v>26734966.680695362</v>
      </c>
      <c r="F115" s="632"/>
      <c r="G115" s="632"/>
      <c r="H115" s="632"/>
      <c r="I115" s="632"/>
    </row>
    <row r="116" spans="1:14">
      <c r="A116" s="633">
        <v>4</v>
      </c>
      <c r="B116" s="666"/>
      <c r="C116" s="792">
        <f t="shared" si="12"/>
        <v>304864.36902869999</v>
      </c>
      <c r="D116" s="792">
        <f>H97+H68</f>
        <v>13935244.574999999</v>
      </c>
      <c r="E116" s="807">
        <f t="shared" si="13"/>
        <v>14240108.9440287</v>
      </c>
      <c r="F116" s="632"/>
      <c r="G116" s="632"/>
      <c r="H116" s="632"/>
      <c r="I116" s="632"/>
    </row>
    <row r="117" spans="1:14">
      <c r="A117" s="633">
        <v>5</v>
      </c>
      <c r="B117" s="666"/>
      <c r="C117" s="792">
        <f t="shared" si="12"/>
        <v>304864.36902869999</v>
      </c>
      <c r="D117" s="792">
        <f>H99+H70</f>
        <v>6253135.875</v>
      </c>
      <c r="E117" s="807">
        <f t="shared" si="13"/>
        <v>6558000.2440286996</v>
      </c>
      <c r="F117" s="632"/>
      <c r="G117" s="632"/>
      <c r="H117" s="632"/>
      <c r="I117" s="632"/>
    </row>
    <row r="118" spans="1:14">
      <c r="A118" s="690" t="s">
        <v>776</v>
      </c>
      <c r="B118" s="804">
        <f t="shared" ref="B118" si="14">SUM(B113:B117)</f>
        <v>14438247.109999999</v>
      </c>
      <c r="C118" s="804">
        <f t="shared" ref="C118" si="15">SUM(C113:C117)</f>
        <v>1524321.8451435</v>
      </c>
      <c r="D118" s="804">
        <f t="shared" ref="D118:E118" si="16">SUM(D113:D117)</f>
        <v>102816739.2</v>
      </c>
      <c r="E118" s="804">
        <f t="shared" si="16"/>
        <v>118779308.15514348</v>
      </c>
      <c r="F118" s="632"/>
      <c r="G118" s="632"/>
      <c r="H118" s="632"/>
      <c r="I118" s="632"/>
    </row>
    <row r="119" spans="1:14">
      <c r="A119" s="632"/>
      <c r="B119" s="632"/>
      <c r="C119" s="632"/>
      <c r="D119" s="632"/>
      <c r="E119" s="632"/>
      <c r="F119" s="632"/>
      <c r="G119" s="632"/>
      <c r="H119" s="632"/>
      <c r="I119" s="632"/>
    </row>
    <row r="120" spans="1:14" ht="15.75">
      <c r="A120" s="1045" t="s">
        <v>777</v>
      </c>
      <c r="B120" s="1045"/>
      <c r="C120" s="1045"/>
      <c r="D120" s="1045"/>
      <c r="E120" s="1045"/>
      <c r="F120" s="1045"/>
      <c r="G120" s="1045"/>
      <c r="H120" s="1045"/>
      <c r="I120" s="1045"/>
    </row>
    <row r="121" spans="1:14">
      <c r="A121" s="632"/>
      <c r="B121" s="632"/>
      <c r="C121" s="632"/>
      <c r="D121" s="632"/>
      <c r="E121" s="632"/>
      <c r="F121" s="632"/>
      <c r="G121" s="632"/>
      <c r="H121" s="632"/>
      <c r="I121" s="632"/>
    </row>
    <row r="122" spans="1:14">
      <c r="A122" s="632"/>
      <c r="B122" s="632"/>
      <c r="C122" s="632"/>
      <c r="D122" s="632"/>
      <c r="E122" s="632"/>
      <c r="F122" s="632"/>
      <c r="G122" s="632"/>
      <c r="H122" s="632"/>
      <c r="I122" s="632"/>
    </row>
    <row r="123" spans="1:14" ht="15.75">
      <c r="A123" s="1045" t="s">
        <v>778</v>
      </c>
      <c r="B123" s="1045"/>
      <c r="C123" s="1045"/>
      <c r="D123" s="1045"/>
      <c r="E123" s="1045"/>
      <c r="F123" s="1045"/>
      <c r="G123" s="1045"/>
      <c r="H123" s="1045"/>
      <c r="I123" s="1045"/>
    </row>
    <row r="124" spans="1:14">
      <c r="A124" s="632"/>
      <c r="B124" s="632"/>
      <c r="C124" s="632"/>
      <c r="D124" s="632"/>
      <c r="E124" s="632"/>
      <c r="F124" s="632"/>
      <c r="G124" s="632"/>
      <c r="H124" s="632"/>
      <c r="I124" s="632"/>
    </row>
    <row r="125" spans="1:14">
      <c r="A125" s="632"/>
      <c r="B125" s="632"/>
      <c r="C125" s="632"/>
      <c r="D125" s="632"/>
      <c r="E125" s="632"/>
      <c r="F125" s="632"/>
      <c r="G125" s="632"/>
      <c r="H125" s="632"/>
      <c r="I125" s="632"/>
    </row>
    <row r="126" spans="1:14">
      <c r="A126" s="632"/>
      <c r="B126" s="632"/>
      <c r="C126" s="632"/>
      <c r="D126" s="632"/>
      <c r="E126" s="632"/>
      <c r="F126" s="632"/>
      <c r="G126" s="632"/>
      <c r="H126" s="693"/>
      <c r="I126" s="632"/>
      <c r="J126" s="632"/>
      <c r="K126" s="632"/>
      <c r="L126" s="632"/>
      <c r="M126" s="159"/>
    </row>
    <row r="127" spans="1:14" ht="15">
      <c r="A127" s="694" t="s">
        <v>779</v>
      </c>
      <c r="B127" s="632"/>
      <c r="C127" s="632"/>
      <c r="D127" s="632"/>
      <c r="E127" s="632"/>
      <c r="F127" s="632"/>
      <c r="G127" s="665"/>
      <c r="H127" s="792">
        <f>B118*(1+21%)</f>
        <v>17470279.0031</v>
      </c>
      <c r="I127" s="632"/>
      <c r="J127" s="632" t="s">
        <v>780</v>
      </c>
      <c r="K127" s="632"/>
      <c r="L127" s="696"/>
      <c r="M127" s="812">
        <f>H127/'E-Inv AF y Am'!G57</f>
        <v>0.14703080301181806</v>
      </c>
      <c r="N127" s="159"/>
    </row>
    <row r="128" spans="1:14">
      <c r="A128" s="632"/>
      <c r="B128" s="632"/>
      <c r="C128" s="632"/>
      <c r="D128" s="632"/>
      <c r="E128" s="632"/>
      <c r="F128" s="632"/>
      <c r="G128" s="632"/>
      <c r="H128" s="632"/>
      <c r="I128" s="632"/>
      <c r="J128" s="632"/>
      <c r="K128" s="632"/>
      <c r="L128" s="632"/>
      <c r="M128" s="159"/>
    </row>
    <row r="129" spans="1:12" ht="15">
      <c r="A129" s="632"/>
      <c r="B129" s="632"/>
      <c r="C129" s="695" t="s">
        <v>781</v>
      </c>
      <c r="D129" s="632"/>
      <c r="E129" s="632"/>
      <c r="F129" s="632"/>
      <c r="G129" s="632"/>
      <c r="H129" s="632"/>
      <c r="I129" s="632"/>
      <c r="J129" s="632"/>
      <c r="K129" s="632"/>
      <c r="L129" s="632"/>
    </row>
    <row r="130" spans="1:12" ht="15">
      <c r="A130" s="632"/>
      <c r="B130" s="632"/>
      <c r="C130" s="695" t="s">
        <v>782</v>
      </c>
      <c r="D130" s="632"/>
      <c r="E130" s="632"/>
      <c r="F130" s="632"/>
      <c r="G130" s="632"/>
      <c r="H130" s="632"/>
      <c r="I130" s="632"/>
      <c r="J130" s="632"/>
      <c r="K130" s="632"/>
      <c r="L130" s="632"/>
    </row>
    <row r="131" spans="1:12" ht="15">
      <c r="A131" s="632"/>
      <c r="B131" s="632"/>
      <c r="C131" s="695" t="s">
        <v>783</v>
      </c>
      <c r="D131" s="632"/>
      <c r="E131" s="632"/>
      <c r="F131" s="632"/>
      <c r="G131" s="632"/>
      <c r="H131" s="632"/>
      <c r="I131" s="632"/>
      <c r="J131" s="632"/>
      <c r="K131" s="632"/>
      <c r="L131" s="632"/>
    </row>
    <row r="132" spans="1:12" ht="15">
      <c r="A132" s="632"/>
      <c r="B132" s="632"/>
      <c r="C132" s="695" t="s">
        <v>784</v>
      </c>
      <c r="D132" s="632"/>
      <c r="E132" s="632"/>
      <c r="F132" s="632"/>
      <c r="G132" s="632"/>
      <c r="H132" s="632"/>
      <c r="I132" s="632"/>
      <c r="J132" s="632"/>
      <c r="K132" s="632"/>
      <c r="L132" s="632"/>
    </row>
    <row r="133" spans="1:12">
      <c r="A133" s="632"/>
      <c r="B133" s="632"/>
      <c r="C133" s="632"/>
      <c r="D133" s="632"/>
      <c r="E133" s="632"/>
      <c r="F133" s="632"/>
      <c r="G133" s="632"/>
      <c r="H133" s="632"/>
      <c r="I133" s="632"/>
      <c r="J133" s="632"/>
      <c r="K133" s="632"/>
      <c r="L133" s="632"/>
    </row>
    <row r="135" spans="1:12" ht="15.75">
      <c r="A135" s="1045" t="s">
        <v>785</v>
      </c>
      <c r="B135" s="1045"/>
      <c r="C135" s="1045"/>
      <c r="D135" s="1045"/>
      <c r="E135" s="1045"/>
      <c r="F135" s="1045"/>
      <c r="G135" s="1045"/>
      <c r="H135" s="1045"/>
      <c r="I135" s="1045"/>
    </row>
    <row r="136" spans="1:12">
      <c r="A136" s="632"/>
      <c r="B136" s="632"/>
      <c r="C136" s="632"/>
      <c r="D136" s="632"/>
      <c r="E136" s="632"/>
      <c r="F136" s="632"/>
      <c r="G136" s="632"/>
      <c r="H136" s="632"/>
      <c r="I136" s="632"/>
    </row>
    <row r="137" spans="1:12" ht="15.75">
      <c r="A137" s="1045" t="s">
        <v>786</v>
      </c>
      <c r="B137" s="1045"/>
      <c r="C137" s="1045"/>
      <c r="D137" s="1045"/>
      <c r="E137" s="1045"/>
      <c r="F137" s="1045"/>
      <c r="G137" s="1045"/>
      <c r="H137" s="1045"/>
      <c r="I137" s="1045"/>
    </row>
    <row r="138" spans="1:12">
      <c r="A138" s="632"/>
      <c r="B138" s="693"/>
      <c r="C138" s="693"/>
      <c r="D138" s="693"/>
      <c r="E138" s="693"/>
      <c r="F138" s="693"/>
      <c r="G138" s="693"/>
      <c r="H138" s="632"/>
      <c r="I138" s="632"/>
    </row>
    <row r="139" spans="1:12">
      <c r="A139" s="665"/>
      <c r="B139" s="733" t="s">
        <v>771</v>
      </c>
      <c r="C139" s="638" t="s">
        <v>787</v>
      </c>
      <c r="D139" s="638" t="s">
        <v>788</v>
      </c>
      <c r="E139" s="638" t="s">
        <v>789</v>
      </c>
      <c r="F139" s="638" t="s">
        <v>19</v>
      </c>
      <c r="G139" s="839" t="s">
        <v>790</v>
      </c>
      <c r="H139" s="632"/>
      <c r="I139" s="632"/>
    </row>
    <row r="140" spans="1:12">
      <c r="A140" s="665"/>
      <c r="B140" s="634">
        <v>1</v>
      </c>
      <c r="C140" s="836">
        <f>'E-Costos'!F186</f>
        <v>1369918996.9501033</v>
      </c>
      <c r="D140" s="836">
        <f>'E-Costos'!E186</f>
        <v>128153530.92758608</v>
      </c>
      <c r="E140" s="837">
        <f>E113</f>
        <v>36829156.905695364</v>
      </c>
      <c r="F140" s="836">
        <f>'E-Costos'!D186</f>
        <v>1417500000</v>
      </c>
      <c r="G140" s="838">
        <f>(E140+D140)/(F140-C140)</f>
        <v>3.4674066803566381</v>
      </c>
      <c r="H140" s="734"/>
      <c r="I140" s="632"/>
    </row>
    <row r="141" spans="1:12">
      <c r="A141" s="665"/>
      <c r="B141" s="634">
        <v>2</v>
      </c>
      <c r="C141" s="836">
        <f>'E-Costos'!$F$211</f>
        <v>3672266185.463006</v>
      </c>
      <c r="D141" s="836">
        <f>'E-Costos'!$E$192</f>
        <v>145047288.08633608</v>
      </c>
      <c r="E141" s="837">
        <f>E114</f>
        <v>34417075.380695365</v>
      </c>
      <c r="F141" s="836">
        <f>'E-Costos'!$D$211</f>
        <v>1984500000</v>
      </c>
      <c r="G141" s="838">
        <f>(E141+D141)/(F141-C141)</f>
        <v>-0.10633247958916707</v>
      </c>
      <c r="H141" s="734"/>
      <c r="I141" s="632"/>
    </row>
    <row r="142" spans="1:12">
      <c r="A142" s="665"/>
      <c r="B142" s="634">
        <v>3</v>
      </c>
      <c r="C142" s="836">
        <f>'E-Costos'!$F$211</f>
        <v>3672266185.463006</v>
      </c>
      <c r="D142" s="836">
        <f>'E-Costos'!$E$192</f>
        <v>145047288.08633608</v>
      </c>
      <c r="E142" s="837">
        <f>E115</f>
        <v>26734966.680695362</v>
      </c>
      <c r="F142" s="836">
        <f>'E-Costos'!$D$211</f>
        <v>1984500000</v>
      </c>
      <c r="G142" s="838">
        <f>(E142+D142)/(F142-C142)</f>
        <v>-0.10178083685205856</v>
      </c>
      <c r="H142" s="734"/>
      <c r="I142" s="632"/>
    </row>
    <row r="143" spans="1:12">
      <c r="A143" s="665"/>
      <c r="B143" s="634">
        <v>4</v>
      </c>
      <c r="C143" s="836">
        <f>'E-Costos'!$F$211</f>
        <v>3672266185.463006</v>
      </c>
      <c r="D143" s="836">
        <f>'E-Costos'!$E$192</f>
        <v>145047288.08633608</v>
      </c>
      <c r="E143" s="837">
        <f>E116</f>
        <v>14240108.9440287</v>
      </c>
      <c r="F143" s="836">
        <f>'E-Costos'!$D$211</f>
        <v>1984500000</v>
      </c>
      <c r="G143" s="838">
        <f>(E143+D143)/(F143-C143)</f>
        <v>-9.4377644487922574E-2</v>
      </c>
      <c r="H143" s="734"/>
      <c r="I143" s="632"/>
    </row>
    <row r="144" spans="1:12">
      <c r="A144" s="665"/>
      <c r="B144" s="634">
        <v>5</v>
      </c>
      <c r="C144" s="836">
        <f>'E-Costos'!$F$211</f>
        <v>3672266185.463006</v>
      </c>
      <c r="D144" s="836">
        <f>'E-Costos'!$E$192</f>
        <v>145047288.08633608</v>
      </c>
      <c r="E144" s="837">
        <f>E117</f>
        <v>6558000.2440286996</v>
      </c>
      <c r="F144" s="836">
        <f>'E-Costos'!$D$211</f>
        <v>1984500000</v>
      </c>
      <c r="G144" s="838">
        <f>(E144+D144)/(F144-C144)</f>
        <v>-8.9826001750814066E-2</v>
      </c>
      <c r="H144" s="734"/>
      <c r="I144" s="632"/>
    </row>
    <row r="145" spans="1:9">
      <c r="A145" s="632"/>
      <c r="B145" s="632"/>
      <c r="C145" s="734"/>
      <c r="D145" s="734"/>
      <c r="E145" s="734"/>
      <c r="F145" s="734"/>
      <c r="G145" s="734"/>
      <c r="H145" s="632"/>
      <c r="I145" s="632"/>
    </row>
    <row r="147" spans="1:9">
      <c r="B147" s="159"/>
      <c r="C147" s="159"/>
      <c r="D147" s="159"/>
      <c r="E147" s="159"/>
      <c r="F147" s="159"/>
      <c r="G147" s="159"/>
    </row>
    <row r="148" spans="1:9">
      <c r="A148" s="734"/>
      <c r="B148" s="734"/>
      <c r="C148" s="734"/>
      <c r="D148" s="734"/>
      <c r="E148" s="734"/>
      <c r="F148" s="734"/>
      <c r="G148" s="734"/>
      <c r="H148" s="734"/>
      <c r="I148" s="632"/>
    </row>
    <row r="149" spans="1:9" ht="15.75">
      <c r="A149" s="1045" t="s">
        <v>791</v>
      </c>
      <c r="B149" s="1046"/>
      <c r="C149" s="1046"/>
      <c r="D149" s="1046"/>
      <c r="E149" s="1046"/>
      <c r="F149" s="1046"/>
      <c r="G149" s="1046"/>
      <c r="H149" s="1045"/>
      <c r="I149" s="1045"/>
    </row>
    <row r="150" spans="1:9">
      <c r="A150" s="632"/>
      <c r="B150" s="632"/>
      <c r="C150" s="632"/>
      <c r="D150" s="632"/>
      <c r="E150" s="632"/>
      <c r="F150" s="632"/>
      <c r="G150" s="632"/>
      <c r="H150" s="632"/>
      <c r="I150" s="632"/>
    </row>
    <row r="151" spans="1:9" ht="15.75">
      <c r="A151" s="1045" t="s">
        <v>792</v>
      </c>
      <c r="B151" s="1045"/>
      <c r="C151" s="1045"/>
      <c r="D151" s="1045"/>
      <c r="E151" s="1045"/>
      <c r="F151" s="1045"/>
      <c r="G151" s="1045"/>
      <c r="H151" s="1045"/>
      <c r="I151" s="1045"/>
    </row>
    <row r="152" spans="1:9">
      <c r="A152" s="632"/>
      <c r="B152" s="632"/>
      <c r="C152" s="632"/>
      <c r="D152" s="632"/>
      <c r="E152" s="632"/>
      <c r="F152" s="632"/>
      <c r="G152" s="632"/>
      <c r="H152" s="632"/>
      <c r="I152" s="632"/>
    </row>
    <row r="153" spans="1:9" ht="15.75">
      <c r="A153" s="1045" t="s">
        <v>793</v>
      </c>
      <c r="B153" s="1045"/>
      <c r="C153" s="1045"/>
      <c r="D153" s="1045"/>
      <c r="E153" s="1045"/>
      <c r="F153" s="1045"/>
      <c r="G153" s="1045"/>
      <c r="H153" s="1045"/>
      <c r="I153" s="1045"/>
    </row>
  </sheetData>
  <mergeCells count="38">
    <mergeCell ref="L85:N85"/>
    <mergeCell ref="L86:N87"/>
    <mergeCell ref="I53:I54"/>
    <mergeCell ref="J53:J54"/>
    <mergeCell ref="A71:D71"/>
    <mergeCell ref="M55:O55"/>
    <mergeCell ref="M59:O60"/>
    <mergeCell ref="M58:O58"/>
    <mergeCell ref="M56:O57"/>
    <mergeCell ref="I75:J75"/>
    <mergeCell ref="A53:C53"/>
    <mergeCell ref="D53:D54"/>
    <mergeCell ref="E53:E54"/>
    <mergeCell ref="F53:F54"/>
    <mergeCell ref="G53:G54"/>
    <mergeCell ref="H53:H54"/>
    <mergeCell ref="A153:I153"/>
    <mergeCell ref="A106:I106"/>
    <mergeCell ref="A109:I109"/>
    <mergeCell ref="A120:I120"/>
    <mergeCell ref="A123:I123"/>
    <mergeCell ref="A135:I135"/>
    <mergeCell ref="C88:E88"/>
    <mergeCell ref="A101:D101"/>
    <mergeCell ref="A137:I137"/>
    <mergeCell ref="A149:I149"/>
    <mergeCell ref="A151:I151"/>
    <mergeCell ref="I45:J45"/>
    <mergeCell ref="A44:G44"/>
    <mergeCell ref="A75:G75"/>
    <mergeCell ref="A84:C84"/>
    <mergeCell ref="D84:D85"/>
    <mergeCell ref="E84:E85"/>
    <mergeCell ref="F84:F85"/>
    <mergeCell ref="G84:G85"/>
    <mergeCell ref="H84:H85"/>
    <mergeCell ref="I84:I85"/>
    <mergeCell ref="J84:J85"/>
  </mergeCells>
  <hyperlinks>
    <hyperlink ref="K75" r:id="rId1" xr:uid="{72BA10BB-66B1-486E-81C8-63946DD58D27}"/>
    <hyperlink ref="K45" r:id="rId2" xr:uid="{F1406FC7-D0D0-48CC-8FDC-6FFA979C3DB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EA527-77B7-483D-A976-987D76ACF587}">
  <dimension ref="A1:O69"/>
  <sheetViews>
    <sheetView topLeftCell="A47" workbookViewId="0">
      <selection activeCell="I32" sqref="I32"/>
    </sheetView>
  </sheetViews>
  <sheetFormatPr baseColWidth="10" defaultColWidth="8.85546875" defaultRowHeight="12.75"/>
  <cols>
    <col min="2" max="2" width="22.42578125" customWidth="1"/>
    <col min="8" max="8" width="12.28515625" customWidth="1"/>
    <col min="10" max="10" width="11.5703125" customWidth="1"/>
  </cols>
  <sheetData>
    <row r="1" spans="1:15">
      <c r="A1" s="739"/>
      <c r="B1" s="739" t="s">
        <v>794</v>
      </c>
      <c r="C1" s="740"/>
      <c r="D1" s="740"/>
      <c r="E1" s="740"/>
      <c r="F1" s="740"/>
      <c r="G1" s="739"/>
      <c r="H1" s="739" t="s">
        <v>795</v>
      </c>
      <c r="I1" s="739"/>
      <c r="J1" s="739"/>
      <c r="K1" s="739"/>
      <c r="L1" s="739"/>
      <c r="M1" s="739"/>
      <c r="N1" s="739"/>
      <c r="O1" s="739"/>
    </row>
    <row r="2" spans="1:15">
      <c r="A2" s="1053"/>
      <c r="B2" s="1053"/>
      <c r="C2" s="1053"/>
      <c r="D2" s="1053"/>
      <c r="E2" s="1053"/>
      <c r="F2" s="1053"/>
      <c r="G2" s="739"/>
      <c r="H2" s="739"/>
      <c r="I2" s="739"/>
      <c r="J2" s="739"/>
      <c r="K2" s="739"/>
      <c r="L2" s="739"/>
      <c r="M2" s="739"/>
      <c r="N2" s="739"/>
      <c r="O2" s="739"/>
    </row>
    <row r="3" spans="1:15" ht="27" customHeight="1">
      <c r="A3" s="741" t="s">
        <v>796</v>
      </c>
      <c r="B3" s="742" t="s">
        <v>797</v>
      </c>
      <c r="C3" s="743">
        <v>2065.410711</v>
      </c>
      <c r="D3" s="744" t="s">
        <v>798</v>
      </c>
      <c r="E3" s="745"/>
      <c r="F3" s="740"/>
      <c r="G3" s="746" t="s">
        <v>799</v>
      </c>
      <c r="H3" s="746" t="s">
        <v>800</v>
      </c>
      <c r="I3" s="746" t="s">
        <v>801</v>
      </c>
      <c r="J3" s="746" t="s">
        <v>802</v>
      </c>
      <c r="K3" s="746" t="s">
        <v>803</v>
      </c>
      <c r="L3" s="746" t="s">
        <v>804</v>
      </c>
      <c r="M3" s="230" t="s">
        <v>805</v>
      </c>
      <c r="N3" s="739">
        <f>1890/11.5</f>
        <v>164.34782608695653</v>
      </c>
      <c r="O3" s="739"/>
    </row>
    <row r="4" spans="1:15" ht="25.5" customHeight="1">
      <c r="A4" s="747"/>
      <c r="B4" s="742" t="s">
        <v>806</v>
      </c>
      <c r="C4" s="748">
        <v>0.08</v>
      </c>
      <c r="D4" s="745"/>
      <c r="E4" s="745"/>
      <c r="F4" s="745"/>
      <c r="G4" s="746">
        <v>1</v>
      </c>
      <c r="H4" s="749">
        <v>0</v>
      </c>
      <c r="I4" s="750">
        <v>0.25</v>
      </c>
      <c r="J4" s="751">
        <f>AVERAGE(H4:I4)</f>
        <v>0.125</v>
      </c>
      <c r="K4" s="752">
        <f>$C$6/11.75</f>
        <v>160.85106382978722</v>
      </c>
      <c r="L4" s="752">
        <f>J4*K4</f>
        <v>20.106382978723403</v>
      </c>
      <c r="M4" s="739"/>
      <c r="N4" s="739"/>
      <c r="O4" s="739"/>
    </row>
    <row r="5" spans="1:15" ht="27" customHeight="1">
      <c r="A5" s="747"/>
      <c r="B5" s="742" t="s">
        <v>807</v>
      </c>
      <c r="C5" s="748">
        <v>0</v>
      </c>
      <c r="D5" s="745"/>
      <c r="E5" s="745"/>
      <c r="F5" s="745"/>
      <c r="G5" s="746">
        <v>2</v>
      </c>
      <c r="H5" s="750">
        <v>0.25</v>
      </c>
      <c r="I5" s="750">
        <v>0.55000000000000004</v>
      </c>
      <c r="J5" s="751">
        <f>AVERAGE(H5:I5)</f>
        <v>0.4</v>
      </c>
      <c r="K5" s="752">
        <f t="shared" ref="K5:K6" si="0">$C$6/11.75</f>
        <v>160.85106382978722</v>
      </c>
      <c r="L5" s="752">
        <f>J5*K5</f>
        <v>64.340425531914889</v>
      </c>
      <c r="M5" s="739"/>
      <c r="N5" s="739"/>
      <c r="O5" s="739"/>
    </row>
    <row r="6" spans="1:15" ht="19.5" customHeight="1">
      <c r="A6" s="747"/>
      <c r="B6" s="742" t="s">
        <v>808</v>
      </c>
      <c r="C6" s="753">
        <v>1890</v>
      </c>
      <c r="D6" s="744" t="s">
        <v>798</v>
      </c>
      <c r="E6" s="745"/>
      <c r="F6" s="745"/>
      <c r="G6" s="746">
        <v>3</v>
      </c>
      <c r="H6" s="750">
        <v>0.55000000000000004</v>
      </c>
      <c r="I6" s="750">
        <v>1</v>
      </c>
      <c r="J6" s="751">
        <f t="shared" ref="J6" si="1">AVERAGE(H6:I6)</f>
        <v>0.77500000000000002</v>
      </c>
      <c r="K6" s="752">
        <f t="shared" si="0"/>
        <v>160.85106382978722</v>
      </c>
      <c r="L6" s="752">
        <f>J6*K6</f>
        <v>124.6595744680851</v>
      </c>
      <c r="M6" s="739"/>
      <c r="N6" s="739"/>
      <c r="O6" s="739"/>
    </row>
    <row r="7" spans="1:15" ht="27" customHeight="1">
      <c r="A7" s="741" t="s">
        <v>809</v>
      </c>
      <c r="B7" s="742" t="s">
        <v>94</v>
      </c>
      <c r="C7" s="754">
        <v>3</v>
      </c>
      <c r="D7" s="744" t="s">
        <v>706</v>
      </c>
      <c r="E7" s="755">
        <f>11.5-C7</f>
        <v>8.5</v>
      </c>
      <c r="F7" s="745">
        <v>11.5</v>
      </c>
      <c r="G7" s="756"/>
      <c r="H7" s="757"/>
      <c r="I7" s="757"/>
      <c r="J7" s="757"/>
      <c r="K7" s="757"/>
      <c r="L7" s="758">
        <f>SUM(L4:L6)</f>
        <v>209.10638297872339</v>
      </c>
      <c r="M7" s="739"/>
      <c r="N7" s="739"/>
      <c r="O7" s="739"/>
    </row>
    <row r="8" spans="1:15">
      <c r="A8" s="1054" t="s">
        <v>810</v>
      </c>
      <c r="B8" s="1054"/>
      <c r="C8" s="1054"/>
      <c r="D8" s="1054"/>
      <c r="E8" s="1054"/>
      <c r="F8" s="1054"/>
      <c r="G8" s="739"/>
      <c r="H8" s="739"/>
      <c r="I8" s="739"/>
      <c r="J8" s="230" t="s">
        <v>811</v>
      </c>
      <c r="K8" s="739"/>
      <c r="L8" s="739">
        <f>8.75*K4</f>
        <v>1407.4468085106382</v>
      </c>
      <c r="M8" s="739"/>
      <c r="N8" s="739"/>
      <c r="O8" s="739"/>
    </row>
    <row r="9" spans="1:15">
      <c r="A9" s="747"/>
      <c r="B9" s="741" t="s">
        <v>812</v>
      </c>
      <c r="C9" s="748">
        <v>0.25</v>
      </c>
      <c r="D9" s="745"/>
      <c r="E9" s="745"/>
      <c r="F9" s="745"/>
      <c r="G9" s="1055" t="s">
        <v>813</v>
      </c>
      <c r="H9" s="230" t="s">
        <v>814</v>
      </c>
      <c r="I9" s="739"/>
      <c r="J9" s="759">
        <f>L7+L8</f>
        <v>1616.5531914893616</v>
      </c>
      <c r="K9" s="739"/>
      <c r="L9" s="739"/>
      <c r="M9" s="739"/>
      <c r="N9" s="739"/>
      <c r="O9" s="739"/>
    </row>
    <row r="10" spans="1:15">
      <c r="A10" s="747"/>
      <c r="B10" s="741" t="s">
        <v>815</v>
      </c>
      <c r="C10" s="748">
        <v>0.55000000000000004</v>
      </c>
      <c r="D10" s="745"/>
      <c r="E10" s="745"/>
      <c r="F10" s="745"/>
      <c r="G10" s="1055"/>
      <c r="H10" s="230" t="s">
        <v>816</v>
      </c>
      <c r="I10" s="739"/>
      <c r="J10" s="760">
        <f>C6</f>
        <v>1890</v>
      </c>
      <c r="K10" s="739"/>
      <c r="L10" s="739"/>
      <c r="M10" s="739"/>
      <c r="N10" s="739"/>
      <c r="O10" s="739"/>
    </row>
    <row r="11" spans="1:15">
      <c r="A11" s="747"/>
      <c r="B11" s="741" t="s">
        <v>817</v>
      </c>
      <c r="C11" s="748">
        <v>1</v>
      </c>
      <c r="D11" s="1056" t="s">
        <v>818</v>
      </c>
      <c r="E11" s="1056"/>
      <c r="F11" s="1056"/>
      <c r="G11" s="761" t="s">
        <v>819</v>
      </c>
      <c r="H11" s="230" t="s">
        <v>820</v>
      </c>
      <c r="I11" s="739"/>
      <c r="J11" s="739"/>
      <c r="K11" s="739"/>
      <c r="L11" s="739"/>
      <c r="M11" s="759">
        <f>L7-(1.2-1.1)</f>
        <v>209.00638297872339</v>
      </c>
      <c r="N11" s="739"/>
      <c r="O11" s="739"/>
    </row>
    <row r="12" spans="1:15">
      <c r="A12" s="741" t="s">
        <v>809</v>
      </c>
      <c r="B12" s="1057" t="s">
        <v>821</v>
      </c>
      <c r="C12" s="1057"/>
      <c r="D12" s="1057"/>
      <c r="E12" s="745"/>
      <c r="F12" s="745"/>
      <c r="G12" s="739"/>
      <c r="H12" s="230" t="s">
        <v>822</v>
      </c>
      <c r="I12" s="739">
        <v>51</v>
      </c>
      <c r="J12" s="739"/>
      <c r="K12" s="739"/>
      <c r="L12" s="739"/>
      <c r="M12" s="739"/>
      <c r="N12" s="739"/>
      <c r="O12" s="739"/>
    </row>
    <row r="13" spans="1:15">
      <c r="A13" s="741" t="s">
        <v>809</v>
      </c>
      <c r="B13" s="742" t="s">
        <v>823</v>
      </c>
      <c r="C13" s="740"/>
      <c r="D13" s="740"/>
      <c r="E13" s="739"/>
      <c r="F13" s="739"/>
      <c r="G13" s="739"/>
      <c r="H13" s="230" t="s">
        <v>824</v>
      </c>
      <c r="I13" s="739">
        <f>C6/I12</f>
        <v>37.058823529411768</v>
      </c>
      <c r="J13" s="739"/>
      <c r="K13" s="739"/>
      <c r="L13" s="739"/>
      <c r="M13" s="739"/>
      <c r="N13" s="739"/>
      <c r="O13" s="739"/>
    </row>
    <row r="14" spans="1:15">
      <c r="A14" s="747"/>
      <c r="B14" s="739"/>
      <c r="C14" s="740"/>
      <c r="D14" s="740"/>
      <c r="E14" s="739"/>
      <c r="F14" s="739"/>
      <c r="G14" s="739"/>
      <c r="H14" s="230" t="s">
        <v>825</v>
      </c>
      <c r="I14" s="739">
        <f>I13/2</f>
        <v>18.529411764705884</v>
      </c>
      <c r="J14" s="739" t="s">
        <v>383</v>
      </c>
      <c r="K14" s="739"/>
      <c r="L14" s="739"/>
      <c r="M14" s="739"/>
      <c r="N14" s="739"/>
      <c r="O14" s="739"/>
    </row>
    <row r="15" spans="1:15" ht="15">
      <c r="A15" s="747"/>
      <c r="B15" s="762"/>
      <c r="C15" s="763"/>
      <c r="D15" s="740"/>
      <c r="E15" s="739"/>
      <c r="F15" s="739"/>
      <c r="G15" s="761" t="s">
        <v>826</v>
      </c>
      <c r="H15" s="230" t="s">
        <v>827</v>
      </c>
      <c r="I15" s="739">
        <f>J9-I14</f>
        <v>1598.0237797246557</v>
      </c>
      <c r="J15" s="739"/>
      <c r="K15" s="739"/>
      <c r="L15" s="739"/>
      <c r="M15" s="739"/>
      <c r="N15" s="739"/>
      <c r="O15" s="739"/>
    </row>
    <row r="16" spans="1:15">
      <c r="A16" s="747"/>
      <c r="B16" s="739"/>
      <c r="C16" s="740"/>
      <c r="D16" s="740"/>
      <c r="E16" s="739"/>
      <c r="F16" s="739"/>
      <c r="G16" s="739"/>
      <c r="H16" s="230" t="s">
        <v>828</v>
      </c>
      <c r="I16" s="760">
        <f>C6</f>
        <v>1890</v>
      </c>
      <c r="J16" s="739"/>
      <c r="K16" s="739"/>
      <c r="L16" s="739"/>
      <c r="M16" s="739"/>
      <c r="N16" s="739"/>
      <c r="O16" s="739"/>
    </row>
    <row r="17" spans="1:15" ht="15">
      <c r="A17" s="747"/>
      <c r="B17" s="764" t="s">
        <v>829</v>
      </c>
      <c r="C17" s="765">
        <v>52</v>
      </c>
      <c r="D17" s="740"/>
      <c r="E17" s="739"/>
      <c r="F17" s="739"/>
      <c r="G17" s="761" t="s">
        <v>830</v>
      </c>
      <c r="H17" s="230" t="s">
        <v>831</v>
      </c>
      <c r="I17" s="739">
        <f>C21/5</f>
        <v>48.8</v>
      </c>
      <c r="J17" s="739"/>
      <c r="K17" s="739"/>
      <c r="L17" s="739"/>
      <c r="M17" s="739"/>
      <c r="N17" s="739"/>
      <c r="O17" s="739"/>
    </row>
    <row r="18" spans="1:15" ht="19.5" customHeight="1">
      <c r="A18" s="747"/>
      <c r="B18" s="766" t="s">
        <v>832</v>
      </c>
      <c r="C18" s="767">
        <v>5</v>
      </c>
      <c r="D18" s="740"/>
      <c r="E18" s="739"/>
      <c r="F18" s="739"/>
      <c r="G18" s="739"/>
      <c r="H18" s="739"/>
      <c r="I18" s="739"/>
      <c r="J18" s="739"/>
      <c r="K18" s="739"/>
      <c r="L18" s="739"/>
      <c r="M18" s="739"/>
      <c r="N18" s="739"/>
      <c r="O18" s="739"/>
    </row>
    <row r="19" spans="1:15" ht="30.75" customHeight="1">
      <c r="A19" s="747"/>
      <c r="B19" s="766" t="s">
        <v>833</v>
      </c>
      <c r="C19" s="767">
        <v>5</v>
      </c>
      <c r="D19" s="740"/>
      <c r="E19" s="739"/>
      <c r="F19" s="739"/>
      <c r="G19" s="739"/>
      <c r="H19" s="739"/>
      <c r="I19" s="739"/>
      <c r="J19" s="739"/>
      <c r="K19" s="739"/>
      <c r="L19" s="739"/>
      <c r="M19" s="739"/>
      <c r="N19" s="739"/>
      <c r="O19" s="739"/>
    </row>
    <row r="20" spans="1:15" ht="26.25" customHeight="1">
      <c r="A20" s="747"/>
      <c r="B20" s="766" t="s">
        <v>834</v>
      </c>
      <c r="C20" s="767">
        <v>11</v>
      </c>
      <c r="D20" s="740"/>
      <c r="E20" s="739"/>
      <c r="F20" s="739"/>
      <c r="G20" s="739"/>
      <c r="H20" s="230" t="s">
        <v>835</v>
      </c>
      <c r="I20" s="739"/>
      <c r="J20" s="739">
        <f>J9</f>
        <v>1616.5531914893616</v>
      </c>
      <c r="K20" s="230" t="s">
        <v>836</v>
      </c>
      <c r="L20" s="739"/>
      <c r="M20" s="739"/>
      <c r="N20" s="739"/>
      <c r="O20" s="739"/>
    </row>
    <row r="21" spans="1:15" ht="15">
      <c r="A21" s="747"/>
      <c r="B21" s="766" t="s">
        <v>188</v>
      </c>
      <c r="C21" s="767">
        <f>C17*C18-C19-C20</f>
        <v>244</v>
      </c>
      <c r="D21" s="740"/>
      <c r="E21" s="739"/>
      <c r="F21" s="739"/>
      <c r="G21" s="739"/>
      <c r="H21" s="230"/>
      <c r="I21" s="739"/>
      <c r="J21" s="739"/>
      <c r="K21" s="739"/>
      <c r="L21" s="739"/>
      <c r="M21" s="739"/>
      <c r="N21" s="739"/>
      <c r="O21" s="739"/>
    </row>
    <row r="22" spans="1:15">
      <c r="A22" s="747"/>
      <c r="B22" s="747"/>
      <c r="C22" s="739"/>
      <c r="D22" s="739"/>
      <c r="E22" s="739"/>
      <c r="F22" s="739"/>
      <c r="G22" s="739"/>
      <c r="H22" s="230" t="s">
        <v>837</v>
      </c>
      <c r="I22" s="739"/>
      <c r="J22" s="739">
        <f>C3/C21*5</f>
        <v>42.323989979508198</v>
      </c>
      <c r="K22" s="230" t="s">
        <v>838</v>
      </c>
      <c r="L22" s="739"/>
      <c r="M22" s="739"/>
      <c r="N22" s="739"/>
      <c r="O22" s="739"/>
    </row>
    <row r="23" spans="1:15">
      <c r="A23" s="741"/>
      <c r="B23" s="742"/>
      <c r="C23" s="739"/>
      <c r="D23" s="739"/>
      <c r="E23" s="739"/>
      <c r="F23" s="739"/>
      <c r="G23" s="739"/>
      <c r="H23" s="739"/>
      <c r="I23" s="739"/>
      <c r="J23" s="739"/>
      <c r="K23" s="739"/>
      <c r="L23" s="739"/>
      <c r="M23" s="739"/>
      <c r="N23" s="739"/>
      <c r="O23" s="739"/>
    </row>
    <row r="24" spans="1:15" ht="41.25" customHeight="1">
      <c r="A24" s="741" t="s">
        <v>809</v>
      </c>
      <c r="B24" s="742" t="s">
        <v>34</v>
      </c>
      <c r="C24" s="748">
        <v>0.4</v>
      </c>
      <c r="D24" s="1056" t="s">
        <v>839</v>
      </c>
      <c r="E24" s="1056"/>
      <c r="F24" s="1056"/>
      <c r="G24" s="739"/>
      <c r="H24" s="230" t="s">
        <v>840</v>
      </c>
      <c r="I24" s="739"/>
      <c r="J24" s="739">
        <f>J22+J20</f>
        <v>1658.8771814688698</v>
      </c>
      <c r="K24" s="739"/>
      <c r="L24" s="739"/>
      <c r="M24" s="739"/>
      <c r="N24" s="739"/>
      <c r="O24" s="739"/>
    </row>
    <row r="25" spans="1:15" ht="38.25">
      <c r="A25" s="741" t="s">
        <v>809</v>
      </c>
      <c r="B25" s="1057" t="s">
        <v>841</v>
      </c>
      <c r="C25" s="1057"/>
      <c r="D25" s="740"/>
      <c r="E25" s="740"/>
      <c r="F25" s="740"/>
      <c r="G25" s="739"/>
      <c r="H25" s="230" t="s">
        <v>842</v>
      </c>
      <c r="I25" s="739"/>
      <c r="J25" s="760">
        <f>J10*1</f>
        <v>1890</v>
      </c>
      <c r="K25" s="739" t="s">
        <v>843</v>
      </c>
      <c r="L25" s="739"/>
      <c r="M25" s="739"/>
      <c r="N25" s="739"/>
      <c r="O25" s="739"/>
    </row>
    <row r="26" spans="1:15">
      <c r="A26" s="741" t="s">
        <v>809</v>
      </c>
      <c r="B26" s="1051" t="s">
        <v>844</v>
      </c>
      <c r="C26" s="1051"/>
      <c r="D26" s="1051"/>
      <c r="E26" s="1051"/>
      <c r="F26" s="1051"/>
      <c r="G26" s="761" t="s">
        <v>845</v>
      </c>
      <c r="H26" s="230" t="s">
        <v>846</v>
      </c>
      <c r="I26" s="739"/>
      <c r="J26" s="739"/>
      <c r="K26" s="739"/>
      <c r="L26" s="739"/>
      <c r="M26" s="739"/>
      <c r="N26" s="739"/>
      <c r="O26" s="739"/>
    </row>
    <row r="27" spans="1:15" ht="25.5" customHeight="1">
      <c r="A27" s="739"/>
      <c r="B27" s="739"/>
      <c r="C27" s="740"/>
      <c r="D27" s="740"/>
      <c r="E27" s="740"/>
      <c r="F27" s="740"/>
      <c r="G27" s="739"/>
      <c r="H27" s="230" t="s">
        <v>847</v>
      </c>
      <c r="I27" s="739"/>
      <c r="J27" s="739"/>
      <c r="K27" s="768">
        <f>J10/11.75</f>
        <v>160.85106382978722</v>
      </c>
      <c r="L27" s="739" t="s">
        <v>848</v>
      </c>
      <c r="M27" s="739"/>
      <c r="N27" s="739"/>
      <c r="O27" s="739"/>
    </row>
    <row r="28" spans="1:15">
      <c r="A28" s="1052"/>
      <c r="B28" s="769"/>
      <c r="C28" s="770" t="s">
        <v>849</v>
      </c>
      <c r="D28" s="770" t="s">
        <v>14</v>
      </c>
      <c r="E28" s="770" t="s">
        <v>2</v>
      </c>
      <c r="F28" s="771" t="s">
        <v>850</v>
      </c>
      <c r="G28" s="739"/>
      <c r="H28" s="230" t="s">
        <v>851</v>
      </c>
      <c r="I28" s="739"/>
      <c r="J28" s="739"/>
      <c r="K28" s="739"/>
      <c r="L28" s="739"/>
      <c r="M28" s="739"/>
      <c r="N28" s="739"/>
      <c r="O28" s="739"/>
    </row>
    <row r="29" spans="1:15">
      <c r="A29" s="1052"/>
      <c r="B29" s="772" t="s">
        <v>19</v>
      </c>
      <c r="C29" s="770" t="s">
        <v>852</v>
      </c>
      <c r="D29" s="773"/>
      <c r="E29" s="774">
        <f>I15</f>
        <v>1598.0237797246557</v>
      </c>
      <c r="F29" s="775">
        <f>I16</f>
        <v>1890</v>
      </c>
      <c r="G29" s="739"/>
      <c r="H29" s="230" t="s">
        <v>853</v>
      </c>
      <c r="I29" s="739"/>
      <c r="J29" s="739"/>
      <c r="K29" s="739"/>
      <c r="L29" s="739"/>
      <c r="M29" s="739"/>
      <c r="N29" s="739"/>
      <c r="O29" s="739"/>
    </row>
    <row r="30" spans="1:15" ht="35.25" customHeight="1">
      <c r="A30" s="1052"/>
      <c r="B30" s="772" t="s">
        <v>23</v>
      </c>
      <c r="C30" s="770" t="s">
        <v>852</v>
      </c>
      <c r="D30" s="773"/>
      <c r="E30" s="776">
        <f>I13</f>
        <v>37.058823529411768</v>
      </c>
      <c r="F30" s="746">
        <f>E30</f>
        <v>37.058823529411768</v>
      </c>
      <c r="G30" s="739"/>
      <c r="H30" s="777" t="s">
        <v>50</v>
      </c>
      <c r="I30" s="777" t="s">
        <v>854</v>
      </c>
      <c r="J30" s="778" t="s">
        <v>855</v>
      </c>
      <c r="K30" s="739"/>
      <c r="L30" s="739"/>
      <c r="M30" s="739"/>
      <c r="N30" s="739"/>
      <c r="O30" s="739"/>
    </row>
    <row r="31" spans="1:15">
      <c r="A31" s="1052"/>
      <c r="B31" s="772" t="s">
        <v>25</v>
      </c>
      <c r="C31" s="770" t="s">
        <v>852</v>
      </c>
      <c r="D31" s="773"/>
      <c r="E31" s="774">
        <f>J9</f>
        <v>1616.5531914893616</v>
      </c>
      <c r="F31" s="779">
        <f>F29</f>
        <v>1890</v>
      </c>
      <c r="G31" s="739"/>
      <c r="H31" s="777" t="s">
        <v>856</v>
      </c>
      <c r="I31" s="780">
        <f>K27</f>
        <v>160.85106382978722</v>
      </c>
      <c r="J31" s="780">
        <f>I31</f>
        <v>160.85106382978722</v>
      </c>
      <c r="K31" s="739">
        <f>(I31*1000)/20</f>
        <v>8042.5531914893609</v>
      </c>
      <c r="L31" s="739" t="s">
        <v>857</v>
      </c>
      <c r="M31" s="739"/>
      <c r="N31" s="739"/>
      <c r="O31" s="739"/>
    </row>
    <row r="32" spans="1:15" ht="19.5" customHeight="1">
      <c r="A32" s="1052"/>
      <c r="B32" s="781" t="s">
        <v>28</v>
      </c>
      <c r="C32" s="770" t="s">
        <v>852</v>
      </c>
      <c r="D32" s="773"/>
      <c r="E32" s="774">
        <v>0</v>
      </c>
      <c r="F32" s="782">
        <v>0</v>
      </c>
      <c r="G32" s="739"/>
      <c r="H32" s="777" t="s">
        <v>858</v>
      </c>
      <c r="I32" s="780">
        <f>(I31+J31)-(161*2/3)</f>
        <v>214.36879432624113</v>
      </c>
      <c r="J32" s="778">
        <v>107</v>
      </c>
      <c r="K32" s="739"/>
      <c r="L32" s="739"/>
      <c r="M32" s="739"/>
      <c r="N32" s="739"/>
      <c r="O32" s="739"/>
    </row>
    <row r="33" spans="1:15" ht="23.25" customHeight="1">
      <c r="A33" s="1052"/>
      <c r="B33" s="781" t="s">
        <v>30</v>
      </c>
      <c r="C33" s="770" t="s">
        <v>852</v>
      </c>
      <c r="D33" s="773"/>
      <c r="E33" s="774">
        <f>J22</f>
        <v>42.323989979508198</v>
      </c>
      <c r="F33" s="783">
        <f>J22</f>
        <v>42.323989979508198</v>
      </c>
      <c r="G33" s="739"/>
      <c r="H33" s="777" t="s">
        <v>859</v>
      </c>
      <c r="I33" s="780">
        <f>I32+J32-I31</f>
        <v>160.51773049645391</v>
      </c>
      <c r="J33" s="778">
        <v>161</v>
      </c>
      <c r="K33" s="739"/>
      <c r="L33" s="739"/>
      <c r="M33" s="739"/>
      <c r="N33" s="739"/>
      <c r="O33" s="739"/>
    </row>
    <row r="34" spans="1:15" ht="30" customHeight="1">
      <c r="A34" s="1052"/>
      <c r="B34" s="781" t="s">
        <v>33</v>
      </c>
      <c r="C34" s="770" t="s">
        <v>852</v>
      </c>
      <c r="D34" s="773"/>
      <c r="E34" s="784">
        <f>SUM(E31:E33)</f>
        <v>1658.8771814688698</v>
      </c>
      <c r="F34" s="785">
        <f>F31+F32</f>
        <v>1890</v>
      </c>
      <c r="G34" s="739"/>
      <c r="H34" s="777" t="s">
        <v>860</v>
      </c>
      <c r="I34" s="780">
        <v>161</v>
      </c>
      <c r="J34" s="778">
        <v>161</v>
      </c>
      <c r="K34" s="739"/>
      <c r="L34" s="739"/>
      <c r="M34" s="739"/>
      <c r="N34" s="739"/>
      <c r="O34" s="739"/>
    </row>
    <row r="35" spans="1:15" ht="24.75" customHeight="1">
      <c r="A35" s="1052"/>
      <c r="B35" s="781" t="s">
        <v>34</v>
      </c>
      <c r="C35" s="770" t="s">
        <v>852</v>
      </c>
      <c r="D35" s="773"/>
      <c r="E35" s="784">
        <f>I44</f>
        <v>165.39479905437352</v>
      </c>
      <c r="F35" s="784">
        <f>I44</f>
        <v>165.39479905437352</v>
      </c>
      <c r="G35" s="739"/>
      <c r="H35" s="777" t="s">
        <v>861</v>
      </c>
      <c r="I35" s="780">
        <v>161</v>
      </c>
      <c r="J35" s="778">
        <v>161</v>
      </c>
      <c r="K35" s="739"/>
      <c r="L35" s="739"/>
      <c r="M35" s="739"/>
      <c r="N35" s="739"/>
      <c r="O35" s="739"/>
    </row>
    <row r="36" spans="1:15" ht="20.25" customHeight="1">
      <c r="A36" s="1052"/>
      <c r="B36" s="781" t="s">
        <v>36</v>
      </c>
      <c r="C36" s="770" t="s">
        <v>852</v>
      </c>
      <c r="D36" s="773">
        <f>J20</f>
        <v>1616.5531914893616</v>
      </c>
      <c r="E36" s="784">
        <f>E34+E35-D36</f>
        <v>207.71878903388188</v>
      </c>
      <c r="F36" s="784">
        <f>F34-E36</f>
        <v>1682.2812109661181</v>
      </c>
      <c r="G36" s="739"/>
      <c r="H36" s="777" t="s">
        <v>862</v>
      </c>
      <c r="I36" s="780">
        <v>161</v>
      </c>
      <c r="J36" s="778">
        <v>161</v>
      </c>
      <c r="K36" s="739"/>
      <c r="L36" s="739"/>
      <c r="M36" s="739"/>
      <c r="N36" s="739"/>
      <c r="O36" s="739"/>
    </row>
    <row r="37" spans="1:15">
      <c r="A37" s="739"/>
      <c r="B37" s="739"/>
      <c r="C37" s="739"/>
      <c r="D37" s="739"/>
      <c r="E37" s="739"/>
      <c r="F37" s="739"/>
      <c r="G37" s="739"/>
      <c r="H37" s="777" t="s">
        <v>863</v>
      </c>
      <c r="I37" s="780">
        <v>161</v>
      </c>
      <c r="J37" s="778">
        <v>161</v>
      </c>
      <c r="K37" s="739"/>
      <c r="L37" s="739"/>
      <c r="M37" s="739"/>
      <c r="N37" s="739"/>
      <c r="O37" s="739"/>
    </row>
    <row r="38" spans="1:15">
      <c r="A38" s="739"/>
      <c r="B38" s="739"/>
      <c r="C38" s="739"/>
      <c r="D38" s="739"/>
      <c r="E38" s="739"/>
      <c r="F38" s="739"/>
      <c r="G38" s="739"/>
      <c r="H38" s="777" t="s">
        <v>864</v>
      </c>
      <c r="I38" s="780">
        <v>161</v>
      </c>
      <c r="J38" s="778">
        <v>161</v>
      </c>
      <c r="K38" s="739"/>
      <c r="L38" s="739"/>
      <c r="M38" s="739"/>
      <c r="N38" s="739"/>
      <c r="O38" s="739"/>
    </row>
    <row r="39" spans="1:15">
      <c r="A39" s="739"/>
      <c r="B39" s="739"/>
      <c r="C39" s="739"/>
      <c r="D39" s="739"/>
      <c r="E39" s="739"/>
      <c r="F39" s="739"/>
      <c r="G39" s="739"/>
      <c r="H39" s="777" t="s">
        <v>865</v>
      </c>
      <c r="I39" s="780">
        <v>161</v>
      </c>
      <c r="J39" s="778">
        <v>161</v>
      </c>
      <c r="K39" s="739"/>
      <c r="L39" s="739"/>
      <c r="M39" s="739"/>
      <c r="N39" s="739"/>
      <c r="O39" s="739"/>
    </row>
    <row r="40" spans="1:15">
      <c r="A40" s="739"/>
      <c r="B40" s="739"/>
      <c r="C40" s="739"/>
      <c r="D40" s="739"/>
      <c r="E40" s="739"/>
      <c r="F40" s="739"/>
      <c r="G40" s="739"/>
      <c r="H40" s="777" t="s">
        <v>866</v>
      </c>
      <c r="I40" s="780">
        <v>161</v>
      </c>
      <c r="J40" s="778">
        <v>161</v>
      </c>
      <c r="K40" s="739"/>
      <c r="L40" s="739"/>
      <c r="M40" s="739"/>
      <c r="N40" s="739"/>
      <c r="O40" s="739"/>
    </row>
    <row r="41" spans="1:15">
      <c r="A41" s="739"/>
      <c r="B41" s="739"/>
      <c r="C41" s="740"/>
      <c r="D41" s="740"/>
      <c r="E41" s="740"/>
      <c r="F41" s="740"/>
      <c r="G41" s="739"/>
      <c r="H41" s="777" t="s">
        <v>867</v>
      </c>
      <c r="I41" s="780">
        <v>161</v>
      </c>
      <c r="J41" s="778">
        <v>161</v>
      </c>
      <c r="K41" s="739"/>
      <c r="L41" s="739"/>
      <c r="M41" s="739"/>
      <c r="N41" s="739"/>
      <c r="O41" s="739"/>
    </row>
    <row r="42" spans="1:15">
      <c r="A42" s="739"/>
      <c r="B42" s="739"/>
      <c r="C42" s="740"/>
      <c r="D42" s="740"/>
      <c r="E42" s="740"/>
      <c r="F42" s="740"/>
      <c r="G42" s="739"/>
      <c r="H42" s="777" t="s">
        <v>868</v>
      </c>
      <c r="I42" s="780">
        <v>161</v>
      </c>
      <c r="J42" s="778">
        <v>161</v>
      </c>
      <c r="K42" s="739"/>
      <c r="L42" s="739"/>
      <c r="M42" s="739"/>
      <c r="N42" s="739"/>
      <c r="O42" s="739"/>
    </row>
    <row r="43" spans="1:15">
      <c r="A43" s="739"/>
      <c r="B43" s="739"/>
      <c r="C43" s="740"/>
      <c r="D43" s="740"/>
      <c r="E43" s="740"/>
      <c r="F43" s="740"/>
      <c r="G43" s="739"/>
      <c r="H43" s="739"/>
      <c r="I43" s="739"/>
      <c r="J43" s="739"/>
      <c r="K43" s="739"/>
      <c r="L43" s="739"/>
      <c r="M43" s="739"/>
      <c r="N43" s="739"/>
      <c r="O43" s="739"/>
    </row>
    <row r="44" spans="1:15">
      <c r="A44" s="739"/>
      <c r="B44" s="739"/>
      <c r="C44" s="740"/>
      <c r="D44" s="740"/>
      <c r="E44" s="740"/>
      <c r="F44" s="740"/>
      <c r="G44" s="739" t="s">
        <v>869</v>
      </c>
      <c r="H44" s="230" t="s">
        <v>820</v>
      </c>
      <c r="I44" s="768">
        <f>SUM(I31:I42)/12</f>
        <v>165.39479905437352</v>
      </c>
      <c r="J44" s="739" t="s">
        <v>870</v>
      </c>
      <c r="K44" s="786">
        <f>I44/K27</f>
        <v>1.0282480893592005</v>
      </c>
      <c r="L44" s="230" t="s">
        <v>871</v>
      </c>
      <c r="M44" s="739"/>
      <c r="N44" s="739"/>
      <c r="O44" s="739"/>
    </row>
    <row r="45" spans="1:15">
      <c r="A45" s="739"/>
      <c r="B45" s="739"/>
      <c r="C45" s="740"/>
      <c r="D45" s="740"/>
      <c r="E45" s="740"/>
      <c r="F45" s="740"/>
      <c r="G45" s="739"/>
      <c r="H45" s="739"/>
      <c r="I45" s="739"/>
      <c r="J45" s="739"/>
      <c r="K45" s="739"/>
      <c r="L45" s="739"/>
      <c r="M45" s="739"/>
      <c r="N45" s="739"/>
      <c r="O45" s="739"/>
    </row>
    <row r="46" spans="1:15">
      <c r="A46" s="739"/>
      <c r="B46" s="739"/>
      <c r="C46" s="740"/>
      <c r="D46" s="740"/>
      <c r="E46" s="740"/>
      <c r="F46" s="740"/>
      <c r="G46" s="739"/>
      <c r="H46" s="739"/>
      <c r="I46" s="739"/>
      <c r="J46" s="739"/>
      <c r="K46" s="739"/>
      <c r="L46" s="739"/>
      <c r="M46" s="739"/>
      <c r="N46" s="739"/>
      <c r="O46" s="739"/>
    </row>
    <row r="47" spans="1:15">
      <c r="A47" s="739"/>
      <c r="B47" s="739"/>
      <c r="C47" s="740"/>
      <c r="D47" s="740"/>
      <c r="E47" s="740"/>
      <c r="F47" s="740"/>
      <c r="G47" s="739"/>
      <c r="H47" s="739"/>
      <c r="I47" s="739"/>
      <c r="J47" s="739"/>
      <c r="K47" s="739"/>
      <c r="L47" s="739"/>
      <c r="M47" s="739"/>
      <c r="N47" s="739"/>
      <c r="O47" s="739"/>
    </row>
    <row r="48" spans="1:15">
      <c r="A48" s="739"/>
      <c r="B48" s="739"/>
      <c r="C48" s="740"/>
      <c r="D48" s="740"/>
      <c r="E48" s="740"/>
      <c r="F48" s="740"/>
      <c r="G48" s="739"/>
      <c r="H48" s="739"/>
      <c r="I48" s="739"/>
      <c r="J48" s="739"/>
      <c r="K48" s="739"/>
      <c r="L48" s="739"/>
      <c r="M48" s="739"/>
      <c r="N48" s="739"/>
      <c r="O48" s="739"/>
    </row>
    <row r="49" spans="1:15">
      <c r="A49" s="739"/>
      <c r="B49" s="739"/>
      <c r="C49" s="740"/>
      <c r="D49" s="740"/>
      <c r="E49" s="740"/>
      <c r="F49" s="740"/>
      <c r="G49" s="739"/>
      <c r="H49" s="739"/>
      <c r="I49" s="739"/>
      <c r="J49" s="739"/>
      <c r="K49" s="739"/>
      <c r="L49" s="739"/>
      <c r="M49" s="739"/>
      <c r="N49" s="739"/>
      <c r="O49" s="739"/>
    </row>
    <row r="50" spans="1:15">
      <c r="A50" s="739"/>
      <c r="B50" s="739"/>
      <c r="C50" s="740"/>
      <c r="D50" s="740"/>
      <c r="E50" s="740"/>
      <c r="F50" s="740"/>
      <c r="G50" s="739"/>
      <c r="H50" s="739"/>
      <c r="I50" s="739"/>
      <c r="J50" s="739"/>
      <c r="K50" s="739"/>
      <c r="L50" s="739"/>
      <c r="M50" s="739"/>
      <c r="N50" s="739"/>
      <c r="O50" s="739"/>
    </row>
    <row r="51" spans="1:15">
      <c r="A51" s="739"/>
      <c r="B51" s="739"/>
      <c r="C51" s="740"/>
      <c r="D51" s="740"/>
      <c r="E51" s="740"/>
      <c r="F51" s="740"/>
      <c r="G51" s="739"/>
      <c r="H51" s="739"/>
      <c r="I51" s="739"/>
      <c r="J51" s="739"/>
      <c r="K51" s="739"/>
      <c r="L51" s="739"/>
      <c r="M51" s="739"/>
      <c r="N51" s="739"/>
      <c r="O51" s="739"/>
    </row>
    <row r="52" spans="1:15">
      <c r="A52" s="739"/>
      <c r="B52" s="739"/>
      <c r="C52" s="740"/>
      <c r="D52" s="740"/>
      <c r="E52" s="740"/>
      <c r="F52" s="740"/>
      <c r="G52" s="739"/>
      <c r="H52" s="739"/>
      <c r="I52" s="739"/>
      <c r="J52" s="739"/>
      <c r="K52" s="739"/>
      <c r="L52" s="739"/>
      <c r="M52" s="739"/>
      <c r="N52" s="739"/>
      <c r="O52" s="739"/>
    </row>
    <row r="53" spans="1:15">
      <c r="A53" s="739"/>
      <c r="B53" s="739"/>
      <c r="C53" s="740"/>
      <c r="D53" s="740"/>
      <c r="E53" s="740"/>
      <c r="F53" s="740"/>
      <c r="G53" s="739"/>
      <c r="H53" s="739"/>
      <c r="I53" s="739"/>
      <c r="J53" s="739"/>
      <c r="K53" s="739"/>
      <c r="L53" s="739"/>
      <c r="M53" s="739"/>
      <c r="N53" s="739"/>
      <c r="O53" s="739"/>
    </row>
    <row r="54" spans="1:15">
      <c r="A54" s="739"/>
      <c r="B54" s="739"/>
      <c r="C54" s="740"/>
      <c r="D54" s="740"/>
      <c r="E54" s="740"/>
      <c r="F54" s="740"/>
      <c r="G54" s="739"/>
      <c r="H54" s="739"/>
      <c r="I54" s="739"/>
      <c r="J54" s="739"/>
      <c r="K54" s="739"/>
      <c r="L54" s="739"/>
      <c r="M54" s="739"/>
      <c r="N54" s="739"/>
      <c r="O54" s="739"/>
    </row>
    <row r="55" spans="1:15">
      <c r="A55" s="739"/>
      <c r="B55" s="739"/>
      <c r="C55" s="740"/>
      <c r="D55" s="740"/>
      <c r="E55" s="740"/>
      <c r="F55" s="740"/>
      <c r="G55" s="739"/>
      <c r="H55" s="739"/>
      <c r="I55" s="739"/>
      <c r="J55" s="739"/>
      <c r="K55" s="739"/>
      <c r="L55" s="739"/>
      <c r="M55" s="739"/>
      <c r="N55" s="739"/>
      <c r="O55" s="739"/>
    </row>
    <row r="56" spans="1:15">
      <c r="A56" s="739"/>
      <c r="B56" s="739"/>
      <c r="C56" s="740"/>
      <c r="D56" s="740"/>
      <c r="E56" s="740"/>
      <c r="F56" s="740"/>
      <c r="G56" s="739"/>
      <c r="H56" s="739"/>
      <c r="I56" s="739"/>
      <c r="J56" s="739"/>
      <c r="K56" s="739"/>
      <c r="L56" s="739"/>
      <c r="M56" s="739"/>
      <c r="N56" s="739"/>
      <c r="O56" s="739"/>
    </row>
    <row r="57" spans="1:15">
      <c r="A57" s="739"/>
      <c r="B57" s="739"/>
      <c r="C57" s="740"/>
      <c r="D57" s="740"/>
      <c r="E57" s="740"/>
      <c r="F57" s="740"/>
      <c r="G57" s="739"/>
      <c r="H57" s="739"/>
      <c r="I57" s="739"/>
      <c r="J57" s="739"/>
      <c r="K57" s="739"/>
      <c r="L57" s="739"/>
      <c r="M57" s="739"/>
      <c r="N57" s="739"/>
      <c r="O57" s="739"/>
    </row>
    <row r="58" spans="1:15">
      <c r="A58" s="739"/>
      <c r="B58" s="739"/>
      <c r="C58" s="740"/>
      <c r="D58" s="740"/>
      <c r="E58" s="740"/>
      <c r="F58" s="740"/>
      <c r="G58" s="739"/>
      <c r="H58" s="739"/>
      <c r="I58" s="739"/>
      <c r="J58" s="739"/>
      <c r="K58" s="739"/>
      <c r="L58" s="739"/>
      <c r="M58" s="739"/>
      <c r="N58" s="739"/>
      <c r="O58" s="739"/>
    </row>
    <row r="59" spans="1:15">
      <c r="A59" s="739"/>
      <c r="B59" s="739"/>
      <c r="C59" s="740"/>
      <c r="D59" s="740"/>
      <c r="E59" s="740"/>
      <c r="F59" s="740"/>
      <c r="G59" s="739"/>
      <c r="H59" s="739"/>
      <c r="I59" s="739"/>
      <c r="J59" s="739"/>
      <c r="K59" s="739"/>
      <c r="L59" s="739"/>
      <c r="M59" s="739"/>
      <c r="N59" s="739"/>
      <c r="O59" s="739"/>
    </row>
    <row r="60" spans="1:15">
      <c r="A60" s="739"/>
      <c r="B60" s="739"/>
      <c r="C60" s="740"/>
      <c r="D60" s="740"/>
      <c r="E60" s="740"/>
      <c r="F60" s="740"/>
      <c r="G60" s="739"/>
      <c r="H60" s="739"/>
      <c r="I60" s="739"/>
      <c r="J60" s="739"/>
      <c r="K60" s="739"/>
      <c r="L60" s="739"/>
      <c r="M60" s="739"/>
      <c r="N60" s="739"/>
      <c r="O60" s="739"/>
    </row>
    <row r="61" spans="1:15">
      <c r="A61" s="739"/>
      <c r="B61" s="739"/>
      <c r="C61" s="740"/>
      <c r="D61" s="740"/>
      <c r="E61" s="740"/>
      <c r="F61" s="740"/>
      <c r="G61" s="739"/>
      <c r="H61" s="739"/>
      <c r="I61" s="739"/>
      <c r="J61" s="739"/>
      <c r="K61" s="739"/>
      <c r="L61" s="739"/>
      <c r="M61" s="739"/>
      <c r="N61" s="739"/>
      <c r="O61" s="739"/>
    </row>
    <row r="62" spans="1:15">
      <c r="A62" s="739"/>
      <c r="B62" s="739"/>
      <c r="C62" s="740"/>
      <c r="D62" s="740"/>
      <c r="E62" s="740"/>
      <c r="F62" s="740"/>
      <c r="G62" s="739"/>
      <c r="H62" s="739"/>
      <c r="I62" s="739"/>
      <c r="J62" s="739"/>
      <c r="K62" s="739"/>
      <c r="L62" s="739"/>
      <c r="M62" s="739"/>
      <c r="N62" s="739"/>
      <c r="O62" s="739"/>
    </row>
    <row r="63" spans="1:15">
      <c r="A63" s="739"/>
      <c r="B63" s="739"/>
      <c r="C63" s="740"/>
      <c r="D63" s="740"/>
      <c r="E63" s="740"/>
      <c r="F63" s="740"/>
      <c r="G63" s="739"/>
      <c r="H63" s="739"/>
      <c r="I63" s="739"/>
      <c r="J63" s="739"/>
      <c r="K63" s="739"/>
      <c r="L63" s="739"/>
      <c r="M63" s="739"/>
      <c r="N63" s="739"/>
      <c r="O63" s="739"/>
    </row>
    <row r="64" spans="1:15">
      <c r="A64" s="739"/>
      <c r="B64" s="739"/>
      <c r="C64" s="740"/>
      <c r="D64" s="740"/>
      <c r="E64" s="740"/>
      <c r="F64" s="740"/>
      <c r="G64" s="739"/>
      <c r="H64" s="739"/>
      <c r="I64" s="739"/>
      <c r="J64" s="739"/>
      <c r="K64" s="739"/>
      <c r="L64" s="739"/>
      <c r="M64" s="739"/>
      <c r="N64" s="739"/>
      <c r="O64" s="739"/>
    </row>
    <row r="65" spans="1:15">
      <c r="A65" s="739"/>
      <c r="B65" s="739"/>
      <c r="C65" s="740"/>
      <c r="D65" s="740"/>
      <c r="E65" s="740"/>
      <c r="F65" s="740"/>
      <c r="G65" s="739"/>
      <c r="H65" s="739"/>
      <c r="I65" s="739"/>
      <c r="J65" s="739"/>
      <c r="K65" s="739"/>
      <c r="L65" s="739"/>
      <c r="M65" s="739"/>
      <c r="N65" s="739"/>
      <c r="O65" s="739"/>
    </row>
    <row r="66" spans="1:15">
      <c r="A66" s="739"/>
      <c r="B66" s="739"/>
      <c r="C66" s="740"/>
      <c r="D66" s="740"/>
      <c r="E66" s="740"/>
      <c r="F66" s="740"/>
      <c r="G66" s="739"/>
      <c r="H66" s="739"/>
      <c r="I66" s="739"/>
      <c r="J66" s="739"/>
      <c r="K66" s="739"/>
      <c r="L66" s="739"/>
      <c r="M66" s="739"/>
      <c r="N66" s="739"/>
      <c r="O66" s="739"/>
    </row>
    <row r="67" spans="1:15">
      <c r="A67" s="739"/>
      <c r="B67" s="739"/>
      <c r="C67" s="740"/>
      <c r="D67" s="740"/>
      <c r="E67" s="740"/>
      <c r="F67" s="740"/>
      <c r="G67" s="739"/>
      <c r="H67" s="739"/>
      <c r="I67" s="739"/>
      <c r="J67" s="739"/>
      <c r="K67" s="739"/>
      <c r="L67" s="739"/>
      <c r="M67" s="739"/>
      <c r="N67" s="739"/>
      <c r="O67" s="739"/>
    </row>
    <row r="68" spans="1:15">
      <c r="A68" s="739"/>
      <c r="B68" s="739"/>
      <c r="C68" s="740"/>
      <c r="D68" s="740"/>
      <c r="E68" s="740"/>
      <c r="F68" s="740"/>
      <c r="G68" s="739"/>
      <c r="H68" s="739"/>
      <c r="I68" s="739"/>
      <c r="J68" s="739"/>
      <c r="K68" s="739"/>
      <c r="L68" s="739"/>
      <c r="M68" s="739"/>
      <c r="N68" s="739"/>
      <c r="O68" s="739"/>
    </row>
    <row r="69" spans="1:15">
      <c r="A69" s="739"/>
      <c r="B69" s="739"/>
      <c r="C69" s="740"/>
      <c r="D69" s="740"/>
      <c r="E69" s="740"/>
      <c r="F69" s="740"/>
      <c r="G69" s="739"/>
      <c r="H69" s="739"/>
      <c r="I69" s="739"/>
      <c r="J69" s="739"/>
      <c r="K69" s="739"/>
      <c r="L69" s="739"/>
      <c r="M69" s="739"/>
      <c r="N69" s="739"/>
      <c r="O69" s="739"/>
    </row>
  </sheetData>
  <mergeCells count="9">
    <mergeCell ref="B26:F26"/>
    <mergeCell ref="A28:A36"/>
    <mergeCell ref="A2:F2"/>
    <mergeCell ref="A8:F8"/>
    <mergeCell ref="G9:G10"/>
    <mergeCell ref="D11:F11"/>
    <mergeCell ref="B12:D12"/>
    <mergeCell ref="D24:F24"/>
    <mergeCell ref="B25:C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BE2B1-CC9E-4AFD-B617-4071240F97B1}">
  <sheetPr>
    <tabColor rgb="FFFFFF00"/>
  </sheetPr>
  <dimension ref="A1:Q44"/>
  <sheetViews>
    <sheetView showGridLines="0" workbookViewId="0">
      <selection activeCell="C53" sqref="C53"/>
    </sheetView>
  </sheetViews>
  <sheetFormatPr baseColWidth="10" defaultColWidth="8.85546875" defaultRowHeight="12.75"/>
  <cols>
    <col min="1" max="1" width="56" customWidth="1"/>
    <col min="2" max="2" width="16.7109375" bestFit="1" customWidth="1"/>
    <col min="3" max="3" width="18.7109375" bestFit="1" customWidth="1"/>
    <col min="4" max="4" width="17.42578125" customWidth="1"/>
    <col min="5" max="5" width="15.7109375" bestFit="1" customWidth="1"/>
    <col min="6" max="6" width="17.5703125" customWidth="1"/>
    <col min="7" max="7" width="16.7109375" bestFit="1" customWidth="1"/>
    <col min="8" max="8" width="11" customWidth="1"/>
    <col min="9" max="9" width="14.7109375" bestFit="1" customWidth="1"/>
    <col min="11" max="11" width="15.7109375" bestFit="1" customWidth="1"/>
    <col min="13" max="13" width="9.42578125" customWidth="1"/>
    <col min="14" max="14" width="17.7109375" customWidth="1"/>
    <col min="15" max="15" width="16.28515625" customWidth="1"/>
    <col min="16" max="16" width="14.42578125" customWidth="1"/>
    <col min="17" max="17" width="19.42578125" customWidth="1"/>
  </cols>
  <sheetData>
    <row r="1" spans="1:17">
      <c r="A1" s="1061" t="s">
        <v>56</v>
      </c>
      <c r="B1" s="1061"/>
      <c r="C1" s="1061"/>
      <c r="D1" s="1061"/>
      <c r="E1" s="1062"/>
      <c r="F1" s="589">
        <v>9</v>
      </c>
      <c r="G1" s="590" t="s">
        <v>200</v>
      </c>
      <c r="H1" s="158"/>
      <c r="I1" s="158"/>
    </row>
    <row r="2" spans="1:17" ht="15.75">
      <c r="A2" s="591" t="s">
        <v>872</v>
      </c>
      <c r="B2" s="737" t="s">
        <v>200</v>
      </c>
      <c r="C2" s="737" t="s">
        <v>200</v>
      </c>
      <c r="D2" s="737" t="s">
        <v>200</v>
      </c>
      <c r="E2" s="737" t="s">
        <v>200</v>
      </c>
      <c r="F2" s="737" t="s">
        <v>200</v>
      </c>
      <c r="G2" s="738" t="s">
        <v>200</v>
      </c>
      <c r="H2" s="158"/>
      <c r="I2" s="158"/>
    </row>
    <row r="3" spans="1:17">
      <c r="A3" s="886" t="s">
        <v>444</v>
      </c>
      <c r="B3" s="1058" t="s">
        <v>873</v>
      </c>
      <c r="C3" s="1059"/>
      <c r="D3" s="1058" t="s">
        <v>874</v>
      </c>
      <c r="E3" s="1060"/>
      <c r="F3" s="1059" t="s">
        <v>875</v>
      </c>
      <c r="G3" s="1060"/>
      <c r="H3" s="158"/>
      <c r="I3" s="158"/>
      <c r="M3" s="843" t="s">
        <v>876</v>
      </c>
      <c r="N3" s="844"/>
      <c r="O3" s="845"/>
      <c r="P3" s="845"/>
      <c r="Q3" s="845"/>
    </row>
    <row r="4" spans="1:17">
      <c r="A4" s="886" t="s">
        <v>498</v>
      </c>
      <c r="B4" s="880" t="s">
        <v>877</v>
      </c>
      <c r="C4" s="686" t="s">
        <v>42</v>
      </c>
      <c r="D4" s="880" t="s">
        <v>877</v>
      </c>
      <c r="E4" s="881" t="s">
        <v>42</v>
      </c>
      <c r="F4" s="480" t="s">
        <v>877</v>
      </c>
      <c r="G4" s="881" t="s">
        <v>42</v>
      </c>
      <c r="H4" s="158"/>
      <c r="I4" s="158"/>
      <c r="M4" s="845"/>
      <c r="N4" s="845"/>
      <c r="O4" s="845"/>
      <c r="P4" s="845"/>
      <c r="Q4" s="845"/>
    </row>
    <row r="5" spans="1:17">
      <c r="A5" s="887" t="s">
        <v>878</v>
      </c>
      <c r="B5" s="882">
        <f>SUM('E-Cal Inv.'!B8:D8)</f>
        <v>469481138.04019368</v>
      </c>
      <c r="C5" s="889">
        <f>B5/$B$8</f>
        <v>0.57018721119390592</v>
      </c>
      <c r="D5" s="882">
        <f>'Ej 50-66'!F78+'Ej 50-66'!F47</f>
        <v>54491087</v>
      </c>
      <c r="E5" s="883">
        <f>+D5/SUM($B$5:$B$7)</f>
        <v>6.6179700128430927E-2</v>
      </c>
      <c r="F5" s="707">
        <f>B5-D5</f>
        <v>414990051.04019368</v>
      </c>
      <c r="G5" s="883">
        <f>F5/B8</f>
        <v>0.50400751106547503</v>
      </c>
      <c r="H5" s="158"/>
      <c r="I5" s="158"/>
      <c r="M5" s="846" t="s">
        <v>50</v>
      </c>
      <c r="N5" s="847" t="s">
        <v>879</v>
      </c>
      <c r="O5" s="847" t="s">
        <v>880</v>
      </c>
      <c r="P5" s="847" t="s">
        <v>881</v>
      </c>
      <c r="Q5" s="848" t="s">
        <v>882</v>
      </c>
    </row>
    <row r="6" spans="1:17">
      <c r="A6" s="887" t="s">
        <v>883</v>
      </c>
      <c r="B6" s="882">
        <f>SUM('E-Cal Inv.'!B18:D18)</f>
        <v>210998769.10584119</v>
      </c>
      <c r="C6" s="889">
        <f>B6/$B$8</f>
        <v>0.25625906979782959</v>
      </c>
      <c r="D6" s="895">
        <f>'Ej 50-66'!E35</f>
        <v>846845.46952416655</v>
      </c>
      <c r="E6" s="883">
        <f>+D6/SUM(B5:B7)</f>
        <v>1.0284980959955824E-3</v>
      </c>
      <c r="F6" s="707">
        <f>B6-D6</f>
        <v>210151923.63631701</v>
      </c>
      <c r="G6" s="883">
        <f>F6/B8</f>
        <v>0.255230571701834</v>
      </c>
      <c r="H6" s="158"/>
      <c r="I6" s="158"/>
      <c r="M6" s="849">
        <v>1</v>
      </c>
      <c r="N6" s="851"/>
      <c r="O6" s="851"/>
      <c r="P6" s="850"/>
      <c r="Q6" s="852"/>
    </row>
    <row r="7" spans="1:17">
      <c r="A7" s="887" t="s">
        <v>884</v>
      </c>
      <c r="B7" s="882">
        <f>SUM('E-Cal Inv.'!B23:D23)</f>
        <v>142900780.50066733</v>
      </c>
      <c r="C7" s="889">
        <f>B7/$B$8</f>
        <v>0.17355371900826447</v>
      </c>
      <c r="D7" s="896" t="s">
        <v>200</v>
      </c>
      <c r="E7" s="883"/>
      <c r="F7" s="707"/>
      <c r="G7" s="883">
        <f>C7</f>
        <v>0.17355371900826447</v>
      </c>
      <c r="H7" s="158"/>
      <c r="I7" s="158"/>
      <c r="M7" s="849">
        <v>2</v>
      </c>
      <c r="N7" s="851"/>
      <c r="O7" s="851"/>
      <c r="P7" s="850"/>
      <c r="Q7" s="852"/>
    </row>
    <row r="8" spans="1:17">
      <c r="A8" s="888" t="s">
        <v>595</v>
      </c>
      <c r="B8" s="884">
        <f>SUM(B5:B7)</f>
        <v>823380687.64670217</v>
      </c>
      <c r="C8" s="897">
        <f>SUM(C5:C7)</f>
        <v>0.99999999999999989</v>
      </c>
      <c r="D8" s="884">
        <f>D6+D5</f>
        <v>55337932.469524167</v>
      </c>
      <c r="E8" s="885">
        <f>SUM(E5:E7)</f>
        <v>6.7208198224426516E-2</v>
      </c>
      <c r="F8" s="898">
        <f>SUM(F5:F7)</f>
        <v>625141974.67651069</v>
      </c>
      <c r="G8" s="885">
        <f>SUM(G5:G7)</f>
        <v>0.93279180177557353</v>
      </c>
      <c r="H8" s="158"/>
      <c r="I8" s="158"/>
      <c r="M8" s="849">
        <v>3</v>
      </c>
      <c r="N8" s="851"/>
      <c r="O8" s="851"/>
      <c r="P8" s="850"/>
      <c r="Q8" s="852"/>
    </row>
    <row r="9" spans="1:17">
      <c r="A9" s="596"/>
      <c r="B9" s="890"/>
      <c r="C9" s="891"/>
      <c r="D9" s="891"/>
      <c r="E9" s="891"/>
      <c r="F9" s="891"/>
      <c r="G9" s="892"/>
      <c r="H9" s="158"/>
      <c r="I9" s="158"/>
      <c r="M9" s="849">
        <v>4</v>
      </c>
      <c r="N9" s="851"/>
      <c r="O9" s="851"/>
      <c r="P9" s="850"/>
      <c r="Q9" s="852"/>
    </row>
    <row r="10" spans="1:17" ht="15.75">
      <c r="A10" s="597" t="s">
        <v>885</v>
      </c>
      <c r="B10" s="893">
        <f>E5</f>
        <v>6.6179700128430927E-2</v>
      </c>
      <c r="C10" s="894" t="s">
        <v>200</v>
      </c>
      <c r="D10" s="894" t="s">
        <v>200</v>
      </c>
      <c r="E10" s="894" t="s">
        <v>200</v>
      </c>
      <c r="F10" s="894" t="s">
        <v>200</v>
      </c>
      <c r="G10" s="894" t="s">
        <v>200</v>
      </c>
      <c r="H10" s="598" t="s">
        <v>200</v>
      </c>
      <c r="I10" s="599" t="s">
        <v>200</v>
      </c>
      <c r="M10" s="849">
        <v>5</v>
      </c>
      <c r="N10" s="851"/>
      <c r="O10" s="851"/>
      <c r="P10" s="850"/>
      <c r="Q10" s="852"/>
    </row>
    <row r="11" spans="1:17">
      <c r="A11" s="600" t="s">
        <v>886</v>
      </c>
      <c r="B11" s="601" t="s">
        <v>887</v>
      </c>
      <c r="C11" s="601" t="s">
        <v>888</v>
      </c>
      <c r="D11" s="601" t="s">
        <v>889</v>
      </c>
      <c r="E11" s="601" t="s">
        <v>888</v>
      </c>
      <c r="F11" s="601" t="s">
        <v>890</v>
      </c>
      <c r="G11" s="601" t="s">
        <v>889</v>
      </c>
      <c r="H11" s="601" t="s">
        <v>200</v>
      </c>
      <c r="I11" s="602" t="s">
        <v>891</v>
      </c>
      <c r="M11" s="849">
        <v>6</v>
      </c>
      <c r="N11" s="851"/>
      <c r="O11" s="851"/>
      <c r="P11" s="850"/>
      <c r="Q11" s="852"/>
    </row>
    <row r="12" spans="1:17">
      <c r="A12" s="481" t="s">
        <v>200</v>
      </c>
      <c r="B12" s="594" t="s">
        <v>200</v>
      </c>
      <c r="C12" s="594" t="s">
        <v>892</v>
      </c>
      <c r="D12" s="594" t="s">
        <v>892</v>
      </c>
      <c r="E12" s="594" t="s">
        <v>99</v>
      </c>
      <c r="F12" s="594" t="s">
        <v>893</v>
      </c>
      <c r="G12" s="594" t="s">
        <v>99</v>
      </c>
      <c r="H12" s="594" t="s">
        <v>894</v>
      </c>
      <c r="I12" s="595" t="s">
        <v>895</v>
      </c>
      <c r="M12" s="849">
        <v>7</v>
      </c>
      <c r="N12" s="851"/>
      <c r="O12" s="851"/>
      <c r="P12" s="850"/>
      <c r="Q12" s="852"/>
    </row>
    <row r="13" spans="1:17">
      <c r="A13" s="869" t="s">
        <v>896</v>
      </c>
      <c r="B13" s="621">
        <f>'Ej 50-66'!$F$47+'Ej 50-66'!$F$78</f>
        <v>54491087</v>
      </c>
      <c r="C13" s="621"/>
      <c r="D13" s="621" t="s">
        <v>200</v>
      </c>
      <c r="E13" s="621" t="s">
        <v>200</v>
      </c>
      <c r="F13" s="621" t="s">
        <v>200</v>
      </c>
      <c r="G13" s="621" t="s">
        <v>200</v>
      </c>
      <c r="H13" s="621" t="s">
        <v>200</v>
      </c>
      <c r="I13" s="658"/>
      <c r="M13" s="849">
        <v>8</v>
      </c>
      <c r="N13" s="851"/>
      <c r="O13" s="851"/>
      <c r="P13" s="850"/>
      <c r="Q13" s="852"/>
    </row>
    <row r="14" spans="1:17">
      <c r="A14" s="869" t="s">
        <v>897</v>
      </c>
      <c r="B14" s="621">
        <f>'Ej 50-66'!$F$47+'Ej 50-66'!$F$78</f>
        <v>54491087</v>
      </c>
      <c r="C14" s="621"/>
      <c r="D14" s="621"/>
      <c r="E14" s="621" t="s">
        <v>200</v>
      </c>
      <c r="F14" s="621" t="s">
        <v>200</v>
      </c>
      <c r="G14" s="621">
        <f>'Ej 50-66'!H59+'Ej 50-66'!H88</f>
        <v>12803514.5</v>
      </c>
      <c r="H14" s="608">
        <f>G14/B14*12/6</f>
        <v>0.46993059617254468</v>
      </c>
      <c r="I14" s="658">
        <f>'Ej 50-66'!I88+'Ej 50-66'!I59</f>
        <v>1634732.6099999999</v>
      </c>
      <c r="M14" s="849">
        <v>9</v>
      </c>
      <c r="N14" s="851"/>
      <c r="O14" s="851"/>
      <c r="P14" s="850"/>
      <c r="Q14" s="852"/>
    </row>
    <row r="15" spans="1:17">
      <c r="A15" s="456"/>
      <c r="B15" s="621"/>
      <c r="C15" s="621"/>
      <c r="D15" s="621"/>
      <c r="E15" s="621" t="s">
        <v>200</v>
      </c>
      <c r="F15" s="621" t="s">
        <v>200</v>
      </c>
      <c r="G15" s="621" t="s">
        <v>200</v>
      </c>
      <c r="H15" s="621" t="s">
        <v>200</v>
      </c>
      <c r="I15" s="658"/>
      <c r="M15" s="849">
        <v>10</v>
      </c>
      <c r="N15" s="851"/>
      <c r="O15" s="851"/>
      <c r="P15" s="850"/>
      <c r="Q15" s="852"/>
    </row>
    <row r="16" spans="1:17">
      <c r="A16" s="456"/>
      <c r="B16" s="621"/>
      <c r="C16" s="621"/>
      <c r="D16" s="621"/>
      <c r="E16" s="621" t="s">
        <v>200</v>
      </c>
      <c r="F16" s="621" t="s">
        <v>200</v>
      </c>
      <c r="G16" s="621" t="s">
        <v>200</v>
      </c>
      <c r="H16" s="621" t="s">
        <v>200</v>
      </c>
      <c r="I16" s="658" t="s">
        <v>200</v>
      </c>
      <c r="M16" s="849">
        <v>11</v>
      </c>
      <c r="N16" s="851"/>
      <c r="O16" s="851"/>
      <c r="P16" s="850"/>
      <c r="Q16" s="852"/>
    </row>
    <row r="17" spans="1:17">
      <c r="A17" s="603" t="s">
        <v>200</v>
      </c>
      <c r="B17" s="605" t="s">
        <v>200</v>
      </c>
      <c r="C17" s="604" t="s">
        <v>200</v>
      </c>
      <c r="D17" s="604" t="s">
        <v>200</v>
      </c>
      <c r="E17" s="604" t="s">
        <v>200</v>
      </c>
      <c r="F17" s="604" t="s">
        <v>200</v>
      </c>
      <c r="G17" s="605" t="s">
        <v>200</v>
      </c>
      <c r="H17" s="604" t="s">
        <v>200</v>
      </c>
      <c r="I17" s="606"/>
      <c r="M17" s="849">
        <v>12</v>
      </c>
      <c r="N17" s="851"/>
      <c r="O17" s="851"/>
      <c r="P17" s="850"/>
      <c r="Q17" s="852"/>
    </row>
    <row r="18" spans="1:17">
      <c r="A18" s="596" t="s">
        <v>898</v>
      </c>
      <c r="B18" s="816">
        <f>G18+I18</f>
        <v>14438247.109999999</v>
      </c>
      <c r="C18" s="817"/>
      <c r="D18" s="818">
        <f>SUM(D14:D17)</f>
        <v>0</v>
      </c>
      <c r="E18" s="817"/>
      <c r="F18" s="817"/>
      <c r="G18" s="819">
        <f>SUM(G14:G16)</f>
        <v>12803514.5</v>
      </c>
      <c r="H18" s="820"/>
      <c r="I18" s="816">
        <f>SUM(I13:I17)</f>
        <v>1634732.6099999999</v>
      </c>
      <c r="J18" s="159"/>
      <c r="K18" s="815">
        <f>B18+I18</f>
        <v>16072979.719999999</v>
      </c>
      <c r="M18" s="853" t="s">
        <v>224</v>
      </c>
      <c r="N18" s="854">
        <f>SUM(N6:N17)</f>
        <v>0</v>
      </c>
      <c r="O18" s="854">
        <f t="shared" ref="O18:Q18" si="0">SUM(O6:O17)</f>
        <v>0</v>
      </c>
      <c r="P18" s="854">
        <f t="shared" si="0"/>
        <v>0</v>
      </c>
      <c r="Q18" s="854">
        <f t="shared" si="0"/>
        <v>0</v>
      </c>
    </row>
    <row r="19" spans="1:17">
      <c r="A19" s="870">
        <v>36892</v>
      </c>
      <c r="B19" s="621">
        <f>B14+'Ej 50-66'!C20</f>
        <v>54999194.281714499</v>
      </c>
      <c r="C19" s="731">
        <f>'Ej 50-66'!E90</f>
        <v>983108.7</v>
      </c>
      <c r="D19" s="731">
        <f>'Ej 50-66'!$B$17/2+'Ej 50-66'!F61+'Ej 50-66'!F90</f>
        <v>16008203.934514349</v>
      </c>
      <c r="E19" s="731" t="s">
        <v>200</v>
      </c>
      <c r="F19" s="731" t="s">
        <v>200</v>
      </c>
      <c r="G19" s="621" t="s">
        <v>200</v>
      </c>
      <c r="H19" s="731" t="s">
        <v>200</v>
      </c>
      <c r="I19" s="658" t="s">
        <v>200</v>
      </c>
    </row>
    <row r="20" spans="1:17">
      <c r="A20" s="813" t="s">
        <v>899</v>
      </c>
      <c r="B20" s="621">
        <f t="shared" ref="B20:B29" si="1">B19-C19</f>
        <v>54016085.581714496</v>
      </c>
      <c r="C20" s="621">
        <f>'Ej 50-66'!E61+'Ej 50-66'!E91</f>
        <v>983108.7</v>
      </c>
      <c r="D20" s="621">
        <f>'Ej 50-66'!$B$17/2+'Ej 50-66'!F62+'Ej 50-66'!F91</f>
        <v>16008203.934514349</v>
      </c>
      <c r="E20" s="621">
        <f>$B$14/5</f>
        <v>10898217.4</v>
      </c>
      <c r="F20" s="621">
        <f>AVERAGE(B19:B20)</f>
        <v>54507639.931714498</v>
      </c>
      <c r="G20" s="621">
        <f>D20+D19</f>
        <v>32016407.869028699</v>
      </c>
      <c r="H20" s="608">
        <f>G20/F20</f>
        <v>0.58737468562458173</v>
      </c>
      <c r="I20" s="658" t="s">
        <v>200</v>
      </c>
    </row>
    <row r="21" spans="1:17">
      <c r="A21" s="871">
        <v>37257</v>
      </c>
      <c r="B21" s="621">
        <f t="shared" si="1"/>
        <v>53032976.881714493</v>
      </c>
      <c r="C21" s="621">
        <f>'Ej 50-66'!E62+'Ej 50-66'!E92</f>
        <v>6565608.7000000002</v>
      </c>
      <c r="D21" s="621">
        <f>'Ej 50-66'!$B$17/2+'Ej 50-66'!F63+'Ej 50-66'!F92</f>
        <v>15762426.75951435</v>
      </c>
      <c r="E21" s="621"/>
      <c r="F21" s="621"/>
      <c r="G21" s="621" t="s">
        <v>200</v>
      </c>
      <c r="H21" s="608"/>
      <c r="I21" s="658" t="s">
        <v>200</v>
      </c>
    </row>
    <row r="22" spans="1:17">
      <c r="A22" s="813" t="s">
        <v>900</v>
      </c>
      <c r="B22" s="621">
        <f t="shared" si="1"/>
        <v>46467368.18171449</v>
      </c>
      <c r="C22" s="621">
        <f>'Ej 50-66'!E63+'Ej 50-66'!E93</f>
        <v>6565608.7000000002</v>
      </c>
      <c r="D22" s="621">
        <f>'Ej 50-66'!$B$17/2+'Ej 50-66'!F64+'Ej 50-66'!F93</f>
        <v>13841899.58451435</v>
      </c>
      <c r="E22" s="621">
        <f t="shared" ref="E22:E28" si="2">$B$14/5</f>
        <v>10898217.4</v>
      </c>
      <c r="F22" s="621">
        <f>(B20+B22)/2</f>
        <v>50241726.881714493</v>
      </c>
      <c r="G22" s="621">
        <f>D22+D21</f>
        <v>29604326.3440287</v>
      </c>
      <c r="H22" s="608">
        <f>G22/F22</f>
        <v>0.58923783439464561</v>
      </c>
      <c r="I22" s="658" t="s">
        <v>200</v>
      </c>
      <c r="M22" s="845" t="s">
        <v>901</v>
      </c>
      <c r="N22" s="855">
        <v>114162.36</v>
      </c>
    </row>
    <row r="23" spans="1:17">
      <c r="A23" s="870">
        <v>37622</v>
      </c>
      <c r="B23" s="621">
        <f t="shared" si="1"/>
        <v>39901759.481714487</v>
      </c>
      <c r="C23" s="621">
        <f>'Ej 50-66'!E64+'Ej 50-66'!E94</f>
        <v>6565608.7000000002</v>
      </c>
      <c r="D23" s="621">
        <f>'Ej 50-66'!$B$17/2+'Ej 50-66'!F65+'Ej 50-66'!F94</f>
        <v>11921372.409514349</v>
      </c>
      <c r="E23" s="621"/>
      <c r="F23" s="621"/>
      <c r="G23" s="621" t="s">
        <v>200</v>
      </c>
      <c r="H23" s="608"/>
      <c r="I23" s="658" t="s">
        <v>200</v>
      </c>
      <c r="M23" s="845" t="s">
        <v>902</v>
      </c>
      <c r="N23" s="845" t="s">
        <v>903</v>
      </c>
    </row>
    <row r="24" spans="1:17">
      <c r="A24" s="813" t="s">
        <v>904</v>
      </c>
      <c r="B24" s="621">
        <f t="shared" si="1"/>
        <v>33336150.781714488</v>
      </c>
      <c r="C24" s="621">
        <f>'Ej 50-66'!E65+'Ej 50-66'!E95</f>
        <v>6565608.7000000002</v>
      </c>
      <c r="D24" s="621">
        <f>'Ej 50-66'!$B$17/2+'Ej 50-66'!F66+'Ej 50-66'!F95</f>
        <v>10000845.23451435</v>
      </c>
      <c r="E24" s="621">
        <f t="shared" si="2"/>
        <v>10898217.4</v>
      </c>
      <c r="F24" s="621">
        <f>(B24+B22)/2</f>
        <v>39901759.481714487</v>
      </c>
      <c r="G24" s="621">
        <f>D24+D23</f>
        <v>21922217.644028701</v>
      </c>
      <c r="H24" s="608">
        <f>G24/F24</f>
        <v>0.54940478637476753</v>
      </c>
      <c r="I24" s="658" t="s">
        <v>200</v>
      </c>
    </row>
    <row r="25" spans="1:17">
      <c r="A25" s="871">
        <v>37987</v>
      </c>
      <c r="B25" s="621">
        <f t="shared" si="1"/>
        <v>26770542.081714489</v>
      </c>
      <c r="C25" s="621">
        <f>'Ej 50-66'!E66+'Ej 50-66'!E96</f>
        <v>6565608.7000000002</v>
      </c>
      <c r="D25" s="621">
        <f>'Ej 50-66'!$B$17/2+'Ej 50-66'!F67+'Ej 50-66'!F96</f>
        <v>8080318.0595143503</v>
      </c>
      <c r="E25" s="621"/>
      <c r="F25" s="621"/>
      <c r="G25" s="621"/>
      <c r="H25" s="608"/>
      <c r="I25" s="658" t="s">
        <v>200</v>
      </c>
    </row>
    <row r="26" spans="1:17">
      <c r="A26" s="813" t="s">
        <v>905</v>
      </c>
      <c r="B26" s="621">
        <f t="shared" si="1"/>
        <v>20204933.381714489</v>
      </c>
      <c r="C26" s="621">
        <f>'Ej 50-66'!E67+'Ej 50-66'!E97</f>
        <v>6565608.7000000002</v>
      </c>
      <c r="D26" s="621">
        <f>'Ej 50-66'!$B$17/2+'Ej 50-66'!F68+'Ej 50-66'!F97</f>
        <v>6159790.8845143504</v>
      </c>
      <c r="E26" s="621">
        <f t="shared" si="2"/>
        <v>10898217.4</v>
      </c>
      <c r="F26" s="621">
        <f>(B26+B24)/2</f>
        <v>26770542.081714489</v>
      </c>
      <c r="G26" s="621">
        <f>D26+D25</f>
        <v>14240108.944028702</v>
      </c>
      <c r="H26" s="608">
        <f>G26/F26</f>
        <v>0.53193203561445068</v>
      </c>
      <c r="I26" s="658" t="s">
        <v>200</v>
      </c>
    </row>
    <row r="27" spans="1:17">
      <c r="A27" s="870">
        <v>38353</v>
      </c>
      <c r="B27" s="621">
        <f t="shared" si="1"/>
        <v>13639324.68171449</v>
      </c>
      <c r="C27" s="621">
        <f>'Ej 50-66'!E68+'Ej 50-66'!E98</f>
        <v>6565608.7000000002</v>
      </c>
      <c r="D27" s="621">
        <f>'Ej 50-66'!$B$17/2+'Ej 50-66'!F69+'Ej 50-66'!F98</f>
        <v>4239263.7095143497</v>
      </c>
      <c r="E27" s="621"/>
      <c r="F27" s="621" t="s">
        <v>200</v>
      </c>
      <c r="G27" s="621" t="s">
        <v>200</v>
      </c>
      <c r="H27" s="608"/>
      <c r="I27" s="658" t="s">
        <v>200</v>
      </c>
    </row>
    <row r="28" spans="1:17">
      <c r="A28" s="813" t="s">
        <v>906</v>
      </c>
      <c r="B28" s="621">
        <f t="shared" si="1"/>
        <v>7073715.9817144899</v>
      </c>
      <c r="C28" s="621">
        <f>'Ej 50-66'!E69+'Ej 50-66'!E99</f>
        <v>6565608.7000000002</v>
      </c>
      <c r="D28" s="621">
        <f>'Ej 50-66'!$B$17/2+'Ej 50-66'!F70+'Ej 50-66'!F99</f>
        <v>2318736.5345143499</v>
      </c>
      <c r="E28" s="621">
        <f t="shared" si="2"/>
        <v>10898217.4</v>
      </c>
      <c r="F28" s="621">
        <f>(B28+B26)/2</f>
        <v>13639324.68171449</v>
      </c>
      <c r="G28" s="621">
        <f>D28+D27</f>
        <v>6558000.2440286996</v>
      </c>
      <c r="H28" s="608">
        <f>G28/F28</f>
        <v>0.48081561199438694</v>
      </c>
      <c r="I28" s="658" t="s">
        <v>200</v>
      </c>
    </row>
    <row r="29" spans="1:17">
      <c r="A29" s="813" t="s">
        <v>907</v>
      </c>
      <c r="B29" s="621">
        <f t="shared" si="1"/>
        <v>508107.28171448968</v>
      </c>
      <c r="C29" s="621"/>
      <c r="D29" s="621"/>
      <c r="E29" s="621"/>
      <c r="F29" s="621" t="s">
        <v>200</v>
      </c>
      <c r="G29" s="621" t="s">
        <v>200</v>
      </c>
      <c r="H29" s="621" t="s">
        <v>200</v>
      </c>
      <c r="I29" s="658" t="s">
        <v>200</v>
      </c>
    </row>
    <row r="30" spans="1:17">
      <c r="A30" s="481" t="s">
        <v>776</v>
      </c>
      <c r="B30" s="821">
        <f>E30+G30</f>
        <v>158832148.04514349</v>
      </c>
      <c r="C30" s="821">
        <f>SUM(C19:C29)</f>
        <v>54491087.000000007</v>
      </c>
      <c r="D30" s="821">
        <f>SUM(D19:D29)</f>
        <v>104341061.0451435</v>
      </c>
      <c r="E30" s="821">
        <f>SUM(E20:E28)</f>
        <v>54491087</v>
      </c>
      <c r="F30" s="821">
        <f>SUM(F20:F28)</f>
        <v>185060993.05857247</v>
      </c>
      <c r="G30" s="821">
        <f>SUM(G20:G28)</f>
        <v>104341061.0451435</v>
      </c>
      <c r="H30" s="821" t="s">
        <v>200</v>
      </c>
      <c r="I30" s="822">
        <f>I18</f>
        <v>1634732.6099999999</v>
      </c>
    </row>
    <row r="31" spans="1:17">
      <c r="F31" s="815">
        <f>B13-E20</f>
        <v>43592869.600000001</v>
      </c>
    </row>
    <row r="32" spans="1:17">
      <c r="A32" s="159"/>
      <c r="B32" s="159"/>
      <c r="F32" s="815">
        <f>F31/5</f>
        <v>8718573.9199999999</v>
      </c>
    </row>
    <row r="33" spans="1:5">
      <c r="A33" s="814" t="s">
        <v>908</v>
      </c>
      <c r="B33" s="841">
        <f>G18+I18</f>
        <v>14438247.109999999</v>
      </c>
      <c r="C33" s="159"/>
    </row>
    <row r="34" spans="1:5">
      <c r="A34" s="159"/>
      <c r="B34" s="159"/>
    </row>
    <row r="37" spans="1:5">
      <c r="A37" s="1063" t="s">
        <v>771</v>
      </c>
      <c r="B37" s="1065" t="s">
        <v>909</v>
      </c>
      <c r="C37" s="1065" t="s">
        <v>910</v>
      </c>
      <c r="D37" s="1065"/>
      <c r="E37" s="1065" t="s">
        <v>911</v>
      </c>
    </row>
    <row r="38" spans="1:5">
      <c r="A38" s="1064"/>
      <c r="B38" s="1066"/>
      <c r="C38" s="1066"/>
      <c r="D38" s="1066"/>
      <c r="E38" s="1066"/>
    </row>
    <row r="39" spans="1:5">
      <c r="A39" s="824">
        <v>1</v>
      </c>
      <c r="B39" s="825">
        <f>(G$18+I$18)/3</f>
        <v>4812749.0366666662</v>
      </c>
      <c r="C39" s="826">
        <f>G22</f>
        <v>29604326.3440287</v>
      </c>
      <c r="D39" s="825"/>
      <c r="E39" s="825">
        <f t="shared" ref="E39:E43" si="3">SUM(B39:D39)</f>
        <v>34417075.380695365</v>
      </c>
    </row>
    <row r="40" spans="1:5">
      <c r="A40" s="824">
        <v>2</v>
      </c>
      <c r="B40" s="825">
        <f>(G$18+I$18)/3</f>
        <v>4812749.0366666662</v>
      </c>
      <c r="C40" s="826">
        <f>G22</f>
        <v>29604326.3440287</v>
      </c>
      <c r="D40" s="825"/>
      <c r="E40" s="825">
        <f t="shared" si="3"/>
        <v>34417075.380695365</v>
      </c>
    </row>
    <row r="41" spans="1:5">
      <c r="A41" s="824">
        <v>3</v>
      </c>
      <c r="B41" s="825">
        <f>(G$18+I$18)/3</f>
        <v>4812749.0366666662</v>
      </c>
      <c r="C41" s="826">
        <f>G24</f>
        <v>21922217.644028701</v>
      </c>
      <c r="D41" s="825"/>
      <c r="E41" s="825">
        <f t="shared" si="3"/>
        <v>26734966.680695366</v>
      </c>
    </row>
    <row r="42" spans="1:5">
      <c r="A42" s="824">
        <v>4</v>
      </c>
      <c r="B42" s="825"/>
      <c r="C42" s="826">
        <f>G26</f>
        <v>14240108.944028702</v>
      </c>
      <c r="D42" s="825"/>
      <c r="E42" s="825">
        <f t="shared" si="3"/>
        <v>14240108.944028702</v>
      </c>
    </row>
    <row r="43" spans="1:5">
      <c r="A43" s="824">
        <v>5</v>
      </c>
      <c r="B43" s="825"/>
      <c r="C43" s="826">
        <f>G28</f>
        <v>6558000.2440286996</v>
      </c>
      <c r="D43" s="825"/>
      <c r="E43" s="825">
        <f t="shared" si="3"/>
        <v>6558000.2440286996</v>
      </c>
    </row>
    <row r="44" spans="1:5">
      <c r="A44" s="827" t="s">
        <v>595</v>
      </c>
      <c r="B44" s="828">
        <f t="shared" ref="B44:C44" si="4">SUM(B39:B43)</f>
        <v>14438247.109999999</v>
      </c>
      <c r="C44" s="829">
        <f t="shared" si="4"/>
        <v>101928979.52014351</v>
      </c>
      <c r="D44" s="828"/>
      <c r="E44" s="828">
        <f>SUM(E39:E43)</f>
        <v>116367226.63014351</v>
      </c>
    </row>
  </sheetData>
  <mergeCells count="9">
    <mergeCell ref="B3:C3"/>
    <mergeCell ref="D3:E3"/>
    <mergeCell ref="F3:G3"/>
    <mergeCell ref="A1:E1"/>
    <mergeCell ref="A37:A38"/>
    <mergeCell ref="B37:B38"/>
    <mergeCell ref="C37:C38"/>
    <mergeCell ref="D37:D38"/>
    <mergeCell ref="E37:E3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9654C-6BF5-4BAD-85B6-BE85E0FEDDCA}">
  <sheetPr>
    <tabColor rgb="FFFFFF00"/>
  </sheetPr>
  <dimension ref="A1:I28"/>
  <sheetViews>
    <sheetView topLeftCell="A20" workbookViewId="0">
      <selection activeCell="C38" sqref="C38"/>
    </sheetView>
  </sheetViews>
  <sheetFormatPr baseColWidth="10" defaultColWidth="8.85546875" defaultRowHeight="12.75"/>
  <cols>
    <col min="1" max="1" width="43.7109375" customWidth="1"/>
    <col min="2" max="7" width="18.42578125" bestFit="1" customWidth="1"/>
  </cols>
  <sheetData>
    <row r="1" spans="1:9">
      <c r="A1" s="1067" t="s">
        <v>56</v>
      </c>
      <c r="B1" s="1067"/>
      <c r="C1" s="1067"/>
      <c r="D1" s="1067"/>
      <c r="E1" s="1068"/>
      <c r="F1" s="590">
        <v>9</v>
      </c>
      <c r="G1" s="158"/>
    </row>
    <row r="2" spans="1:9" ht="15.75">
      <c r="A2" s="609" t="s">
        <v>912</v>
      </c>
      <c r="B2" s="609"/>
      <c r="C2" s="611" t="s">
        <v>200</v>
      </c>
      <c r="D2" s="611" t="s">
        <v>200</v>
      </c>
      <c r="E2" s="611" t="s">
        <v>200</v>
      </c>
      <c r="F2" s="611" t="s">
        <v>200</v>
      </c>
      <c r="G2" s="593" t="s">
        <v>200</v>
      </c>
    </row>
    <row r="3" spans="1:9">
      <c r="A3" s="462" t="s">
        <v>444</v>
      </c>
      <c r="B3" s="594" t="s">
        <v>2</v>
      </c>
      <c r="C3" s="594" t="s">
        <v>3</v>
      </c>
      <c r="D3" s="594" t="s">
        <v>4</v>
      </c>
      <c r="E3" s="594" t="s">
        <v>5</v>
      </c>
      <c r="F3" s="612" t="s">
        <v>6</v>
      </c>
      <c r="G3" s="613" t="s">
        <v>595</v>
      </c>
    </row>
    <row r="4" spans="1:9">
      <c r="A4" s="158" t="s">
        <v>913</v>
      </c>
      <c r="B4" s="619">
        <f>'E-Costos'!C114</f>
        <v>1417500000</v>
      </c>
      <c r="C4" s="619">
        <f>'E-Costos'!D114</f>
        <v>1984500000</v>
      </c>
      <c r="D4" s="619">
        <f>'E-Costos'!E114</f>
        <v>1984500000</v>
      </c>
      <c r="E4" s="619">
        <f>'E-Costos'!F114</f>
        <v>1984500000</v>
      </c>
      <c r="F4" s="619">
        <f>'E-Costos'!G114</f>
        <v>1984500000</v>
      </c>
      <c r="G4" s="620">
        <f t="shared" ref="G4:G15" si="0">SUM(B4:F4)</f>
        <v>9355500000</v>
      </c>
    </row>
    <row r="5" spans="1:9">
      <c r="A5" s="158" t="s">
        <v>914</v>
      </c>
      <c r="B5" s="620">
        <f>'E-Costos'!C133</f>
        <v>1354808120.4954169</v>
      </c>
      <c r="C5" s="620">
        <f>'E-Costos'!D133</f>
        <v>1358564849.199909</v>
      </c>
      <c r="D5" s="620">
        <f>'E-Costos'!E133</f>
        <v>1357222347.6574125</v>
      </c>
      <c r="E5" s="620">
        <f>'E-Costos'!F133</f>
        <v>1357221310.7862096</v>
      </c>
      <c r="F5" s="620">
        <f>'E-Costos'!G133</f>
        <v>1357221310.7862096</v>
      </c>
      <c r="G5" s="620">
        <f t="shared" si="0"/>
        <v>6785037938.9251575</v>
      </c>
    </row>
    <row r="6" spans="1:9">
      <c r="A6" s="158" t="s">
        <v>915</v>
      </c>
      <c r="B6" s="620">
        <f>B4-B5</f>
        <v>62691879.50458312</v>
      </c>
      <c r="C6" s="620">
        <f t="shared" ref="C6:F6" si="1">C4-C5</f>
        <v>625935150.80009103</v>
      </c>
      <c r="D6" s="620">
        <f t="shared" si="1"/>
        <v>627277652.34258747</v>
      </c>
      <c r="E6" s="620">
        <f t="shared" si="1"/>
        <v>627278689.21379042</v>
      </c>
      <c r="F6" s="620">
        <f t="shared" si="1"/>
        <v>627278689.21379042</v>
      </c>
      <c r="G6" s="620">
        <f t="shared" si="0"/>
        <v>2570462061.0748425</v>
      </c>
    </row>
    <row r="7" spans="1:9">
      <c r="A7" s="158" t="s">
        <v>532</v>
      </c>
      <c r="B7" s="620" t="s">
        <v>200</v>
      </c>
      <c r="C7" s="621" t="s">
        <v>200</v>
      </c>
      <c r="D7" s="621" t="s">
        <v>200</v>
      </c>
      <c r="E7" s="621" t="s">
        <v>200</v>
      </c>
      <c r="F7" s="622" t="s">
        <v>200</v>
      </c>
      <c r="G7" s="620">
        <f t="shared" si="0"/>
        <v>0</v>
      </c>
    </row>
    <row r="8" spans="1:9">
      <c r="A8" s="158" t="s">
        <v>916</v>
      </c>
      <c r="B8" s="620">
        <f>'E-Costos'!C135</f>
        <v>6682706.6499899188</v>
      </c>
      <c r="C8" s="620">
        <f>'E-Costos'!D135</f>
        <v>6623167.6337399185</v>
      </c>
      <c r="D8" s="620">
        <f>'E-Costos'!E135</f>
        <v>6623167.6337399185</v>
      </c>
      <c r="E8" s="620">
        <f>'E-Costos'!F135</f>
        <v>6623167.6337399185</v>
      </c>
      <c r="F8" s="620">
        <f>'E-Costos'!G135</f>
        <v>6623167.6337399185</v>
      </c>
      <c r="G8" s="620">
        <f t="shared" si="0"/>
        <v>33175377.184949592</v>
      </c>
    </row>
    <row r="9" spans="1:9">
      <c r="A9" s="158" t="s">
        <v>917</v>
      </c>
      <c r="B9" s="620">
        <f>'E-Costos'!C136</f>
        <v>53711453.148989916</v>
      </c>
      <c r="C9" s="620">
        <f>'E-Costos'!D136</f>
        <v>71512414.132739916</v>
      </c>
      <c r="D9" s="620">
        <f>'E-Costos'!E136</f>
        <v>71512414.132739916</v>
      </c>
      <c r="E9" s="620">
        <f>'E-Costos'!F136</f>
        <v>71512414.132739916</v>
      </c>
      <c r="F9" s="620">
        <f>'E-Costos'!G136</f>
        <v>71512414.132739916</v>
      </c>
      <c r="G9" s="620">
        <f t="shared" si="0"/>
        <v>339761109.67994958</v>
      </c>
    </row>
    <row r="10" spans="1:9">
      <c r="A10" s="158" t="s">
        <v>918</v>
      </c>
      <c r="B10" s="928">
        <f>E20</f>
        <v>34417075.380695365</v>
      </c>
      <c r="C10" s="928">
        <f>E21</f>
        <v>26734966.680695362</v>
      </c>
      <c r="D10" s="928">
        <f>E22</f>
        <v>14240108.9440287</v>
      </c>
      <c r="E10" s="928">
        <f>E23</f>
        <v>6558000.2440286996</v>
      </c>
      <c r="F10" s="928">
        <f>E24</f>
        <v>110849278.08</v>
      </c>
      <c r="G10" s="620">
        <f t="shared" si="0"/>
        <v>192799429.32944813</v>
      </c>
      <c r="I10" t="s">
        <v>919</v>
      </c>
    </row>
    <row r="11" spans="1:9">
      <c r="A11" s="596" t="s">
        <v>920</v>
      </c>
      <c r="B11" s="912">
        <f>B6-B8-B9-B10</f>
        <v>-32119355.675092079</v>
      </c>
      <c r="C11" s="912">
        <f>C6-C8-C9-C10</f>
        <v>521064602.35291582</v>
      </c>
      <c r="D11" s="912">
        <f t="shared" ref="D11:F11" si="2">D6-D8-D9-D10</f>
        <v>534901961.63207895</v>
      </c>
      <c r="E11" s="912">
        <f t="shared" si="2"/>
        <v>542585107.20328188</v>
      </c>
      <c r="F11" s="912">
        <f t="shared" si="2"/>
        <v>438293829.36731058</v>
      </c>
      <c r="G11" s="620">
        <f t="shared" si="0"/>
        <v>2004726144.8804951</v>
      </c>
    </row>
    <row r="12" spans="1:9">
      <c r="A12" s="158" t="s">
        <v>921</v>
      </c>
      <c r="B12" s="620">
        <f>IF(B11&gt;0,B11*InfoInicial!$B$5,0)</f>
        <v>0</v>
      </c>
      <c r="C12" s="620">
        <f>IF(C11&gt;0,C11*InfoInicial!$B$5,0)</f>
        <v>36474522.164704114</v>
      </c>
      <c r="D12" s="620">
        <f>IF(D11&gt;0,D11*InfoInicial!$B$5,0)</f>
        <v>37443137.314245529</v>
      </c>
      <c r="E12" s="620">
        <f>IF(E11&gt;0,E11*InfoInicial!$B$5,0)</f>
        <v>37980957.504229732</v>
      </c>
      <c r="F12" s="620">
        <f>IF(F11&gt;0,F11*InfoInicial!$B$5,0)</f>
        <v>30680568.055711742</v>
      </c>
      <c r="G12" s="620">
        <f t="shared" si="0"/>
        <v>142579185.03889111</v>
      </c>
    </row>
    <row r="13" spans="1:9">
      <c r="A13" s="626" t="s">
        <v>922</v>
      </c>
      <c r="B13" s="620">
        <f>B11*$C$28</f>
        <v>-11241774.486282228</v>
      </c>
      <c r="C13" s="620">
        <f>C11*$C$28</f>
        <v>182372610.82352054</v>
      </c>
      <c r="D13" s="620">
        <f>D11*$C$28</f>
        <v>187215686.57122761</v>
      </c>
      <c r="E13" s="620">
        <f>E11*$C$28</f>
        <v>189904787.52114865</v>
      </c>
      <c r="F13" s="620">
        <f>F11*$C$28</f>
        <v>153402840.2785587</v>
      </c>
      <c r="G13" s="620">
        <f t="shared" si="0"/>
        <v>701654150.70817327</v>
      </c>
    </row>
    <row r="14" spans="1:9">
      <c r="A14" s="158" t="s">
        <v>923</v>
      </c>
      <c r="B14" s="620">
        <f>IF(B13&gt;0,B11*InfoInicial!$B$4,0)</f>
        <v>0</v>
      </c>
      <c r="C14" s="620">
        <f>IF(C13&gt;0,C11*InfoInicial!$B$4,0)</f>
        <v>182372610.82352054</v>
      </c>
      <c r="D14" s="620">
        <f>IF(D13&gt;0,D11*InfoInicial!$B$4,0)</f>
        <v>187215686.57122761</v>
      </c>
      <c r="E14" s="620">
        <f>IF(E13&gt;0,E11*InfoInicial!$B$4,0)</f>
        <v>189904787.52114865</v>
      </c>
      <c r="F14" s="620">
        <f>IF(F13&gt;0,F11*InfoInicial!$B$4,0)</f>
        <v>153402840.2785587</v>
      </c>
      <c r="G14" s="620">
        <f t="shared" si="0"/>
        <v>712895925.1944555</v>
      </c>
    </row>
    <row r="15" spans="1:9">
      <c r="A15" s="617" t="s">
        <v>924</v>
      </c>
      <c r="B15" s="911">
        <f>B11-B12-B14</f>
        <v>-32119355.675092079</v>
      </c>
      <c r="C15" s="911">
        <f t="shared" ref="C15:F15" si="3">C11-C12-C14</f>
        <v>302217469.36469114</v>
      </c>
      <c r="D15" s="911">
        <f t="shared" si="3"/>
        <v>310243137.74660581</v>
      </c>
      <c r="E15" s="911">
        <f t="shared" si="3"/>
        <v>314699362.17790353</v>
      </c>
      <c r="F15" s="911">
        <f t="shared" si="3"/>
        <v>254210421.03304014</v>
      </c>
      <c r="G15" s="620">
        <f t="shared" si="0"/>
        <v>1149251034.6471486</v>
      </c>
    </row>
    <row r="19" spans="1:5" ht="38.25">
      <c r="A19" s="703" t="s">
        <v>771</v>
      </c>
      <c r="B19" s="930" t="s">
        <v>925</v>
      </c>
      <c r="C19" s="905" t="s">
        <v>926</v>
      </c>
      <c r="D19" s="905" t="s">
        <v>927</v>
      </c>
      <c r="E19" s="905" t="s">
        <v>928</v>
      </c>
    </row>
    <row r="20" spans="1:5">
      <c r="A20" s="929">
        <v>1</v>
      </c>
      <c r="B20" s="922">
        <f>'Ej 50-66'!B113</f>
        <v>4812749.0366666662</v>
      </c>
      <c r="C20" s="925">
        <f>'Ej 50-66'!C113</f>
        <v>304864.36902869999</v>
      </c>
      <c r="D20" s="925">
        <f>'Ej 50-66'!D113</f>
        <v>31711543.5</v>
      </c>
      <c r="E20" s="906">
        <f>SUM(B21:D21)</f>
        <v>34417075.380695365</v>
      </c>
    </row>
    <row r="21" spans="1:5">
      <c r="A21" s="924">
        <v>2</v>
      </c>
      <c r="B21" s="922">
        <f>'Ej 50-66'!B114</f>
        <v>4812749.0366666662</v>
      </c>
      <c r="C21" s="925">
        <f>'Ej 50-66'!C114</f>
        <v>304864.36902869999</v>
      </c>
      <c r="D21" s="925">
        <f>'Ej 50-66'!D114</f>
        <v>29299461.975000001</v>
      </c>
      <c r="E21" s="906">
        <f t="shared" ref="E21:E24" si="4">SUM(B22:D22)</f>
        <v>26734966.680695362</v>
      </c>
    </row>
    <row r="22" spans="1:5">
      <c r="A22" s="924">
        <v>3</v>
      </c>
      <c r="B22" s="922">
        <f>'Ej 50-66'!B115</f>
        <v>4812749.0366666662</v>
      </c>
      <c r="C22" s="925">
        <f>'Ej 50-66'!C115</f>
        <v>304864.36902869999</v>
      </c>
      <c r="D22" s="925">
        <f>'Ej 50-66'!D115</f>
        <v>21617353.274999999</v>
      </c>
      <c r="E22" s="906">
        <f>SUM(B23:D23)</f>
        <v>14240108.9440287</v>
      </c>
    </row>
    <row r="23" spans="1:5">
      <c r="A23" s="924">
        <v>4</v>
      </c>
      <c r="B23" s="923"/>
      <c r="C23" s="925">
        <f>'Ej 50-66'!C116</f>
        <v>304864.36902869999</v>
      </c>
      <c r="D23" s="925">
        <f>'Ej 50-66'!D116</f>
        <v>13935244.574999999</v>
      </c>
      <c r="E23" s="906">
        <f t="shared" si="4"/>
        <v>6558000.2440286996</v>
      </c>
    </row>
    <row r="24" spans="1:5">
      <c r="A24" s="864">
        <v>5</v>
      </c>
      <c r="B24" s="907" t="s">
        <v>200</v>
      </c>
      <c r="C24" s="925">
        <f>'Ej 50-66'!C117</f>
        <v>304864.36902869999</v>
      </c>
      <c r="D24" s="925">
        <f>'Ej 50-66'!D117</f>
        <v>6253135.875</v>
      </c>
      <c r="E24" s="906">
        <f t="shared" si="4"/>
        <v>110849278.08</v>
      </c>
    </row>
    <row r="25" spans="1:5">
      <c r="A25" s="862" t="s">
        <v>595</v>
      </c>
      <c r="B25" s="908">
        <v>2998244</v>
      </c>
      <c r="C25" s="908">
        <v>59866262.079999998</v>
      </c>
      <c r="D25" s="908">
        <v>47984772</v>
      </c>
      <c r="E25" s="908">
        <v>110849278.08</v>
      </c>
    </row>
    <row r="28" spans="1:5">
      <c r="B28" s="567" t="s">
        <v>929</v>
      </c>
      <c r="C28" s="226">
        <f>35%</f>
        <v>0.35</v>
      </c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1F835-60A9-4D5A-8C7D-6848C1D5F283}">
  <sheetPr>
    <tabColor rgb="FFFFFF00"/>
  </sheetPr>
  <dimension ref="A1:F98"/>
  <sheetViews>
    <sheetView topLeftCell="A6" workbookViewId="0">
      <selection activeCell="D54" sqref="D54"/>
    </sheetView>
  </sheetViews>
  <sheetFormatPr baseColWidth="10" defaultColWidth="8.85546875" defaultRowHeight="12.75"/>
  <cols>
    <col min="1" max="1" width="52" customWidth="1"/>
    <col min="2" max="2" width="34.140625" bestFit="1" customWidth="1"/>
    <col min="3" max="6" width="18.42578125" bestFit="1" customWidth="1"/>
  </cols>
  <sheetData>
    <row r="1" spans="1:6">
      <c r="A1" s="587" t="s">
        <v>56</v>
      </c>
      <c r="B1" s="588"/>
      <c r="C1" s="588"/>
      <c r="D1" s="158">
        <v>9</v>
      </c>
      <c r="E1" s="607" t="s">
        <v>200</v>
      </c>
      <c r="F1" s="158"/>
    </row>
    <row r="2" spans="1:6" ht="15.75">
      <c r="A2" s="609" t="s">
        <v>930</v>
      </c>
      <c r="B2" s="611" t="s">
        <v>200</v>
      </c>
      <c r="C2" s="611" t="s">
        <v>200</v>
      </c>
      <c r="D2" s="593" t="s">
        <v>200</v>
      </c>
      <c r="E2" s="158"/>
      <c r="F2" s="158"/>
    </row>
    <row r="3" spans="1:6">
      <c r="A3" s="462" t="s">
        <v>444</v>
      </c>
      <c r="B3" s="596" t="s">
        <v>14</v>
      </c>
      <c r="C3" s="596" t="s">
        <v>2</v>
      </c>
      <c r="D3" s="613" t="s">
        <v>595</v>
      </c>
      <c r="E3" s="158"/>
      <c r="F3" s="158"/>
    </row>
    <row r="4" spans="1:6">
      <c r="A4" s="596" t="s">
        <v>931</v>
      </c>
      <c r="B4" s="637" t="s">
        <v>200</v>
      </c>
      <c r="C4" s="637" t="s">
        <v>200</v>
      </c>
      <c r="D4" s="637" t="s">
        <v>200</v>
      </c>
      <c r="E4" s="158"/>
      <c r="F4" s="158"/>
    </row>
    <row r="5" spans="1:6">
      <c r="A5" s="158"/>
      <c r="B5" s="637" t="s">
        <v>200</v>
      </c>
      <c r="C5" s="637" t="s">
        <v>200</v>
      </c>
      <c r="D5" s="637" t="s">
        <v>200</v>
      </c>
      <c r="E5" s="158"/>
      <c r="F5" s="158"/>
    </row>
    <row r="6" spans="1:6">
      <c r="A6" s="158" t="s">
        <v>932</v>
      </c>
      <c r="B6" s="637">
        <f>'E-Inv AF y Am'!B21</f>
        <v>178373548.63124999</v>
      </c>
      <c r="C6" s="637">
        <f>'E-Inv AF y Am'!C21</f>
        <v>0</v>
      </c>
      <c r="D6" s="637">
        <f>B6+C6</f>
        <v>178373548.63124999</v>
      </c>
      <c r="E6" s="158"/>
      <c r="F6" s="158"/>
    </row>
    <row r="7" spans="1:6">
      <c r="A7" s="158" t="s">
        <v>933</v>
      </c>
      <c r="B7" s="637">
        <f>'E-Inv AF y Am'!B33+'F-Cred'!G18+'F-Cred'!I18</f>
        <v>128286845.26000001</v>
      </c>
      <c r="C7" s="637">
        <f>'E-Inv AF y Am'!C33</f>
        <v>177258991.25894368</v>
      </c>
      <c r="D7" s="637">
        <f>B7+C7</f>
        <v>305545836.51894367</v>
      </c>
      <c r="E7" s="158"/>
      <c r="F7" s="158"/>
    </row>
    <row r="8" spans="1:6">
      <c r="A8" s="596" t="s">
        <v>934</v>
      </c>
      <c r="B8" s="637">
        <f>B7+B6</f>
        <v>306660393.89125001</v>
      </c>
      <c r="C8" s="637">
        <f>SUM(C6:C7)</f>
        <v>177258991.25894368</v>
      </c>
      <c r="D8" s="637">
        <f>B8+C8</f>
        <v>483919385.15019369</v>
      </c>
      <c r="E8" s="158"/>
      <c r="F8" s="158"/>
    </row>
    <row r="9" spans="1:6">
      <c r="A9" s="158" t="s">
        <v>935</v>
      </c>
      <c r="B9" s="637">
        <f>InfoInicial!B3*B8</f>
        <v>64398682.717162497</v>
      </c>
      <c r="C9" s="637">
        <f>C8*InfoInicial!B3</f>
        <v>37224388.164378174</v>
      </c>
      <c r="D9" s="637">
        <f>B9+C9</f>
        <v>101623070.88154067</v>
      </c>
      <c r="E9" s="820"/>
      <c r="F9" s="158"/>
    </row>
    <row r="10" spans="1:6">
      <c r="A10" s="596" t="s">
        <v>936</v>
      </c>
      <c r="B10" s="637">
        <f>B9+B8</f>
        <v>371059076.6084125</v>
      </c>
      <c r="C10" s="637">
        <f>C9+C8</f>
        <v>214483379.42332184</v>
      </c>
      <c r="D10" s="637">
        <f>B10+C10</f>
        <v>585542456.03173435</v>
      </c>
      <c r="E10" s="158"/>
      <c r="F10" s="158"/>
    </row>
    <row r="11" spans="1:6">
      <c r="A11" s="596" t="s">
        <v>937</v>
      </c>
      <c r="B11" s="637" t="s">
        <v>200</v>
      </c>
      <c r="C11" s="637" t="s">
        <v>200</v>
      </c>
      <c r="D11" s="637"/>
      <c r="E11" s="158"/>
      <c r="F11" s="158"/>
    </row>
    <row r="12" spans="1:6">
      <c r="A12" s="158" t="s">
        <v>938</v>
      </c>
      <c r="B12" s="637">
        <f>'E-InvAT'!B6</f>
        <v>2268000</v>
      </c>
      <c r="C12" s="637">
        <f>'E-InvAT'!C6-'E-InvAT'!B6</f>
        <v>26082000</v>
      </c>
      <c r="D12" s="637">
        <f>B12+C12</f>
        <v>28350000</v>
      </c>
      <c r="E12" s="158"/>
      <c r="F12" s="158"/>
    </row>
    <row r="13" spans="1:6">
      <c r="A13" s="158" t="s">
        <v>939</v>
      </c>
      <c r="B13" s="637">
        <f>'E-InvAT'!B7</f>
        <v>0</v>
      </c>
      <c r="C13" s="637">
        <f>'E-InvAT'!C7</f>
        <v>116506849.3150685</v>
      </c>
      <c r="D13" s="637">
        <f>B13+C13</f>
        <v>116506849.3150685</v>
      </c>
      <c r="E13" s="158"/>
      <c r="F13" s="158"/>
    </row>
    <row r="14" spans="1:6">
      <c r="A14" s="158" t="s">
        <v>940</v>
      </c>
      <c r="B14" s="637">
        <f>'E-InvAT'!B9</f>
        <v>1016214.5634290001</v>
      </c>
      <c r="C14" s="637">
        <f>'E-InvAT'!C9</f>
        <v>74360535.307567701</v>
      </c>
      <c r="D14" s="637">
        <f>B14+C14</f>
        <v>75376749.870996699</v>
      </c>
      <c r="E14" s="158"/>
      <c r="F14" s="158"/>
    </row>
    <row r="15" spans="1:6">
      <c r="A15" s="596" t="s">
        <v>941</v>
      </c>
      <c r="B15" s="637">
        <f>'E-InvAT'!B15</f>
        <v>3284214.5634289999</v>
      </c>
      <c r="C15" s="637">
        <f>SUM(C12:C14)</f>
        <v>216949384.6226362</v>
      </c>
      <c r="D15" s="637">
        <f>B15+C15</f>
        <v>220233599.1860652</v>
      </c>
      <c r="E15" s="158"/>
      <c r="F15" s="158"/>
    </row>
    <row r="16" spans="1:6">
      <c r="A16" s="158" t="s">
        <v>532</v>
      </c>
      <c r="B16" s="637" t="s">
        <v>200</v>
      </c>
      <c r="C16" s="637" t="s">
        <v>200</v>
      </c>
      <c r="D16" s="637"/>
      <c r="E16" s="158"/>
      <c r="F16" s="158"/>
    </row>
    <row r="17" spans="1:6">
      <c r="A17" s="158" t="s">
        <v>942</v>
      </c>
      <c r="B17" s="637">
        <f>'E-InvAT'!B17+'E-InvAT'!B18</f>
        <v>0</v>
      </c>
      <c r="C17" s="637">
        <f>'E-InvAT'!C17+'E-InvAT'!C18</f>
        <v>8218615.5167950206</v>
      </c>
      <c r="D17" s="637">
        <f t="shared" ref="D17:D23" si="0">B17+C17</f>
        <v>8218615.5167950206</v>
      </c>
      <c r="E17" s="158"/>
      <c r="F17" s="158"/>
    </row>
    <row r="18" spans="1:6">
      <c r="A18" s="158" t="s">
        <v>943</v>
      </c>
      <c r="B18" s="637">
        <f>'E-InvAT'!B20</f>
        <v>0</v>
      </c>
      <c r="C18" s="637">
        <f>('E-Inv AF y Am'!D57-C17+('F-Cred'!B18+'F-Cred'!I18)/3)*'E-InvAT'!J1/360</f>
        <v>5605930.3793397537</v>
      </c>
      <c r="D18" s="637">
        <f t="shared" si="0"/>
        <v>5605930.3793397537</v>
      </c>
      <c r="E18" s="158"/>
      <c r="F18" s="158"/>
    </row>
    <row r="19" spans="1:6">
      <c r="A19" s="158" t="s">
        <v>944</v>
      </c>
      <c r="B19" s="637">
        <f>'E-InvAT'!B19</f>
        <v>0</v>
      </c>
      <c r="C19" s="931">
        <f>('F-CRes'!B14/'E-Costos'!C114)*'E-InvAT'!C7</f>
        <v>0</v>
      </c>
      <c r="D19" s="637">
        <f t="shared" si="0"/>
        <v>0</v>
      </c>
      <c r="E19" s="158"/>
      <c r="F19" s="158"/>
    </row>
    <row r="20" spans="1:6">
      <c r="A20" s="596" t="s">
        <v>945</v>
      </c>
      <c r="B20" s="637">
        <f>B15-B17-B18-B19</f>
        <v>3284214.5634289999</v>
      </c>
      <c r="C20" s="637">
        <f>C15-C17-C18-C19</f>
        <v>203124838.72650144</v>
      </c>
      <c r="D20" s="637">
        <f t="shared" si="0"/>
        <v>206409053.28993043</v>
      </c>
      <c r="E20" s="158"/>
      <c r="F20" s="158"/>
    </row>
    <row r="21" spans="1:6">
      <c r="A21" s="158" t="s">
        <v>689</v>
      </c>
      <c r="B21" s="637">
        <f>'E-InvAT'!B34</f>
        <v>91353.037320089992</v>
      </c>
      <c r="C21" s="637">
        <f>'E-InvAT'!C34</f>
        <v>42400518.940656975</v>
      </c>
      <c r="D21" s="637">
        <f t="shared" si="0"/>
        <v>42491871.977977067</v>
      </c>
      <c r="E21" s="820"/>
      <c r="F21" s="158"/>
    </row>
    <row r="22" spans="1:6">
      <c r="A22" s="596" t="s">
        <v>946</v>
      </c>
      <c r="B22" s="637">
        <f>B15+B21</f>
        <v>3375567.6007490898</v>
      </c>
      <c r="C22" s="637">
        <f>C15*(1+InfoInicial!B3)</f>
        <v>262508755.39338979</v>
      </c>
      <c r="D22" s="637">
        <f t="shared" si="0"/>
        <v>265884322.99413887</v>
      </c>
      <c r="E22" s="158"/>
      <c r="F22" s="158"/>
    </row>
    <row r="23" spans="1:6">
      <c r="A23" s="596" t="s">
        <v>947</v>
      </c>
      <c r="B23" s="637">
        <f>B20+B21</f>
        <v>3375567.6007490898</v>
      </c>
      <c r="C23" s="637">
        <f>C20+C21</f>
        <v>245525357.66715842</v>
      </c>
      <c r="D23" s="637">
        <f t="shared" si="0"/>
        <v>248900925.2679075</v>
      </c>
      <c r="E23" s="158"/>
      <c r="F23" s="158"/>
    </row>
    <row r="24" spans="1:6">
      <c r="A24" s="596" t="s">
        <v>948</v>
      </c>
      <c r="B24" s="637" t="s">
        <v>200</v>
      </c>
      <c r="C24" s="637" t="s">
        <v>200</v>
      </c>
      <c r="D24" s="637"/>
      <c r="E24" s="158"/>
      <c r="F24" s="158"/>
    </row>
    <row r="25" spans="1:6">
      <c r="A25" s="158" t="s">
        <v>949</v>
      </c>
      <c r="B25" s="637">
        <f>B10</f>
        <v>371059076.6084125</v>
      </c>
      <c r="C25" s="637">
        <f>C10</f>
        <v>214483379.42332184</v>
      </c>
      <c r="D25" s="637">
        <f t="shared" ref="D25:D31" si="1">B25+C25</f>
        <v>585542456.03173435</v>
      </c>
      <c r="E25" s="158"/>
      <c r="F25" s="158"/>
    </row>
    <row r="26" spans="1:6">
      <c r="A26" s="158" t="s">
        <v>950</v>
      </c>
      <c r="B26" s="637">
        <f>B23</f>
        <v>3375567.6007490898</v>
      </c>
      <c r="C26" s="637">
        <f>C23</f>
        <v>245525357.66715842</v>
      </c>
      <c r="D26" s="637">
        <f t="shared" si="1"/>
        <v>248900925.2679075</v>
      </c>
      <c r="E26" s="158"/>
      <c r="F26" s="158"/>
    </row>
    <row r="27" spans="1:6">
      <c r="A27" s="596" t="s">
        <v>951</v>
      </c>
      <c r="B27" s="637">
        <f>B25+B26</f>
        <v>374434644.20916158</v>
      </c>
      <c r="C27" s="637">
        <f>C25+C26</f>
        <v>460008737.09048027</v>
      </c>
      <c r="D27" s="637">
        <f t="shared" si="1"/>
        <v>834443381.29964185</v>
      </c>
      <c r="E27" s="618" t="s">
        <v>200</v>
      </c>
      <c r="F27" s="158"/>
    </row>
    <row r="28" spans="1:6">
      <c r="A28" s="596" t="s">
        <v>952</v>
      </c>
      <c r="B28" s="637">
        <v>0</v>
      </c>
      <c r="C28" s="637">
        <v>0</v>
      </c>
      <c r="D28" s="637">
        <f t="shared" si="1"/>
        <v>0</v>
      </c>
      <c r="E28" s="628" t="s">
        <v>953</v>
      </c>
      <c r="F28" s="158"/>
    </row>
    <row r="29" spans="1:6">
      <c r="A29" s="596" t="s">
        <v>954</v>
      </c>
      <c r="B29" s="637">
        <v>0</v>
      </c>
      <c r="C29" s="637">
        <f>'F-Cred'!D6</f>
        <v>846845.46952416655</v>
      </c>
      <c r="D29" s="637">
        <f t="shared" si="1"/>
        <v>846845.46952416655</v>
      </c>
      <c r="E29" s="842">
        <f>D29/$D$27</f>
        <v>1.0148627078870331E-3</v>
      </c>
      <c r="F29" s="158"/>
    </row>
    <row r="30" spans="1:6">
      <c r="A30" s="596" t="s">
        <v>955</v>
      </c>
      <c r="B30" s="637">
        <f>'F-Cred'!C30</f>
        <v>54491087.000000007</v>
      </c>
      <c r="C30" s="637"/>
      <c r="D30" s="637">
        <f t="shared" si="1"/>
        <v>54491087.000000007</v>
      </c>
      <c r="E30" s="616">
        <f>D30/$D$27</f>
        <v>6.5302317953712302E-2</v>
      </c>
      <c r="F30" s="158"/>
    </row>
    <row r="31" spans="1:6">
      <c r="A31" s="596" t="s">
        <v>956</v>
      </c>
      <c r="B31" s="722">
        <f>B27-B29-B30</f>
        <v>319943557.20916158</v>
      </c>
      <c r="C31" s="722">
        <f>C27-C29-C30</f>
        <v>459161891.62095612</v>
      </c>
      <c r="D31" s="722">
        <f t="shared" si="1"/>
        <v>779105448.8301177</v>
      </c>
      <c r="E31" s="723">
        <f t="shared" ref="E31:E32" si="2">D31/$D$27</f>
        <v>0.93368281933840069</v>
      </c>
      <c r="F31" s="158"/>
    </row>
    <row r="32" spans="1:6">
      <c r="A32" s="617" t="s">
        <v>595</v>
      </c>
      <c r="B32" s="720">
        <f>SUM(B29:B31)</f>
        <v>374434644.20916158</v>
      </c>
      <c r="C32" s="720">
        <f>SUM(C29:C31)</f>
        <v>460008737.09048027</v>
      </c>
      <c r="D32" s="720">
        <f>SUM(D29:D31)</f>
        <v>834443381.29964185</v>
      </c>
      <c r="E32" s="721">
        <f t="shared" si="2"/>
        <v>1</v>
      </c>
      <c r="F32" s="158"/>
    </row>
    <row r="33" spans="1:6">
      <c r="A33" s="626" t="s">
        <v>957</v>
      </c>
      <c r="B33" s="820">
        <f>+B21+B9</f>
        <v>64490035.75448259</v>
      </c>
      <c r="C33" s="820">
        <f>+C21+C9</f>
        <v>79624907.105035156</v>
      </c>
      <c r="D33" s="820"/>
      <c r="E33" s="158"/>
      <c r="F33" s="158"/>
    </row>
    <row r="34" spans="1:6">
      <c r="A34" s="626" t="s">
        <v>958</v>
      </c>
      <c r="B34" s="820">
        <f>B31</f>
        <v>319943557.20916158</v>
      </c>
      <c r="C34" s="820">
        <f>B31+C31</f>
        <v>779105448.8301177</v>
      </c>
      <c r="D34" s="158"/>
      <c r="E34" s="158"/>
      <c r="F34" s="158"/>
    </row>
    <row r="35" spans="1:6" ht="15.75">
      <c r="A35" s="609" t="s">
        <v>959</v>
      </c>
      <c r="B35" s="611" t="s">
        <v>200</v>
      </c>
      <c r="C35" s="611" t="s">
        <v>200</v>
      </c>
      <c r="D35" s="611" t="s">
        <v>200</v>
      </c>
      <c r="E35" s="611" t="s">
        <v>200</v>
      </c>
      <c r="F35" s="611" t="s">
        <v>200</v>
      </c>
    </row>
    <row r="36" spans="1:6">
      <c r="A36" s="462" t="s">
        <v>444</v>
      </c>
      <c r="B36" s="594" t="s">
        <v>2</v>
      </c>
      <c r="C36" s="594" t="s">
        <v>3</v>
      </c>
      <c r="D36" s="594" t="s">
        <v>4</v>
      </c>
      <c r="E36" s="594" t="s">
        <v>5</v>
      </c>
      <c r="F36" s="594" t="s">
        <v>6</v>
      </c>
    </row>
    <row r="37" spans="1:6">
      <c r="A37" s="92" t="s">
        <v>581</v>
      </c>
      <c r="B37" s="637">
        <f>'E-Costos'!C154</f>
        <v>73260174.490455404</v>
      </c>
      <c r="C37" s="637">
        <f>'E-Costos'!D154</f>
        <v>73260174.490455404</v>
      </c>
      <c r="D37" s="637">
        <f>'E-Costos'!E154</f>
        <v>73260174.490455404</v>
      </c>
      <c r="E37" s="637">
        <f>'E-Costos'!F154</f>
        <v>73260174.490455404</v>
      </c>
      <c r="F37" s="637">
        <f>'E-Costos'!G154</f>
        <v>73260174.490455404</v>
      </c>
    </row>
    <row r="38" spans="1:6">
      <c r="A38" s="94" t="s">
        <v>582</v>
      </c>
      <c r="B38" s="637">
        <f>'E-Costos'!C155</f>
        <v>1364418193.5882542</v>
      </c>
      <c r="C38" s="637">
        <f>'E-Costos'!D155</f>
        <v>1283961136.2957544</v>
      </c>
      <c r="D38" s="637">
        <f>'E-Costos'!E155</f>
        <v>1283961136.2957544</v>
      </c>
      <c r="E38" s="637">
        <f>'E-Costos'!F155</f>
        <v>1283961136.2957544</v>
      </c>
      <c r="F38" s="637">
        <f>'E-Costos'!G155</f>
        <v>1283961136.2957544</v>
      </c>
    </row>
    <row r="39" spans="1:6">
      <c r="A39" s="92" t="s">
        <v>583</v>
      </c>
      <c r="B39" s="637">
        <f>'E-Costos'!C156</f>
        <v>6475591.5333307572</v>
      </c>
      <c r="C39" s="637">
        <f>'E-Costos'!D156</f>
        <v>6416052.5170807568</v>
      </c>
      <c r="D39" s="637">
        <f>'E-Costos'!E156</f>
        <v>6416052.5170807568</v>
      </c>
      <c r="E39" s="637">
        <f>'E-Costos'!F156</f>
        <v>6416052.5170807568</v>
      </c>
      <c r="F39" s="637">
        <f>'E-Costos'!G156</f>
        <v>6416052.5170807568</v>
      </c>
    </row>
    <row r="40" spans="1:6">
      <c r="A40" s="94" t="s">
        <v>584</v>
      </c>
      <c r="B40" s="637">
        <f>'E-Costos'!C157</f>
        <v>207115.11665916175</v>
      </c>
      <c r="C40" s="637">
        <f>'E-Costos'!D157</f>
        <v>207115.11665916175</v>
      </c>
      <c r="D40" s="637">
        <f>'E-Costos'!E157</f>
        <v>207115.11665916175</v>
      </c>
      <c r="E40" s="637">
        <f>'E-Costos'!F157</f>
        <v>207115.11665916175</v>
      </c>
      <c r="F40" s="637">
        <f>'E-Costos'!G157</f>
        <v>207115.11665916175</v>
      </c>
    </row>
    <row r="41" spans="1:6">
      <c r="A41" s="92" t="s">
        <v>585</v>
      </c>
      <c r="B41" s="637">
        <f>'E-Costos'!C158</f>
        <v>48417764.903799921</v>
      </c>
      <c r="C41" s="637">
        <f>'E-Costos'!D158</f>
        <v>65371061.078799918</v>
      </c>
      <c r="D41" s="637">
        <f>'E-Costos'!E158</f>
        <v>65371061.078799918</v>
      </c>
      <c r="E41" s="637">
        <f>'E-Costos'!F158</f>
        <v>65371061.078799918</v>
      </c>
      <c r="F41" s="637">
        <f>'E-Costos'!G158</f>
        <v>65371061.078799918</v>
      </c>
    </row>
    <row r="42" spans="1:6">
      <c r="A42" s="94" t="s">
        <v>586</v>
      </c>
      <c r="B42" s="637">
        <f>'E-Costos'!C159</f>
        <v>5293688.2451899964</v>
      </c>
      <c r="C42" s="637">
        <f>'E-Costos'!D159</f>
        <v>6141353.0539399963</v>
      </c>
      <c r="D42" s="637">
        <f>'E-Costos'!E159</f>
        <v>6141353.0539399963</v>
      </c>
      <c r="E42" s="637">
        <f>'E-Costos'!F159</f>
        <v>6141353.0539399963</v>
      </c>
      <c r="F42" s="637">
        <f>'E-Costos'!G159</f>
        <v>6141353.0539399963</v>
      </c>
    </row>
    <row r="43" spans="1:6">
      <c r="A43" s="462" t="s">
        <v>789</v>
      </c>
      <c r="B43" s="621">
        <f>'F-CRes'!B10</f>
        <v>34417075.380695365</v>
      </c>
      <c r="C43" s="621">
        <f>'F-CRes'!C10</f>
        <v>26734966.680695362</v>
      </c>
      <c r="D43" s="621">
        <f>'F-CRes'!D10</f>
        <v>14240108.9440287</v>
      </c>
      <c r="E43" s="621">
        <f>'F-CRes'!E10</f>
        <v>6558000.2440286996</v>
      </c>
      <c r="F43" s="621">
        <f>'F-CRes'!F10</f>
        <v>110849278.08</v>
      </c>
    </row>
    <row r="44" spans="1:6">
      <c r="A44" s="462" t="s">
        <v>587</v>
      </c>
      <c r="B44" s="621">
        <f>'F-CRes'!B4-B38-B40-B42-B43</f>
        <v>13163927.669201262</v>
      </c>
      <c r="C44" s="621">
        <f>'F-CRes'!C4-C38-C40-C42-C43</f>
        <v>667455428.85295105</v>
      </c>
      <c r="D44" s="621">
        <f>'F-CRes'!D4-D38-D40-D42-D43</f>
        <v>679950286.58961773</v>
      </c>
      <c r="E44" s="621">
        <f>'F-CRes'!E4-E38-E40-E42-E43</f>
        <v>687632395.28961778</v>
      </c>
      <c r="F44" s="621">
        <f>'F-CRes'!F4-F38-F40-F42-F43</f>
        <v>583341117.45364642</v>
      </c>
    </row>
    <row r="45" spans="1:6">
      <c r="A45" s="481" t="s">
        <v>588</v>
      </c>
      <c r="B45" s="624">
        <f>(B37+B39+B41)/B44</f>
        <v>9.7352047312914127</v>
      </c>
      <c r="C45" s="624">
        <f t="shared" ref="C45:F45" si="3">(C37+C39+C41)/C44</f>
        <v>0.21731381874532904</v>
      </c>
      <c r="D45" s="624">
        <f t="shared" si="3"/>
        <v>0.21332043084184918</v>
      </c>
      <c r="E45" s="624">
        <f t="shared" si="3"/>
        <v>0.2109372523457754</v>
      </c>
      <c r="F45" s="624">
        <f t="shared" si="3"/>
        <v>0.24864917583640392</v>
      </c>
    </row>
    <row r="46" spans="1:6" ht="15.75">
      <c r="A46" s="629" t="s">
        <v>960</v>
      </c>
      <c r="B46" s="610"/>
      <c r="C46" s="610"/>
      <c r="D46" s="610"/>
      <c r="E46" s="158"/>
      <c r="F46" s="158"/>
    </row>
    <row r="50" spans="1:6" ht="15">
      <c r="A50" s="98" t="s">
        <v>2</v>
      </c>
      <c r="B50" s="3"/>
      <c r="C50" s="3"/>
      <c r="D50" s="3"/>
      <c r="E50" s="3"/>
      <c r="F50" s="3"/>
    </row>
    <row r="51" spans="1:6">
      <c r="A51" s="99" t="s">
        <v>590</v>
      </c>
      <c r="B51" s="532" t="s">
        <v>591</v>
      </c>
      <c r="C51" s="532" t="s">
        <v>592</v>
      </c>
      <c r="D51" s="532" t="s">
        <v>593</v>
      </c>
      <c r="E51" s="532" t="s">
        <v>594</v>
      </c>
      <c r="F51" s="532" t="s">
        <v>595</v>
      </c>
    </row>
    <row r="52" spans="1:6">
      <c r="A52" s="100">
        <f>'E-Costos'!B166</f>
        <v>1417500000</v>
      </c>
      <c r="B52" s="533">
        <v>0</v>
      </c>
      <c r="C52" s="534">
        <f>$A$52*B52</f>
        <v>0</v>
      </c>
      <c r="D52" s="441">
        <f>$B$37+$B$39+$B$41+$B$43</f>
        <v>162570606.30828145</v>
      </c>
      <c r="E52" s="441">
        <f>$E$72*B52</f>
        <v>0</v>
      </c>
      <c r="F52" s="441">
        <f>D52+E52</f>
        <v>162570606.30828145</v>
      </c>
    </row>
    <row r="53" spans="1:6">
      <c r="A53" s="3"/>
      <c r="B53" s="533">
        <v>0.05</v>
      </c>
      <c r="C53" s="534">
        <f t="shared" ref="C53:C72" si="4">$A$52*B53</f>
        <v>70875000</v>
      </c>
      <c r="D53" s="441">
        <f t="shared" ref="D53:D72" si="5">$B$37+$B$39+$B$41+$B$43</f>
        <v>162570606.30828145</v>
      </c>
      <c r="E53" s="441">
        <f t="shared" ref="E53:E71" si="6">$E$72*B53</f>
        <v>68495949.847505167</v>
      </c>
      <c r="F53" s="441">
        <f t="shared" ref="F53:F72" si="7">D53+E53</f>
        <v>231066556.15578663</v>
      </c>
    </row>
    <row r="54" spans="1:6">
      <c r="A54" s="3"/>
      <c r="B54" s="533">
        <v>0.1</v>
      </c>
      <c r="C54" s="534">
        <f t="shared" si="4"/>
        <v>141750000</v>
      </c>
      <c r="D54" s="441">
        <f t="shared" si="5"/>
        <v>162570606.30828145</v>
      </c>
      <c r="E54" s="441">
        <f t="shared" si="6"/>
        <v>136991899.69501033</v>
      </c>
      <c r="F54" s="441">
        <f t="shared" si="7"/>
        <v>299562506.00329179</v>
      </c>
    </row>
    <row r="55" spans="1:6">
      <c r="A55" s="3"/>
      <c r="B55" s="533">
        <v>0.15</v>
      </c>
      <c r="C55" s="534">
        <f t="shared" si="4"/>
        <v>212625000</v>
      </c>
      <c r="D55" s="441">
        <f t="shared" si="5"/>
        <v>162570606.30828145</v>
      </c>
      <c r="E55" s="441">
        <f t="shared" si="6"/>
        <v>205487849.54251549</v>
      </c>
      <c r="F55" s="441">
        <f t="shared" si="7"/>
        <v>368058455.85079694</v>
      </c>
    </row>
    <row r="56" spans="1:6">
      <c r="A56" s="3"/>
      <c r="B56" s="533">
        <v>0.2</v>
      </c>
      <c r="C56" s="534">
        <f t="shared" si="4"/>
        <v>283500000</v>
      </c>
      <c r="D56" s="441">
        <f t="shared" si="5"/>
        <v>162570606.30828145</v>
      </c>
      <c r="E56" s="441">
        <f t="shared" si="6"/>
        <v>273983799.39002067</v>
      </c>
      <c r="F56" s="441">
        <f>D56+E56</f>
        <v>436554405.69830215</v>
      </c>
    </row>
    <row r="57" spans="1:6">
      <c r="A57" s="3"/>
      <c r="B57" s="533">
        <v>0.25</v>
      </c>
      <c r="C57" s="534">
        <f t="shared" si="4"/>
        <v>354375000</v>
      </c>
      <c r="D57" s="441">
        <f t="shared" si="5"/>
        <v>162570606.30828145</v>
      </c>
      <c r="E57" s="441">
        <f t="shared" si="6"/>
        <v>342479749.23752582</v>
      </c>
      <c r="F57" s="441">
        <f t="shared" si="7"/>
        <v>505050355.54580724</v>
      </c>
    </row>
    <row r="58" spans="1:6">
      <c r="A58" s="3"/>
      <c r="B58" s="533">
        <v>0.3</v>
      </c>
      <c r="C58" s="534">
        <f t="shared" si="4"/>
        <v>425250000</v>
      </c>
      <c r="D58" s="441">
        <f t="shared" si="5"/>
        <v>162570606.30828145</v>
      </c>
      <c r="E58" s="441">
        <f t="shared" si="6"/>
        <v>410975699.08503097</v>
      </c>
      <c r="F58" s="441">
        <f t="shared" si="7"/>
        <v>573546305.39331245</v>
      </c>
    </row>
    <row r="59" spans="1:6">
      <c r="A59" s="3"/>
      <c r="B59" s="533">
        <v>0.35</v>
      </c>
      <c r="C59" s="534">
        <f t="shared" si="4"/>
        <v>496124999.99999994</v>
      </c>
      <c r="D59" s="441">
        <f t="shared" si="5"/>
        <v>162570606.30828145</v>
      </c>
      <c r="E59" s="441">
        <f t="shared" si="6"/>
        <v>479471648.93253613</v>
      </c>
      <c r="F59" s="441">
        <f>D59+E59</f>
        <v>642042255.24081755</v>
      </c>
    </row>
    <row r="60" spans="1:6">
      <c r="A60" s="3"/>
      <c r="B60" s="533">
        <v>0.4</v>
      </c>
      <c r="C60" s="534">
        <f t="shared" si="4"/>
        <v>567000000</v>
      </c>
      <c r="D60" s="441">
        <f t="shared" si="5"/>
        <v>162570606.30828145</v>
      </c>
      <c r="E60" s="441">
        <f t="shared" si="6"/>
        <v>547967598.78004134</v>
      </c>
      <c r="F60" s="441">
        <f t="shared" si="7"/>
        <v>710538205.08832276</v>
      </c>
    </row>
    <row r="61" spans="1:6">
      <c r="A61" s="3"/>
      <c r="B61" s="533">
        <v>0.45</v>
      </c>
      <c r="C61" s="534">
        <f t="shared" si="4"/>
        <v>637875000</v>
      </c>
      <c r="D61" s="441">
        <f t="shared" si="5"/>
        <v>162570606.30828145</v>
      </c>
      <c r="E61" s="441">
        <f t="shared" si="6"/>
        <v>616463548.62754655</v>
      </c>
      <c r="F61" s="441">
        <f t="shared" si="7"/>
        <v>779034154.93582797</v>
      </c>
    </row>
    <row r="62" spans="1:6">
      <c r="A62" s="3"/>
      <c r="B62" s="533">
        <v>0.5</v>
      </c>
      <c r="C62" s="534">
        <f t="shared" si="4"/>
        <v>708750000</v>
      </c>
      <c r="D62" s="441">
        <f t="shared" si="5"/>
        <v>162570606.30828145</v>
      </c>
      <c r="E62" s="441">
        <f t="shared" si="6"/>
        <v>684959498.47505164</v>
      </c>
      <c r="F62" s="441">
        <f t="shared" si="7"/>
        <v>847530104.78333306</v>
      </c>
    </row>
    <row r="63" spans="1:6">
      <c r="A63" s="3"/>
      <c r="B63" s="533">
        <v>0.55000000000000004</v>
      </c>
      <c r="C63" s="534">
        <f t="shared" si="4"/>
        <v>779625000.00000012</v>
      </c>
      <c r="D63" s="441">
        <f t="shared" si="5"/>
        <v>162570606.30828145</v>
      </c>
      <c r="E63" s="441">
        <f t="shared" si="6"/>
        <v>753455448.32255685</v>
      </c>
      <c r="F63" s="441">
        <f>D63+E63</f>
        <v>916026054.63083827</v>
      </c>
    </row>
    <row r="64" spans="1:6">
      <c r="A64" s="3"/>
      <c r="B64" s="533">
        <v>0.6</v>
      </c>
      <c r="C64" s="534">
        <f t="shared" si="4"/>
        <v>850500000</v>
      </c>
      <c r="D64" s="441">
        <f t="shared" si="5"/>
        <v>162570606.30828145</v>
      </c>
      <c r="E64" s="441">
        <f t="shared" si="6"/>
        <v>821951398.17006195</v>
      </c>
      <c r="F64" s="441">
        <f t="shared" si="7"/>
        <v>984522004.47834337</v>
      </c>
    </row>
    <row r="65" spans="1:6">
      <c r="A65" s="3"/>
      <c r="B65" s="533">
        <v>0.65</v>
      </c>
      <c r="C65" s="534">
        <f t="shared" si="4"/>
        <v>921375000</v>
      </c>
      <c r="D65" s="441">
        <f t="shared" si="5"/>
        <v>162570606.30828145</v>
      </c>
      <c r="E65" s="441">
        <f t="shared" si="6"/>
        <v>890447348.01756716</v>
      </c>
      <c r="F65" s="441">
        <f t="shared" si="7"/>
        <v>1053017954.3258486</v>
      </c>
    </row>
    <row r="66" spans="1:6">
      <c r="A66" s="3"/>
      <c r="B66" s="533">
        <v>0.7</v>
      </c>
      <c r="C66" s="534">
        <f t="shared" si="4"/>
        <v>992249999.99999988</v>
      </c>
      <c r="D66" s="441">
        <f t="shared" si="5"/>
        <v>162570606.30828145</v>
      </c>
      <c r="E66" s="441">
        <f t="shared" si="6"/>
        <v>958943297.86507225</v>
      </c>
      <c r="F66" s="441">
        <f t="shared" si="7"/>
        <v>1121513904.1733537</v>
      </c>
    </row>
    <row r="67" spans="1:6">
      <c r="A67" s="3"/>
      <c r="B67" s="533">
        <v>0.75</v>
      </c>
      <c r="C67" s="534">
        <f t="shared" si="4"/>
        <v>1063125000</v>
      </c>
      <c r="D67" s="441">
        <f t="shared" si="5"/>
        <v>162570606.30828145</v>
      </c>
      <c r="E67" s="441">
        <f t="shared" si="6"/>
        <v>1027439247.7125775</v>
      </c>
      <c r="F67" s="441">
        <f t="shared" si="7"/>
        <v>1190009854.020859</v>
      </c>
    </row>
    <row r="68" spans="1:6">
      <c r="A68" s="3"/>
      <c r="B68" s="533">
        <v>0.8</v>
      </c>
      <c r="C68" s="534">
        <f t="shared" si="4"/>
        <v>1134000000</v>
      </c>
      <c r="D68" s="441">
        <f t="shared" si="5"/>
        <v>162570606.30828145</v>
      </c>
      <c r="E68" s="441">
        <f t="shared" si="6"/>
        <v>1095935197.5600827</v>
      </c>
      <c r="F68" s="441">
        <f t="shared" si="7"/>
        <v>1258505803.8683641</v>
      </c>
    </row>
    <row r="69" spans="1:6">
      <c r="A69" s="3"/>
      <c r="B69" s="533">
        <v>0.85</v>
      </c>
      <c r="C69" s="534">
        <f t="shared" si="4"/>
        <v>1204875000</v>
      </c>
      <c r="D69" s="441">
        <f t="shared" si="5"/>
        <v>162570606.30828145</v>
      </c>
      <c r="E69" s="441">
        <f t="shared" si="6"/>
        <v>1164431147.4075878</v>
      </c>
      <c r="F69" s="441">
        <f t="shared" si="7"/>
        <v>1327001753.7158692</v>
      </c>
    </row>
    <row r="70" spans="1:6">
      <c r="A70" s="3"/>
      <c r="B70" s="533">
        <v>0.9</v>
      </c>
      <c r="C70" s="534">
        <f t="shared" si="4"/>
        <v>1275750000</v>
      </c>
      <c r="D70" s="441">
        <f t="shared" si="5"/>
        <v>162570606.30828145</v>
      </c>
      <c r="E70" s="441">
        <f t="shared" si="6"/>
        <v>1232927097.2550931</v>
      </c>
      <c r="F70" s="441">
        <f t="shared" si="7"/>
        <v>1395497703.5633745</v>
      </c>
    </row>
    <row r="71" spans="1:6">
      <c r="A71" s="3"/>
      <c r="B71" s="533">
        <v>0.95</v>
      </c>
      <c r="C71" s="534">
        <f t="shared" si="4"/>
        <v>1346625000</v>
      </c>
      <c r="D71" s="441">
        <f t="shared" si="5"/>
        <v>162570606.30828145</v>
      </c>
      <c r="E71" s="441">
        <f t="shared" si="6"/>
        <v>1301423047.102598</v>
      </c>
      <c r="F71" s="441">
        <f t="shared" si="7"/>
        <v>1463993653.4108794</v>
      </c>
    </row>
    <row r="72" spans="1:6">
      <c r="A72" s="3"/>
      <c r="B72" s="533">
        <v>1</v>
      </c>
      <c r="C72" s="534">
        <f t="shared" si="4"/>
        <v>1417500000</v>
      </c>
      <c r="D72" s="441">
        <f t="shared" si="5"/>
        <v>162570606.30828145</v>
      </c>
      <c r="E72" s="441">
        <f>$B$38+B40+B42</f>
        <v>1369918996.9501033</v>
      </c>
      <c r="F72" s="441">
        <f t="shared" si="7"/>
        <v>1532489603.2583847</v>
      </c>
    </row>
    <row r="76" spans="1:6" ht="15">
      <c r="A76" s="98" t="s">
        <v>6</v>
      </c>
      <c r="B76" s="3"/>
      <c r="C76" s="3"/>
      <c r="D76" s="3"/>
      <c r="E76" s="3"/>
      <c r="F76" s="3"/>
    </row>
    <row r="77" spans="1:6">
      <c r="A77" s="99" t="s">
        <v>590</v>
      </c>
      <c r="B77" s="532" t="s">
        <v>591</v>
      </c>
      <c r="C77" s="532" t="s">
        <v>592</v>
      </c>
      <c r="D77" s="532" t="s">
        <v>593</v>
      </c>
      <c r="E77" s="532" t="s">
        <v>594</v>
      </c>
      <c r="F77" s="532" t="s">
        <v>595</v>
      </c>
    </row>
    <row r="78" spans="1:6">
      <c r="A78" s="100">
        <f>'E-Costos'!B191</f>
        <v>1984500000</v>
      </c>
      <c r="B78" s="533">
        <v>0</v>
      </c>
      <c r="C78" s="534">
        <f>$A$52*B78</f>
        <v>0</v>
      </c>
      <c r="D78" s="441">
        <f>$F$37+$F$39+$F$41+$F$43</f>
        <v>255896566.16633606</v>
      </c>
      <c r="E78" s="441">
        <f>$E$98*B78</f>
        <v>0</v>
      </c>
      <c r="F78" s="441">
        <f>D78+E78</f>
        <v>255896566.16633606</v>
      </c>
    </row>
    <row r="79" spans="1:6">
      <c r="A79" s="3"/>
      <c r="B79" s="533">
        <v>0.05</v>
      </c>
      <c r="C79" s="534">
        <f t="shared" ref="C79:C98" si="8">$A$52*B79</f>
        <v>70875000</v>
      </c>
      <c r="D79" s="441">
        <f t="shared" ref="D79:D98" si="9">$F$37+$F$39+$F$41+$F$43</f>
        <v>255896566.16633606</v>
      </c>
      <c r="E79" s="441">
        <f t="shared" ref="E79:E96" si="10">$E$98*B79</f>
        <v>64515480.223317683</v>
      </c>
      <c r="F79" s="441">
        <f t="shared" ref="F79:F81" si="11">D79+E79</f>
        <v>320412046.38965374</v>
      </c>
    </row>
    <row r="80" spans="1:6">
      <c r="A80" s="3"/>
      <c r="B80" s="533">
        <v>0.1</v>
      </c>
      <c r="C80" s="534">
        <f t="shared" si="8"/>
        <v>141750000</v>
      </c>
      <c r="D80" s="441">
        <f t="shared" si="9"/>
        <v>255896566.16633606</v>
      </c>
      <c r="E80" s="441">
        <f t="shared" si="10"/>
        <v>129030960.44663537</v>
      </c>
      <c r="F80" s="441">
        <f t="shared" si="11"/>
        <v>384927526.61297143</v>
      </c>
    </row>
    <row r="81" spans="1:6">
      <c r="A81" s="3"/>
      <c r="B81" s="533">
        <v>0.15</v>
      </c>
      <c r="C81" s="534">
        <f t="shared" si="8"/>
        <v>212625000</v>
      </c>
      <c r="D81" s="441">
        <f t="shared" si="9"/>
        <v>255896566.16633606</v>
      </c>
      <c r="E81" s="441">
        <f t="shared" si="10"/>
        <v>193546440.66995305</v>
      </c>
      <c r="F81" s="441">
        <f t="shared" si="11"/>
        <v>449443006.83628911</v>
      </c>
    </row>
    <row r="82" spans="1:6">
      <c r="A82" s="3"/>
      <c r="B82" s="533">
        <v>0.2</v>
      </c>
      <c r="C82" s="534">
        <f t="shared" si="8"/>
        <v>283500000</v>
      </c>
      <c r="D82" s="441">
        <f t="shared" si="9"/>
        <v>255896566.16633606</v>
      </c>
      <c r="E82" s="441">
        <f t="shared" si="10"/>
        <v>258061920.89327073</v>
      </c>
      <c r="F82" s="441">
        <f>D82+E82</f>
        <v>513958487.05960679</v>
      </c>
    </row>
    <row r="83" spans="1:6">
      <c r="A83" s="3"/>
      <c r="B83" s="533">
        <v>0.25</v>
      </c>
      <c r="C83" s="534">
        <f t="shared" si="8"/>
        <v>354375000</v>
      </c>
      <c r="D83" s="441">
        <f t="shared" si="9"/>
        <v>255896566.16633606</v>
      </c>
      <c r="E83" s="441">
        <f t="shared" si="10"/>
        <v>322577401.11658841</v>
      </c>
      <c r="F83" s="441">
        <f t="shared" ref="F83:F84" si="12">D83+E83</f>
        <v>578473967.28292441</v>
      </c>
    </row>
    <row r="84" spans="1:6">
      <c r="A84" s="3"/>
      <c r="B84" s="533">
        <v>0.3</v>
      </c>
      <c r="C84" s="534">
        <f t="shared" si="8"/>
        <v>425250000</v>
      </c>
      <c r="D84" s="441">
        <f t="shared" si="9"/>
        <v>255896566.16633606</v>
      </c>
      <c r="E84" s="441">
        <f t="shared" si="10"/>
        <v>387092881.3399061</v>
      </c>
      <c r="F84" s="441">
        <f t="shared" si="12"/>
        <v>642989447.50624216</v>
      </c>
    </row>
    <row r="85" spans="1:6">
      <c r="A85" s="3"/>
      <c r="B85" s="533">
        <v>0.35</v>
      </c>
      <c r="C85" s="534">
        <f t="shared" si="8"/>
        <v>496124999.99999994</v>
      </c>
      <c r="D85" s="441">
        <f t="shared" si="9"/>
        <v>255896566.16633606</v>
      </c>
      <c r="E85" s="441">
        <f t="shared" si="10"/>
        <v>451608361.56322378</v>
      </c>
      <c r="F85" s="441">
        <f>D85+E85</f>
        <v>707504927.7295599</v>
      </c>
    </row>
    <row r="86" spans="1:6">
      <c r="A86" s="3"/>
      <c r="B86" s="533">
        <v>0.4</v>
      </c>
      <c r="C86" s="534">
        <f t="shared" si="8"/>
        <v>567000000</v>
      </c>
      <c r="D86" s="441">
        <f t="shared" si="9"/>
        <v>255896566.16633606</v>
      </c>
      <c r="E86" s="441">
        <f t="shared" si="10"/>
        <v>516123841.78654146</v>
      </c>
      <c r="F86" s="441">
        <f t="shared" ref="F86:F88" si="13">D86+E86</f>
        <v>772020407.95287752</v>
      </c>
    </row>
    <row r="87" spans="1:6">
      <c r="A87" s="3"/>
      <c r="B87" s="533">
        <v>0.45</v>
      </c>
      <c r="C87" s="534">
        <f t="shared" si="8"/>
        <v>637875000</v>
      </c>
      <c r="D87" s="441">
        <f t="shared" si="9"/>
        <v>255896566.16633606</v>
      </c>
      <c r="E87" s="441">
        <f t="shared" si="10"/>
        <v>580639322.0098592</v>
      </c>
      <c r="F87" s="441">
        <f t="shared" si="13"/>
        <v>836535888.17619526</v>
      </c>
    </row>
    <row r="88" spans="1:6">
      <c r="A88" s="3"/>
      <c r="B88" s="533">
        <v>0.5</v>
      </c>
      <c r="C88" s="534">
        <f t="shared" si="8"/>
        <v>708750000</v>
      </c>
      <c r="D88" s="441">
        <f t="shared" si="9"/>
        <v>255896566.16633606</v>
      </c>
      <c r="E88" s="441">
        <f t="shared" si="10"/>
        <v>645154802.23317683</v>
      </c>
      <c r="F88" s="441">
        <f t="shared" si="13"/>
        <v>901051368.39951289</v>
      </c>
    </row>
    <row r="89" spans="1:6">
      <c r="A89" s="3"/>
      <c r="B89" s="533">
        <v>0.55000000000000004</v>
      </c>
      <c r="C89" s="534">
        <f t="shared" si="8"/>
        <v>779625000.00000012</v>
      </c>
      <c r="D89" s="441">
        <f t="shared" si="9"/>
        <v>255896566.16633606</v>
      </c>
      <c r="E89" s="441">
        <f t="shared" si="10"/>
        <v>709670282.45649457</v>
      </c>
      <c r="F89" s="441">
        <f>D89+E89</f>
        <v>965566848.62283063</v>
      </c>
    </row>
    <row r="90" spans="1:6">
      <c r="A90" s="3"/>
      <c r="B90" s="533">
        <v>0.6</v>
      </c>
      <c r="C90" s="534">
        <f t="shared" si="8"/>
        <v>850500000</v>
      </c>
      <c r="D90" s="441">
        <f t="shared" si="9"/>
        <v>255896566.16633606</v>
      </c>
      <c r="E90" s="441">
        <f t="shared" si="10"/>
        <v>774185762.67981219</v>
      </c>
      <c r="F90" s="441">
        <f t="shared" ref="F90:F98" si="14">D90+E90</f>
        <v>1030082328.8461483</v>
      </c>
    </row>
    <row r="91" spans="1:6">
      <c r="A91" s="3"/>
      <c r="B91" s="533">
        <v>0.65</v>
      </c>
      <c r="C91" s="534">
        <f t="shared" si="8"/>
        <v>921375000</v>
      </c>
      <c r="D91" s="441">
        <f t="shared" si="9"/>
        <v>255896566.16633606</v>
      </c>
      <c r="E91" s="441">
        <f t="shared" si="10"/>
        <v>838701242.90312994</v>
      </c>
      <c r="F91" s="441">
        <f t="shared" si="14"/>
        <v>1094597809.0694661</v>
      </c>
    </row>
    <row r="92" spans="1:6">
      <c r="A92" s="3"/>
      <c r="B92" s="533">
        <v>0.7</v>
      </c>
      <c r="C92" s="534">
        <f t="shared" si="8"/>
        <v>992249999.99999988</v>
      </c>
      <c r="D92" s="441">
        <f t="shared" si="9"/>
        <v>255896566.16633606</v>
      </c>
      <c r="E92" s="441">
        <f t="shared" si="10"/>
        <v>903216723.12644756</v>
      </c>
      <c r="F92" s="441">
        <f t="shared" si="14"/>
        <v>1159113289.2927837</v>
      </c>
    </row>
    <row r="93" spans="1:6">
      <c r="A93" s="3"/>
      <c r="B93" s="533">
        <v>0.75</v>
      </c>
      <c r="C93" s="534">
        <f t="shared" si="8"/>
        <v>1063125000</v>
      </c>
      <c r="D93" s="441">
        <f t="shared" si="9"/>
        <v>255896566.16633606</v>
      </c>
      <c r="E93" s="441">
        <f t="shared" si="10"/>
        <v>967732203.3497653</v>
      </c>
      <c r="F93" s="441">
        <f t="shared" si="14"/>
        <v>1223628769.5161014</v>
      </c>
    </row>
    <row r="94" spans="1:6">
      <c r="A94" s="3"/>
      <c r="B94" s="533">
        <v>0.8</v>
      </c>
      <c r="C94" s="534">
        <f t="shared" si="8"/>
        <v>1134000000</v>
      </c>
      <c r="D94" s="441">
        <f t="shared" si="9"/>
        <v>255896566.16633606</v>
      </c>
      <c r="E94" s="441">
        <f t="shared" si="10"/>
        <v>1032247683.5730829</v>
      </c>
      <c r="F94" s="441">
        <f t="shared" si="14"/>
        <v>1288144249.739419</v>
      </c>
    </row>
    <row r="95" spans="1:6">
      <c r="A95" s="3"/>
      <c r="B95" s="533">
        <v>0.85</v>
      </c>
      <c r="C95" s="534">
        <f t="shared" si="8"/>
        <v>1204875000</v>
      </c>
      <c r="D95" s="441">
        <f t="shared" si="9"/>
        <v>255896566.16633606</v>
      </c>
      <c r="E95" s="441">
        <f t="shared" si="10"/>
        <v>1096763163.7964005</v>
      </c>
      <c r="F95" s="441">
        <f t="shared" si="14"/>
        <v>1352659729.9627366</v>
      </c>
    </row>
    <row r="96" spans="1:6">
      <c r="A96" s="3"/>
      <c r="B96" s="533">
        <v>0.9</v>
      </c>
      <c r="C96" s="534">
        <f t="shared" si="8"/>
        <v>1275750000</v>
      </c>
      <c r="D96" s="441">
        <f t="shared" si="9"/>
        <v>255896566.16633606</v>
      </c>
      <c r="E96" s="441">
        <f t="shared" si="10"/>
        <v>1161278644.0197184</v>
      </c>
      <c r="F96" s="441">
        <f t="shared" si="14"/>
        <v>1417175210.1860545</v>
      </c>
    </row>
    <row r="97" spans="1:6">
      <c r="A97" s="3"/>
      <c r="B97" s="533">
        <v>0.95</v>
      </c>
      <c r="C97" s="534">
        <f t="shared" si="8"/>
        <v>1346625000</v>
      </c>
      <c r="D97" s="441">
        <f t="shared" si="9"/>
        <v>255896566.16633606</v>
      </c>
      <c r="E97" s="441">
        <f>$E$98*B97</f>
        <v>1225794124.243036</v>
      </c>
      <c r="F97" s="441">
        <f t="shared" si="14"/>
        <v>1481690690.4093721</v>
      </c>
    </row>
    <row r="98" spans="1:6">
      <c r="A98" s="3"/>
      <c r="B98" s="533">
        <v>1</v>
      </c>
      <c r="C98" s="534">
        <f t="shared" si="8"/>
        <v>1417500000</v>
      </c>
      <c r="D98" s="441">
        <f t="shared" si="9"/>
        <v>255896566.16633606</v>
      </c>
      <c r="E98" s="441">
        <f>$F$38+$F$40+$F$42</f>
        <v>1290309604.4663537</v>
      </c>
      <c r="F98" s="441">
        <f t="shared" si="14"/>
        <v>1546206170.6326897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D9F67-FC2A-467F-B662-CA7FCF0D4472}">
  <sheetPr>
    <tabColor rgb="FFFFFF00"/>
  </sheetPr>
  <dimension ref="A1:G21"/>
  <sheetViews>
    <sheetView topLeftCell="A11" workbookViewId="0">
      <selection activeCell="C19" sqref="C19"/>
    </sheetView>
  </sheetViews>
  <sheetFormatPr baseColWidth="10" defaultColWidth="8.85546875" defaultRowHeight="12.75"/>
  <cols>
    <col min="1" max="1" width="70.42578125" customWidth="1"/>
    <col min="2" max="2" width="20.5703125" customWidth="1"/>
    <col min="3" max="7" width="16.7109375" bestFit="1" customWidth="1"/>
  </cols>
  <sheetData>
    <row r="1" spans="1:7">
      <c r="A1" s="158" t="s">
        <v>56</v>
      </c>
      <c r="B1" s="158"/>
      <c r="C1" s="158"/>
      <c r="D1" s="158"/>
      <c r="E1" s="158">
        <v>9</v>
      </c>
      <c r="F1" s="158"/>
      <c r="G1" s="158"/>
    </row>
    <row r="2" spans="1:7" ht="15.75">
      <c r="A2" s="609" t="s">
        <v>629</v>
      </c>
      <c r="B2" s="609"/>
      <c r="C2" s="611"/>
      <c r="D2" s="611"/>
      <c r="E2" s="611"/>
      <c r="F2" s="611" t="s">
        <v>200</v>
      </c>
      <c r="G2" s="593" t="s">
        <v>200</v>
      </c>
    </row>
    <row r="3" spans="1:7" ht="15.75">
      <c r="A3" s="643" t="s">
        <v>200</v>
      </c>
      <c r="B3" s="1069" t="s">
        <v>630</v>
      </c>
      <c r="C3" s="1069"/>
      <c r="D3" s="1069"/>
      <c r="E3" s="1069"/>
      <c r="F3" s="1069"/>
      <c r="G3" s="1070"/>
    </row>
    <row r="4" spans="1:7">
      <c r="A4" s="600" t="s">
        <v>444</v>
      </c>
      <c r="B4" s="644" t="s">
        <v>14</v>
      </c>
      <c r="C4" s="594" t="s">
        <v>2</v>
      </c>
      <c r="D4" s="594" t="s">
        <v>3</v>
      </c>
      <c r="E4" s="594" t="s">
        <v>4</v>
      </c>
      <c r="F4" s="594" t="s">
        <v>5</v>
      </c>
      <c r="G4" s="595" t="s">
        <v>6</v>
      </c>
    </row>
    <row r="5" spans="1:7">
      <c r="A5" s="645" t="s">
        <v>961</v>
      </c>
      <c r="B5" s="654" t="s">
        <v>200</v>
      </c>
      <c r="C5" s="457" t="s">
        <v>200</v>
      </c>
      <c r="D5" s="457" t="s">
        <v>200</v>
      </c>
      <c r="E5" s="457" t="s">
        <v>200</v>
      </c>
      <c r="F5" s="457" t="s">
        <v>200</v>
      </c>
      <c r="G5" s="474" t="s">
        <v>200</v>
      </c>
    </row>
    <row r="6" spans="1:7">
      <c r="A6" s="646" t="s">
        <v>962</v>
      </c>
      <c r="B6" s="655" t="s">
        <v>963</v>
      </c>
      <c r="C6" s="621">
        <f>'E-IVA '!C17</f>
        <v>250125678.86411521</v>
      </c>
      <c r="D6" s="621">
        <f>'E-IVA '!D17</f>
        <v>256520813.00329149</v>
      </c>
      <c r="E6" s="621">
        <f>'E-IVA '!E17</f>
        <v>255363839.80927879</v>
      </c>
      <c r="F6" s="621">
        <f>'E-IVA '!F17</f>
        <v>255363839.80927879</v>
      </c>
      <c r="G6" s="658">
        <f>'E-IVA '!G17</f>
        <v>255363839.80927879</v>
      </c>
    </row>
    <row r="7" spans="1:7">
      <c r="A7" s="646" t="s">
        <v>964</v>
      </c>
      <c r="B7" s="655" t="s">
        <v>963</v>
      </c>
      <c r="C7" s="621">
        <f>'E-IVA '!C18</f>
        <v>336943.38714640524</v>
      </c>
      <c r="D7" s="621">
        <f>'E-IVA '!D18</f>
        <v>325035.58389640524</v>
      </c>
      <c r="E7" s="621">
        <f>'E-IVA '!E18</f>
        <v>325035.58389640524</v>
      </c>
      <c r="F7" s="621">
        <f>'E-IVA '!F18</f>
        <v>325035.58389640524</v>
      </c>
      <c r="G7" s="658">
        <f>'E-IVA '!G18</f>
        <v>325035.58389640524</v>
      </c>
    </row>
    <row r="8" spans="1:7">
      <c r="A8" s="646" t="s">
        <v>965</v>
      </c>
      <c r="B8" s="655" t="s">
        <v>963</v>
      </c>
      <c r="C8" s="621">
        <f>'E-IVA '!C19</f>
        <v>1104164.8221892312</v>
      </c>
      <c r="D8" s="621">
        <f>'E-IVA '!D19</f>
        <v>1092257.0189392313</v>
      </c>
      <c r="E8" s="621">
        <f>'E-IVA '!E19</f>
        <v>1092257.0189392313</v>
      </c>
      <c r="F8" s="621">
        <f>'E-IVA '!F19</f>
        <v>1092257.0189392313</v>
      </c>
      <c r="G8" s="658">
        <f>'E-IVA '!G19</f>
        <v>1092257.0189392313</v>
      </c>
    </row>
    <row r="9" spans="1:7">
      <c r="A9" s="646" t="s">
        <v>966</v>
      </c>
      <c r="B9" s="655" t="s">
        <v>200</v>
      </c>
      <c r="C9" s="621">
        <f>'F-2 Estructura'!B43*InfoInicial!$B$3</f>
        <v>7227585.8299460262</v>
      </c>
      <c r="D9" s="621">
        <f>'F-2 Estructura'!C43*InfoInicial!$B$3</f>
        <v>5614343.0029460257</v>
      </c>
      <c r="E9" s="621">
        <f>'F-2 Estructura'!D43*InfoInicial!$B$3</f>
        <v>2990422.878246027</v>
      </c>
      <c r="F9" s="621">
        <f>'F-2 Estructura'!E43*InfoInicial!$B$3</f>
        <v>1377180.0512460268</v>
      </c>
      <c r="G9" s="621">
        <f>'F-2 Estructura'!F43*InfoInicial!$B$3</f>
        <v>23278348.3968</v>
      </c>
    </row>
    <row r="10" spans="1:7">
      <c r="A10" s="647" t="s">
        <v>967</v>
      </c>
      <c r="B10" s="656" t="s">
        <v>963</v>
      </c>
      <c r="C10" s="621">
        <f>SUM(C6:C9)</f>
        <v>258794372.9033969</v>
      </c>
      <c r="D10" s="621">
        <f t="shared" ref="D10:G10" si="0">SUM(D6:D9)</f>
        <v>263552448.60907313</v>
      </c>
      <c r="E10" s="621">
        <f t="shared" si="0"/>
        <v>259771555.29036045</v>
      </c>
      <c r="F10" s="621">
        <f t="shared" si="0"/>
        <v>258158312.46336043</v>
      </c>
      <c r="G10" s="658">
        <f t="shared" si="0"/>
        <v>280059480.80891442</v>
      </c>
    </row>
    <row r="11" spans="1:7">
      <c r="A11" s="647" t="s">
        <v>200</v>
      </c>
      <c r="B11" s="656" t="s">
        <v>200</v>
      </c>
      <c r="C11" s="457" t="s">
        <v>200</v>
      </c>
      <c r="D11" s="457" t="s">
        <v>200</v>
      </c>
      <c r="E11" s="457" t="s">
        <v>200</v>
      </c>
      <c r="F11" s="457" t="s">
        <v>200</v>
      </c>
      <c r="G11" s="474" t="s">
        <v>200</v>
      </c>
    </row>
    <row r="12" spans="1:7">
      <c r="A12" s="646" t="s">
        <v>642</v>
      </c>
      <c r="B12" s="656" t="s">
        <v>963</v>
      </c>
      <c r="C12" s="909">
        <f>+C10</f>
        <v>258794372.9033969</v>
      </c>
      <c r="D12" s="909">
        <f>+D10</f>
        <v>263552448.60907313</v>
      </c>
      <c r="E12" s="909">
        <f t="shared" ref="E12:G12" si="1">+E10</f>
        <v>259771555.29036045</v>
      </c>
      <c r="F12" s="909">
        <f t="shared" si="1"/>
        <v>258158312.46336043</v>
      </c>
      <c r="G12" s="910">
        <f t="shared" si="1"/>
        <v>280059480.80891442</v>
      </c>
    </row>
    <row r="13" spans="1:7">
      <c r="A13" s="646" t="s">
        <v>643</v>
      </c>
      <c r="B13" s="656" t="s">
        <v>200</v>
      </c>
      <c r="C13" s="909">
        <f>'E-IVA '!C22</f>
        <v>297675000</v>
      </c>
      <c r="D13" s="909">
        <f>'E-IVA '!D22</f>
        <v>416745000</v>
      </c>
      <c r="E13" s="909">
        <f>'E-IVA '!E22</f>
        <v>416745000</v>
      </c>
      <c r="F13" s="909">
        <f>'E-IVA '!F22</f>
        <v>416745000</v>
      </c>
      <c r="G13" s="909">
        <f>'E-IVA '!G22</f>
        <v>416745000</v>
      </c>
    </row>
    <row r="14" spans="1:7">
      <c r="A14" s="647" t="s">
        <v>968</v>
      </c>
      <c r="B14" s="656" t="s">
        <v>200</v>
      </c>
      <c r="C14" s="909">
        <f>C13-C12</f>
        <v>38880627.096603096</v>
      </c>
      <c r="D14" s="909">
        <f t="shared" ref="D14:F14" si="2">D13-D12</f>
        <v>153192551.39092687</v>
      </c>
      <c r="E14" s="909">
        <f t="shared" si="2"/>
        <v>156973444.70963955</v>
      </c>
      <c r="F14" s="909">
        <f t="shared" si="2"/>
        <v>158586687.53663957</v>
      </c>
      <c r="G14" s="910">
        <f>G13-G12</f>
        <v>136685519.19108558</v>
      </c>
    </row>
    <row r="15" spans="1:7">
      <c r="A15" s="646" t="s">
        <v>200</v>
      </c>
      <c r="B15" s="656" t="s">
        <v>200</v>
      </c>
      <c r="C15" s="856" t="s">
        <v>200</v>
      </c>
      <c r="D15" s="856" t="s">
        <v>200</v>
      </c>
      <c r="E15" s="856" t="s">
        <v>200</v>
      </c>
      <c r="F15" s="856" t="s">
        <v>200</v>
      </c>
      <c r="G15" s="857" t="s">
        <v>200</v>
      </c>
    </row>
    <row r="16" spans="1:7">
      <c r="A16" s="647" t="s">
        <v>969</v>
      </c>
      <c r="B16" s="621">
        <f>'E-IVA '!B25</f>
        <v>0</v>
      </c>
      <c r="C16" s="917">
        <f>B18</f>
        <v>64490035.75448259</v>
      </c>
      <c r="D16" s="917">
        <f t="shared" ref="D16:G16" si="3">C18</f>
        <v>105234315.76291466</v>
      </c>
      <c r="E16" s="917">
        <f t="shared" si="3"/>
        <v>0</v>
      </c>
      <c r="F16" s="917">
        <f t="shared" si="3"/>
        <v>0</v>
      </c>
      <c r="G16" s="917">
        <f t="shared" si="3"/>
        <v>0</v>
      </c>
    </row>
    <row r="17" spans="1:7" s="916" customFormat="1">
      <c r="A17" s="915" t="s">
        <v>970</v>
      </c>
      <c r="B17" s="909">
        <f>'F-2 Estructura'!B33</f>
        <v>64490035.75448259</v>
      </c>
      <c r="C17" s="909">
        <f>'F-2 Estructura'!C33</f>
        <v>79624907.105035156</v>
      </c>
      <c r="D17" s="909">
        <f>'E-Cal Inv.'!E23</f>
        <v>12131105.897041362</v>
      </c>
      <c r="E17" s="909">
        <f>'E-Cal Inv.'!F23</f>
        <v>-217.7429526336584</v>
      </c>
      <c r="F17" s="909">
        <f>'E-Cal Inv.'!G23</f>
        <v>0</v>
      </c>
      <c r="G17" s="909">
        <f>'E-Cal Inv.'!H23</f>
        <v>0</v>
      </c>
    </row>
    <row r="18" spans="1:7">
      <c r="A18" s="647" t="s">
        <v>971</v>
      </c>
      <c r="B18" s="909">
        <f>B17</f>
        <v>64490035.75448259</v>
      </c>
      <c r="C18" s="909">
        <f>IF(C14&lt;SUM(C16:C17),SUM(C16:C17)-C14,0)</f>
        <v>105234315.76291466</v>
      </c>
      <c r="D18" s="909">
        <f>IF(D14&lt;SUM(D16:D17),SUM(D16:D17)-D14,0)</f>
        <v>0</v>
      </c>
      <c r="E18" s="909">
        <f t="shared" ref="E18:G18" si="4">IF(E14&lt;SUM(E16:E17),SUM(E16:E17)-E14,0)</f>
        <v>0</v>
      </c>
      <c r="F18" s="909">
        <f t="shared" si="4"/>
        <v>0</v>
      </c>
      <c r="G18" s="909">
        <f t="shared" si="4"/>
        <v>0</v>
      </c>
    </row>
    <row r="19" spans="1:7" s="916" customFormat="1">
      <c r="A19" s="915" t="s">
        <v>972</v>
      </c>
      <c r="B19" s="902">
        <f>B18-B17</f>
        <v>0</v>
      </c>
      <c r="C19" s="902">
        <f>+C16+C17-C18</f>
        <v>38880627.096603096</v>
      </c>
      <c r="D19" s="902">
        <f>+D16+D17-D18</f>
        <v>117365421.65995602</v>
      </c>
      <c r="E19" s="902">
        <f>+E16+E17-E18</f>
        <v>-217.7429526336584</v>
      </c>
      <c r="F19" s="902">
        <f t="shared" ref="F19:G19" si="5">+F16+F17-F18</f>
        <v>0</v>
      </c>
      <c r="G19" s="902">
        <f t="shared" si="5"/>
        <v>0</v>
      </c>
    </row>
    <row r="20" spans="1:7">
      <c r="A20" s="646" t="s">
        <v>200</v>
      </c>
      <c r="B20" s="457" t="s">
        <v>200</v>
      </c>
      <c r="C20" s="457" t="s">
        <v>200</v>
      </c>
      <c r="D20" s="457" t="s">
        <v>200</v>
      </c>
      <c r="E20" s="457" t="s">
        <v>200</v>
      </c>
      <c r="F20" s="457" t="s">
        <v>200</v>
      </c>
      <c r="G20" s="474" t="s">
        <v>200</v>
      </c>
    </row>
    <row r="21" spans="1:7">
      <c r="A21" s="648" t="s">
        <v>649</v>
      </c>
      <c r="B21" s="918">
        <v>0</v>
      </c>
      <c r="C21" s="918">
        <f>C14-C19</f>
        <v>0</v>
      </c>
      <c r="D21" s="918">
        <f t="shared" ref="D21:G21" si="6">D14-D19</f>
        <v>35827129.730970845</v>
      </c>
      <c r="E21" s="918">
        <f t="shared" si="6"/>
        <v>156973662.45259219</v>
      </c>
      <c r="F21" s="918">
        <f>F14-F19</f>
        <v>158586687.53663957</v>
      </c>
      <c r="G21" s="918">
        <f t="shared" si="6"/>
        <v>136685519.19108558</v>
      </c>
    </row>
  </sheetData>
  <mergeCells count="1">
    <mergeCell ref="B3:G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E026F-D2F6-47A5-8292-D37710601101}">
  <sheetPr>
    <tabColor rgb="FFFFFF00"/>
  </sheetPr>
  <dimension ref="A1:L34"/>
  <sheetViews>
    <sheetView workbookViewId="0">
      <selection activeCell="C26" sqref="C26"/>
    </sheetView>
  </sheetViews>
  <sheetFormatPr baseColWidth="10" defaultColWidth="8.85546875" defaultRowHeight="12.75"/>
  <cols>
    <col min="1" max="1" width="52.42578125" customWidth="1"/>
    <col min="2" max="2" width="16.7109375" bestFit="1" customWidth="1"/>
    <col min="3" max="7" width="18.42578125" bestFit="1" customWidth="1"/>
    <col min="8" max="8" width="19.5703125" bestFit="1" customWidth="1"/>
    <col min="11" max="11" width="4.85546875" customWidth="1"/>
    <col min="12" max="12" width="19.28515625" customWidth="1"/>
  </cols>
  <sheetData>
    <row r="1" spans="1:8">
      <c r="A1" s="587" t="s">
        <v>56</v>
      </c>
      <c r="B1" s="588"/>
      <c r="C1" s="588"/>
      <c r="D1" s="588"/>
      <c r="E1" s="607">
        <v>9</v>
      </c>
      <c r="F1" s="158"/>
      <c r="G1" s="158"/>
      <c r="H1" s="158"/>
    </row>
    <row r="2" spans="1:8">
      <c r="A2" s="158"/>
      <c r="B2" s="158"/>
      <c r="C2" s="158"/>
      <c r="D2" s="158"/>
      <c r="E2" s="158"/>
      <c r="F2" s="158"/>
      <c r="G2" s="158"/>
      <c r="H2" s="158"/>
    </row>
    <row r="3" spans="1:8" ht="15.75">
      <c r="A3" s="591" t="s">
        <v>973</v>
      </c>
      <c r="B3" s="592" t="s">
        <v>200</v>
      </c>
      <c r="C3" s="592" t="s">
        <v>200</v>
      </c>
      <c r="D3" s="592" t="s">
        <v>200</v>
      </c>
      <c r="E3" s="592" t="s">
        <v>200</v>
      </c>
      <c r="F3" s="592" t="s">
        <v>200</v>
      </c>
      <c r="G3" s="611" t="s">
        <v>200</v>
      </c>
      <c r="H3" s="685" t="s">
        <v>200</v>
      </c>
    </row>
    <row r="4" spans="1:8">
      <c r="A4" s="456" t="s">
        <v>200</v>
      </c>
      <c r="B4" s="480" t="s">
        <v>14</v>
      </c>
      <c r="C4" s="480" t="s">
        <v>2</v>
      </c>
      <c r="D4" s="480" t="s">
        <v>3</v>
      </c>
      <c r="E4" s="480" t="s">
        <v>4</v>
      </c>
      <c r="F4" s="480" t="s">
        <v>5</v>
      </c>
      <c r="G4" s="686" t="s">
        <v>6</v>
      </c>
      <c r="H4" s="628" t="s">
        <v>595</v>
      </c>
    </row>
    <row r="5" spans="1:8">
      <c r="A5" s="596" t="s">
        <v>974</v>
      </c>
      <c r="B5" s="614" t="s">
        <v>200</v>
      </c>
      <c r="C5" s="457" t="s">
        <v>200</v>
      </c>
      <c r="D5" s="457" t="s">
        <v>200</v>
      </c>
      <c r="E5" s="457" t="s">
        <v>200</v>
      </c>
      <c r="F5" s="457" t="s">
        <v>200</v>
      </c>
      <c r="G5" s="615" t="s">
        <v>200</v>
      </c>
      <c r="H5" s="616" t="s">
        <v>200</v>
      </c>
    </row>
    <row r="6" spans="1:8">
      <c r="A6" s="158" t="s">
        <v>975</v>
      </c>
      <c r="B6" s="620" t="s">
        <v>200</v>
      </c>
      <c r="C6" s="621">
        <f>B29</f>
        <v>0</v>
      </c>
      <c r="D6" s="621">
        <f>C29</f>
        <v>57999591.88767764</v>
      </c>
      <c r="E6" s="621">
        <f t="shared" ref="E6" si="0">D29</f>
        <v>472898827.50182748</v>
      </c>
      <c r="F6" s="621">
        <f>E29</f>
        <v>847189653.91850781</v>
      </c>
      <c r="G6" s="621">
        <f>F29</f>
        <v>1221122918.8586161</v>
      </c>
      <c r="H6" s="623">
        <f>SUM(C6:G6)</f>
        <v>2599210992.1666288</v>
      </c>
    </row>
    <row r="7" spans="1:8">
      <c r="A7" s="158" t="s">
        <v>976</v>
      </c>
      <c r="B7" s="620">
        <f>'F-2 Estructura'!B31</f>
        <v>319943557.20916158</v>
      </c>
      <c r="C7" s="620">
        <f>'F-2 Estructura'!C31</f>
        <v>459161891.62095612</v>
      </c>
      <c r="D7" s="697" t="s">
        <v>977</v>
      </c>
      <c r="E7" s="698" t="s">
        <v>977</v>
      </c>
      <c r="F7" s="698" t="s">
        <v>977</v>
      </c>
      <c r="G7" s="698" t="s">
        <v>977</v>
      </c>
      <c r="H7" s="623">
        <f>SUM(B7:G7)</f>
        <v>779105448.8301177</v>
      </c>
    </row>
    <row r="8" spans="1:8">
      <c r="A8" s="158" t="s">
        <v>978</v>
      </c>
      <c r="B8" s="620">
        <f>'F-2 Estructura'!B29</f>
        <v>0</v>
      </c>
      <c r="C8" s="620">
        <f>'F-2 Estructura'!C29</f>
        <v>846845.46952416655</v>
      </c>
      <c r="D8" s="697" t="s">
        <v>977</v>
      </c>
      <c r="E8" s="698" t="s">
        <v>977</v>
      </c>
      <c r="F8" s="698" t="s">
        <v>977</v>
      </c>
      <c r="G8" s="698" t="s">
        <v>977</v>
      </c>
      <c r="H8" s="623">
        <f t="shared" ref="H8:H11" si="1">SUM(B8:G8)</f>
        <v>846845.46952416655</v>
      </c>
    </row>
    <row r="9" spans="1:8">
      <c r="A9" s="158" t="s">
        <v>979</v>
      </c>
      <c r="B9" s="620">
        <f>'F-2 Estructura'!B30</f>
        <v>54491087.000000007</v>
      </c>
      <c r="C9" s="620">
        <f>'F-2 Estructura'!C30</f>
        <v>0</v>
      </c>
      <c r="D9" s="697" t="s">
        <v>977</v>
      </c>
      <c r="E9" s="698" t="s">
        <v>977</v>
      </c>
      <c r="F9" s="698" t="s">
        <v>977</v>
      </c>
      <c r="G9" s="698" t="s">
        <v>977</v>
      </c>
      <c r="H9" s="623">
        <f t="shared" si="1"/>
        <v>54491087.000000007</v>
      </c>
    </row>
    <row r="10" spans="1:8">
      <c r="A10" s="158" t="s">
        <v>980</v>
      </c>
      <c r="B10" s="660" t="s">
        <v>977</v>
      </c>
      <c r="C10" s="621">
        <f>'F-CRes'!B4</f>
        <v>1417500000</v>
      </c>
      <c r="D10" s="621">
        <f>'F-CRes'!C4</f>
        <v>1984500000</v>
      </c>
      <c r="E10" s="621">
        <f>'F-CRes'!D4</f>
        <v>1984500000</v>
      </c>
      <c r="F10" s="621">
        <f>'F-CRes'!E4</f>
        <v>1984500000</v>
      </c>
      <c r="G10" s="621">
        <f>'F-CRes'!F4</f>
        <v>1984500000</v>
      </c>
      <c r="H10" s="623">
        <f t="shared" si="1"/>
        <v>9355500000</v>
      </c>
    </row>
    <row r="11" spans="1:8">
      <c r="A11" s="158" t="s">
        <v>981</v>
      </c>
      <c r="B11" s="660" t="s">
        <v>977</v>
      </c>
      <c r="C11" s="621">
        <f>'F-IVA'!C19</f>
        <v>38880627.096603096</v>
      </c>
      <c r="D11" s="621">
        <f>'F-IVA'!D19</f>
        <v>117365421.65995602</v>
      </c>
      <c r="E11" s="621">
        <f>'F-IVA'!E19</f>
        <v>-217.7429526336584</v>
      </c>
      <c r="F11" s="621">
        <f>'F-IVA'!F19</f>
        <v>0</v>
      </c>
      <c r="G11" s="621">
        <f>'F-IVA'!G19</f>
        <v>0</v>
      </c>
      <c r="H11" s="623">
        <f t="shared" si="1"/>
        <v>156245831.01360649</v>
      </c>
    </row>
    <row r="12" spans="1:8">
      <c r="A12" s="625" t="s">
        <v>595</v>
      </c>
      <c r="B12" s="706">
        <f>SUM(B6:B11)</f>
        <v>374434644.20916158</v>
      </c>
      <c r="C12" s="706">
        <f t="shared" ref="C12:H12" si="2">SUM(C6:C11)</f>
        <v>1916389364.1870835</v>
      </c>
      <c r="D12" s="706">
        <f t="shared" si="2"/>
        <v>2159865013.5476336</v>
      </c>
      <c r="E12" s="706">
        <f t="shared" si="2"/>
        <v>2457398609.7588744</v>
      </c>
      <c r="F12" s="706">
        <f t="shared" si="2"/>
        <v>2831689653.9185076</v>
      </c>
      <c r="G12" s="706">
        <f t="shared" si="2"/>
        <v>3205622918.8586159</v>
      </c>
      <c r="H12" s="706">
        <f t="shared" si="2"/>
        <v>12945400204.479877</v>
      </c>
    </row>
    <row r="13" spans="1:8">
      <c r="A13" s="699" t="s">
        <v>200</v>
      </c>
      <c r="B13" s="657"/>
      <c r="C13" s="656"/>
      <c r="D13" s="656"/>
      <c r="E13" s="656"/>
      <c r="F13" s="656"/>
      <c r="G13" s="700"/>
      <c r="H13" s="701"/>
    </row>
    <row r="14" spans="1:8">
      <c r="A14" s="699" t="s">
        <v>982</v>
      </c>
      <c r="B14" s="657"/>
      <c r="C14" s="656"/>
      <c r="D14" s="656"/>
      <c r="E14" s="656"/>
      <c r="F14" s="656"/>
      <c r="G14" s="700"/>
      <c r="H14" s="701"/>
    </row>
    <row r="15" spans="1:8">
      <c r="A15" s="626" t="s">
        <v>983</v>
      </c>
      <c r="B15" s="657">
        <f>'F-2 Estructura'!B8</f>
        <v>306660393.89125001</v>
      </c>
      <c r="C15" s="657">
        <f>'F-2 Estructura'!C8</f>
        <v>177258991.25894368</v>
      </c>
      <c r="D15" s="660" t="s">
        <v>977</v>
      </c>
      <c r="E15" s="654" t="s">
        <v>977</v>
      </c>
      <c r="F15" s="654" t="s">
        <v>977</v>
      </c>
      <c r="G15" s="654" t="s">
        <v>977</v>
      </c>
      <c r="H15" s="840">
        <f>SUM(B15:G15)</f>
        <v>483919385.15019369</v>
      </c>
    </row>
    <row r="16" spans="1:8">
      <c r="A16" s="626" t="s">
        <v>883</v>
      </c>
      <c r="B16" s="709">
        <f>'E-InvAT'!B24</f>
        <v>3284214.5634289999</v>
      </c>
      <c r="C16" s="709">
        <f>'E-InvAT'!C24</f>
        <v>215933170.0592072</v>
      </c>
      <c r="D16" s="709">
        <f>'E-InvAT'!D24</f>
        <v>56599201.31232816</v>
      </c>
      <c r="E16" s="709">
        <f>'E-InvAT'!E24</f>
        <v>-1036.8712030053139</v>
      </c>
      <c r="F16" s="709">
        <f>'E-InvAT'!F24</f>
        <v>0</v>
      </c>
      <c r="G16" s="709">
        <f>'E-InvAT'!G24</f>
        <v>0</v>
      </c>
      <c r="H16" s="840">
        <f t="shared" ref="H16:H23" si="3">SUM(B16:G16)</f>
        <v>275815549.06376135</v>
      </c>
    </row>
    <row r="17" spans="1:12" ht="15">
      <c r="A17" s="626" t="s">
        <v>984</v>
      </c>
      <c r="B17" s="697">
        <v>0</v>
      </c>
      <c r="C17" s="835">
        <f>'F-CRes'!B5+'F-CRes'!B8+'F-CRes'!B9+'F-CRes'!B10</f>
        <v>1449619355.675092</v>
      </c>
      <c r="D17" s="835">
        <f>'F-CRes'!C5+'F-CRes'!C8+'F-CRes'!C9+'F-CRes'!C10</f>
        <v>1463435397.6470842</v>
      </c>
      <c r="E17" s="835">
        <f>'F-CRes'!D5+'F-CRes'!D8+'F-CRes'!D9+'F-CRes'!D10</f>
        <v>1449598038.3679211</v>
      </c>
      <c r="F17" s="835">
        <f>'F-CRes'!E5+'F-CRes'!E8+'F-CRes'!E9+'F-CRes'!E10</f>
        <v>1441914892.7967184</v>
      </c>
      <c r="G17" s="835">
        <f>'F-CRes'!F5+'F-CRes'!F8+'F-CRes'!F9+'F-CRes'!F10</f>
        <v>1546206170.6326895</v>
      </c>
      <c r="H17" s="840">
        <f t="shared" si="3"/>
        <v>7350773855.1195049</v>
      </c>
    </row>
    <row r="18" spans="1:12" ht="15">
      <c r="A18" s="626" t="s">
        <v>985</v>
      </c>
      <c r="B18" s="709">
        <v>0</v>
      </c>
      <c r="C18" s="835">
        <f>'F-CRes'!B14</f>
        <v>0</v>
      </c>
      <c r="D18" s="835">
        <f>'F-CRes'!C14</f>
        <v>182372610.82352054</v>
      </c>
      <c r="E18" s="835">
        <f>'F-CRes'!D14</f>
        <v>187215686.57122761</v>
      </c>
      <c r="F18" s="835">
        <f>'F-CRes'!E14</f>
        <v>189904787.52114865</v>
      </c>
      <c r="G18" s="835">
        <f>'F-CRes'!F14</f>
        <v>153402840.2785587</v>
      </c>
      <c r="H18" s="840">
        <f t="shared" si="3"/>
        <v>712895925.1944555</v>
      </c>
    </row>
    <row r="19" spans="1:12">
      <c r="A19" s="626" t="s">
        <v>986</v>
      </c>
      <c r="B19" s="709">
        <v>0</v>
      </c>
      <c r="C19" s="875">
        <f>'F-Cred'!$E20</f>
        <v>10898217.4</v>
      </c>
      <c r="D19" s="875">
        <f>'F-Cred'!$E22</f>
        <v>10898217.4</v>
      </c>
      <c r="E19" s="875">
        <f>'F-Cred'!$E24</f>
        <v>10898217.4</v>
      </c>
      <c r="F19" s="875">
        <f>'F-Cred'!$E26</f>
        <v>10898217.4</v>
      </c>
      <c r="G19" s="875">
        <f>'F-Cred'!$E28</f>
        <v>10898217.4</v>
      </c>
      <c r="H19" s="840">
        <f t="shared" si="3"/>
        <v>54491087</v>
      </c>
    </row>
    <row r="20" spans="1:12">
      <c r="A20" s="626" t="s">
        <v>987</v>
      </c>
      <c r="B20" s="709">
        <v>0</v>
      </c>
      <c r="C20" s="715">
        <f>'F-CRes'!B12</f>
        <v>0</v>
      </c>
      <c r="D20" s="715">
        <f>'F-CRes'!C12</f>
        <v>36474522.164704114</v>
      </c>
      <c r="E20" s="715">
        <f>'F-CRes'!D12</f>
        <v>37443137.314245529</v>
      </c>
      <c r="F20" s="715">
        <f>'F-CRes'!E12</f>
        <v>37980957.504229732</v>
      </c>
      <c r="G20" s="715">
        <f>'F-CRes'!F12</f>
        <v>30680568.055711742</v>
      </c>
      <c r="H20" s="840">
        <f t="shared" si="3"/>
        <v>142579185.03889111</v>
      </c>
      <c r="L20" s="815"/>
    </row>
    <row r="21" spans="1:12">
      <c r="A21" s="626" t="s">
        <v>988</v>
      </c>
      <c r="B21" s="660" t="s">
        <v>977</v>
      </c>
      <c r="C21" s="654" t="s">
        <v>977</v>
      </c>
      <c r="D21" s="654" t="s">
        <v>977</v>
      </c>
      <c r="E21" s="654" t="s">
        <v>977</v>
      </c>
      <c r="F21" s="654" t="s">
        <v>977</v>
      </c>
      <c r="G21" s="654" t="s">
        <v>977</v>
      </c>
      <c r="H21" s="840">
        <f t="shared" si="3"/>
        <v>0</v>
      </c>
    </row>
    <row r="22" spans="1:12">
      <c r="A22" s="626" t="s">
        <v>989</v>
      </c>
      <c r="B22" s="657">
        <f>'F-IVA'!B17</f>
        <v>64490035.75448259</v>
      </c>
      <c r="C22" s="657">
        <f>'F-IVA'!C17</f>
        <v>79624907.105035156</v>
      </c>
      <c r="D22" s="657">
        <f>'F-IVA'!D17</f>
        <v>12131105.897041362</v>
      </c>
      <c r="E22" s="657">
        <f>'F-IVA'!E17</f>
        <v>-217.7429526336584</v>
      </c>
      <c r="F22" s="657">
        <f>'F-IVA'!F17</f>
        <v>0</v>
      </c>
      <c r="G22" s="657">
        <f>'F-IVA'!G17</f>
        <v>0</v>
      </c>
      <c r="H22" s="840">
        <f t="shared" si="3"/>
        <v>156245831.01360646</v>
      </c>
    </row>
    <row r="23" spans="1:12">
      <c r="A23" s="626" t="s">
        <v>990</v>
      </c>
      <c r="B23" s="660" t="s">
        <v>977</v>
      </c>
      <c r="C23" s="654" t="s">
        <v>977</v>
      </c>
      <c r="D23" s="654" t="s">
        <v>977</v>
      </c>
      <c r="E23" s="654" t="s">
        <v>977</v>
      </c>
      <c r="F23" s="654" t="s">
        <v>977</v>
      </c>
      <c r="G23" s="654" t="s">
        <v>977</v>
      </c>
      <c r="H23" s="840">
        <f t="shared" si="3"/>
        <v>0</v>
      </c>
    </row>
    <row r="24" spans="1:12">
      <c r="A24" s="625" t="s">
        <v>595</v>
      </c>
      <c r="B24" s="702">
        <f>SUM(B15:B23)</f>
        <v>374434644.20916158</v>
      </c>
      <c r="C24" s="702">
        <f t="shared" ref="C24" si="4">SUM(C15:C23)</f>
        <v>1933334641.4982779</v>
      </c>
      <c r="D24" s="702">
        <f>SUM(D15:D23)</f>
        <v>1761911055.2446783</v>
      </c>
      <c r="E24" s="702">
        <f>SUM(E15:E23)</f>
        <v>1685153825.0392387</v>
      </c>
      <c r="F24" s="702">
        <f>SUM(F15:F23)</f>
        <v>1680698855.2220969</v>
      </c>
      <c r="G24" s="702">
        <f>SUM(G15:G23)</f>
        <v>1741187796.36696</v>
      </c>
      <c r="H24" s="702">
        <f>SUM(H15:H23)</f>
        <v>9176720817.5804138</v>
      </c>
    </row>
    <row r="25" spans="1:12">
      <c r="A25" s="703"/>
      <c r="B25" s="711" t="s">
        <v>200</v>
      </c>
      <c r="C25" s="656"/>
      <c r="D25" s="656"/>
      <c r="E25" s="656"/>
      <c r="F25" s="656"/>
      <c r="G25" s="700"/>
      <c r="H25" s="704"/>
    </row>
    <row r="26" spans="1:12">
      <c r="A26" s="703" t="s">
        <v>991</v>
      </c>
      <c r="B26" s="719">
        <v>0</v>
      </c>
      <c r="C26" s="715">
        <f>C12-C24</f>
        <v>-16945277.31119442</v>
      </c>
      <c r="D26" s="715">
        <f>D12-D24</f>
        <v>397953958.30295539</v>
      </c>
      <c r="E26" s="715">
        <f>E12-E24</f>
        <v>772244784.71963573</v>
      </c>
      <c r="F26" s="715">
        <f>F12-F24</f>
        <v>1150990798.6964107</v>
      </c>
      <c r="G26" s="715">
        <f>G12-G24</f>
        <v>1464435122.4916558</v>
      </c>
      <c r="H26" s="716">
        <f>SUM(B26:G26)</f>
        <v>3768679386.8994632</v>
      </c>
    </row>
    <row r="27" spans="1:12">
      <c r="A27" s="703" t="s">
        <v>992</v>
      </c>
      <c r="B27" s="709">
        <v>0</v>
      </c>
      <c r="C27" s="715">
        <f>+'E-Inv AF y Am'!$D$57+(('F-Cred'!$G$18+'F-Cred'!$I$18)/3)</f>
        <v>74944869.19887206</v>
      </c>
      <c r="D27" s="715">
        <f>C27</f>
        <v>74944869.19887206</v>
      </c>
      <c r="E27" s="715">
        <f>C27</f>
        <v>74944869.19887206</v>
      </c>
      <c r="F27" s="715">
        <f>'E-Inv AF y Am'!E57</f>
        <v>70132120.162205398</v>
      </c>
      <c r="G27" s="715">
        <f>F27</f>
        <v>70132120.162205398</v>
      </c>
      <c r="H27" s="710">
        <f>SUM(B27:G27)</f>
        <v>365098847.921027</v>
      </c>
    </row>
    <row r="28" spans="1:12">
      <c r="A28" s="703"/>
      <c r="B28" s="657" t="s">
        <v>200</v>
      </c>
      <c r="C28" s="656"/>
      <c r="D28" s="656"/>
      <c r="E28" s="656"/>
      <c r="F28" s="656"/>
      <c r="G28" s="700"/>
      <c r="H28" s="704"/>
    </row>
    <row r="29" spans="1:12">
      <c r="A29" s="626" t="s">
        <v>993</v>
      </c>
      <c r="B29" s="709">
        <v>0</v>
      </c>
      <c r="C29" s="715">
        <f>C26+C27</f>
        <v>57999591.88767764</v>
      </c>
      <c r="D29" s="715">
        <f>D26+D27</f>
        <v>472898827.50182748</v>
      </c>
      <c r="E29" s="715">
        <f t="shared" ref="E29:G29" si="5">E26+E27</f>
        <v>847189653.91850781</v>
      </c>
      <c r="F29" s="715">
        <f t="shared" si="5"/>
        <v>1221122918.8586161</v>
      </c>
      <c r="G29" s="715">
        <f t="shared" si="5"/>
        <v>1534567242.6538613</v>
      </c>
      <c r="H29" s="716">
        <f>SUM(B29:G29)</f>
        <v>4133778234.8204899</v>
      </c>
    </row>
    <row r="30" spans="1:12">
      <c r="A30" s="705" t="s">
        <v>994</v>
      </c>
      <c r="B30" s="712" t="s">
        <v>200</v>
      </c>
      <c r="C30" s="717">
        <f>C29-C6</f>
        <v>57999591.88767764</v>
      </c>
      <c r="D30" s="717">
        <f>D29-D6</f>
        <v>414899235.61414981</v>
      </c>
      <c r="E30" s="717">
        <f>E29-E6</f>
        <v>374290826.41668034</v>
      </c>
      <c r="F30" s="717">
        <f>F29-F6</f>
        <v>373933264.9401083</v>
      </c>
      <c r="G30" s="717">
        <f>G29-G6</f>
        <v>313444323.79524517</v>
      </c>
      <c r="H30" s="718">
        <f>SUM(C30:G30)</f>
        <v>1534567242.6538613</v>
      </c>
    </row>
    <row r="31" spans="1:12">
      <c r="A31" s="626"/>
      <c r="B31" s="626"/>
      <c r="C31" s="626"/>
      <c r="D31" s="626"/>
      <c r="E31" s="626"/>
      <c r="F31" s="626"/>
      <c r="G31" s="626"/>
      <c r="H31" s="626"/>
    </row>
    <row r="32" spans="1:12">
      <c r="A32" s="713" t="s">
        <v>501</v>
      </c>
      <c r="B32" s="714"/>
      <c r="C32" s="627"/>
      <c r="D32" s="626"/>
      <c r="E32" s="626"/>
      <c r="F32" s="626"/>
      <c r="G32" s="626"/>
      <c r="H32" s="626"/>
    </row>
    <row r="33" spans="1:8">
      <c r="A33" s="713" t="s">
        <v>995</v>
      </c>
      <c r="B33" s="714"/>
      <c r="C33" s="627"/>
      <c r="D33" s="626"/>
      <c r="E33" s="626"/>
      <c r="F33" s="626"/>
      <c r="G33" s="626"/>
      <c r="H33" s="626"/>
    </row>
    <row r="34" spans="1:8">
      <c r="A34" s="159"/>
      <c r="B34" s="15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M1000"/>
  <sheetViews>
    <sheetView showGridLines="0" workbookViewId="0">
      <selection activeCell="A19" sqref="A19"/>
    </sheetView>
  </sheetViews>
  <sheetFormatPr baseColWidth="10" defaultColWidth="12.7109375" defaultRowHeight="15" customHeight="1"/>
  <cols>
    <col min="1" max="1" width="42.140625" customWidth="1"/>
    <col min="2" max="3" width="11" customWidth="1"/>
    <col min="4" max="4" width="17.28515625" customWidth="1"/>
    <col min="5" max="5" width="11" customWidth="1"/>
    <col min="6" max="6" width="6.85546875" customWidth="1"/>
    <col min="7" max="12" width="11" customWidth="1"/>
    <col min="13" max="13" width="16.85546875" customWidth="1"/>
    <col min="14" max="26" width="14.28515625" customWidth="1"/>
  </cols>
  <sheetData>
    <row r="1" spans="1:13" ht="12.75" customHeight="1">
      <c r="A1" s="19" t="s">
        <v>56</v>
      </c>
      <c r="E1" s="20">
        <v>9</v>
      </c>
    </row>
    <row r="2" spans="1:13" ht="12.75" customHeight="1">
      <c r="G2" s="970" t="s">
        <v>57</v>
      </c>
      <c r="H2" s="971"/>
      <c r="I2" s="971"/>
      <c r="J2" s="971"/>
      <c r="K2" s="971"/>
      <c r="L2" s="971"/>
      <c r="M2" s="972"/>
    </row>
    <row r="3" spans="1:13" ht="14.25" customHeight="1">
      <c r="A3" s="21" t="s">
        <v>58</v>
      </c>
      <c r="B3" s="22">
        <v>0.21</v>
      </c>
      <c r="G3" s="973" t="s">
        <v>59</v>
      </c>
      <c r="H3" s="959"/>
      <c r="I3" s="959"/>
      <c r="J3" s="959"/>
      <c r="K3" s="959"/>
      <c r="L3" s="959"/>
      <c r="M3" s="960"/>
    </row>
    <row r="4" spans="1:13" ht="12.75" customHeight="1">
      <c r="A4" s="21" t="s">
        <v>60</v>
      </c>
      <c r="B4" s="22">
        <v>0.35</v>
      </c>
      <c r="G4" s="974"/>
      <c r="H4" s="975"/>
      <c r="I4" s="975"/>
      <c r="J4" s="975"/>
      <c r="K4" s="975"/>
      <c r="L4" s="975"/>
      <c r="M4" s="976"/>
    </row>
    <row r="5" spans="1:13" ht="12.75" customHeight="1">
      <c r="A5" s="21" t="s">
        <v>61</v>
      </c>
      <c r="B5" s="22">
        <v>7.0000000000000007E-2</v>
      </c>
      <c r="C5" s="4" t="s">
        <v>62</v>
      </c>
      <c r="G5" s="974"/>
      <c r="H5" s="975"/>
      <c r="I5" s="975"/>
      <c r="J5" s="975"/>
      <c r="K5" s="975"/>
      <c r="L5" s="975"/>
      <c r="M5" s="976"/>
    </row>
    <row r="6" spans="1:13" ht="12.75" customHeight="1">
      <c r="G6" s="961"/>
      <c r="H6" s="962"/>
      <c r="I6" s="962"/>
      <c r="J6" s="962"/>
      <c r="K6" s="962"/>
      <c r="L6" s="962"/>
      <c r="M6" s="963"/>
    </row>
    <row r="7" spans="1:13" ht="14.25" customHeight="1">
      <c r="A7" s="21" t="s">
        <v>63</v>
      </c>
      <c r="B7" s="4" t="s">
        <v>64</v>
      </c>
      <c r="G7" s="958" t="s">
        <v>65</v>
      </c>
      <c r="H7" s="959"/>
      <c r="I7" s="959"/>
      <c r="J7" s="959"/>
      <c r="K7" s="959"/>
      <c r="L7" s="959"/>
      <c r="M7" s="960"/>
    </row>
    <row r="8" spans="1:13" ht="12.75" customHeight="1">
      <c r="A8" s="23" t="s">
        <v>66</v>
      </c>
      <c r="B8" s="24">
        <v>30</v>
      </c>
      <c r="C8" s="4" t="s">
        <v>67</v>
      </c>
      <c r="G8" s="961"/>
      <c r="H8" s="962"/>
      <c r="I8" s="962"/>
      <c r="J8" s="962"/>
      <c r="K8" s="962"/>
      <c r="L8" s="962"/>
      <c r="M8" s="963"/>
    </row>
    <row r="9" spans="1:13" ht="12.75" customHeight="1">
      <c r="A9" s="23" t="s">
        <v>68</v>
      </c>
      <c r="B9" s="24">
        <v>10</v>
      </c>
      <c r="C9" s="4" t="s">
        <v>67</v>
      </c>
      <c r="G9" s="977" t="s">
        <v>69</v>
      </c>
      <c r="H9" s="971"/>
      <c r="I9" s="971"/>
      <c r="J9" s="971"/>
      <c r="K9" s="971"/>
      <c r="L9" s="971"/>
      <c r="M9" s="972"/>
    </row>
    <row r="10" spans="1:13" ht="14.25" customHeight="1">
      <c r="A10" s="23" t="s">
        <v>70</v>
      </c>
      <c r="B10" s="24">
        <v>10</v>
      </c>
      <c r="C10" s="4" t="s">
        <v>67</v>
      </c>
      <c r="G10" s="958" t="s">
        <v>71</v>
      </c>
      <c r="H10" s="959"/>
      <c r="I10" s="959"/>
      <c r="J10" s="959"/>
      <c r="K10" s="959"/>
      <c r="L10" s="959"/>
      <c r="M10" s="960"/>
    </row>
    <row r="11" spans="1:13" ht="12.75" customHeight="1">
      <c r="A11" s="23" t="s">
        <v>72</v>
      </c>
      <c r="B11" s="24">
        <v>5</v>
      </c>
      <c r="C11" s="4" t="s">
        <v>67</v>
      </c>
      <c r="G11" s="961"/>
      <c r="H11" s="962"/>
      <c r="I11" s="962"/>
      <c r="J11" s="962"/>
      <c r="K11" s="962"/>
      <c r="L11" s="962"/>
      <c r="M11" s="963"/>
    </row>
    <row r="12" spans="1:13" ht="14.25" customHeight="1">
      <c r="A12" s="23" t="s">
        <v>73</v>
      </c>
      <c r="B12" s="24">
        <v>5</v>
      </c>
      <c r="C12" s="4" t="s">
        <v>67</v>
      </c>
      <c r="G12" s="958" t="s">
        <v>74</v>
      </c>
      <c r="H12" s="959"/>
      <c r="I12" s="959"/>
      <c r="J12" s="959"/>
      <c r="K12" s="959"/>
      <c r="L12" s="959"/>
      <c r="M12" s="960"/>
    </row>
    <row r="13" spans="1:13" ht="12.75" customHeight="1">
      <c r="A13" s="23" t="s">
        <v>75</v>
      </c>
      <c r="B13" s="24">
        <v>5</v>
      </c>
      <c r="C13" s="4" t="s">
        <v>67</v>
      </c>
      <c r="G13" s="961"/>
      <c r="H13" s="962"/>
      <c r="I13" s="962"/>
      <c r="J13" s="962"/>
      <c r="K13" s="962"/>
      <c r="L13" s="962"/>
      <c r="M13" s="963"/>
    </row>
    <row r="14" spans="1:13" ht="12.75" customHeight="1">
      <c r="A14" s="23" t="s">
        <v>76</v>
      </c>
      <c r="B14" s="25">
        <f>0.05</f>
        <v>0.05</v>
      </c>
    </row>
    <row r="15" spans="1:13" ht="12.75" customHeight="1"/>
    <row r="16" spans="1:13" ht="12.75" customHeight="1">
      <c r="A16" s="21" t="s">
        <v>77</v>
      </c>
      <c r="B16" s="964" t="s">
        <v>78</v>
      </c>
      <c r="C16" s="965"/>
      <c r="D16" s="965"/>
      <c r="E16" s="965"/>
      <c r="F16" s="965"/>
      <c r="G16" s="966"/>
    </row>
    <row r="17" spans="1:5" ht="12.75" customHeight="1"/>
    <row r="18" spans="1:5" ht="12.75" customHeight="1">
      <c r="A18" s="21" t="s">
        <v>79</v>
      </c>
      <c r="B18" s="156">
        <v>756000</v>
      </c>
      <c r="C18" s="4" t="s">
        <v>80</v>
      </c>
    </row>
    <row r="19" spans="1:5" ht="12.75" customHeight="1">
      <c r="A19" s="21" t="s">
        <v>81</v>
      </c>
      <c r="B19" s="157">
        <v>1050</v>
      </c>
      <c r="C19" s="4" t="s">
        <v>82</v>
      </c>
    </row>
    <row r="20" spans="1:5" ht="12.75" customHeight="1">
      <c r="B20" s="158"/>
    </row>
    <row r="21" spans="1:5" ht="12.75" customHeight="1">
      <c r="A21" s="21" t="s">
        <v>83</v>
      </c>
      <c r="B21" s="158"/>
    </row>
    <row r="22" spans="1:5" ht="12.75" customHeight="1">
      <c r="A22" s="21" t="s">
        <v>84</v>
      </c>
      <c r="B22" s="156">
        <v>28</v>
      </c>
      <c r="C22" s="4" t="s">
        <v>85</v>
      </c>
    </row>
    <row r="23" spans="1:5" ht="12.75" customHeight="1">
      <c r="A23" s="21" t="s">
        <v>86</v>
      </c>
      <c r="B23" s="157">
        <v>11</v>
      </c>
      <c r="C23" s="4" t="s">
        <v>85</v>
      </c>
    </row>
    <row r="24" spans="1:5" ht="12.75" customHeight="1">
      <c r="A24" s="21" t="s">
        <v>87</v>
      </c>
      <c r="B24" s="157">
        <v>4</v>
      </c>
      <c r="C24" s="4" t="s">
        <v>85</v>
      </c>
    </row>
    <row r="25" spans="1:5" ht="12.75" customHeight="1">
      <c r="B25" s="158"/>
    </row>
    <row r="26" spans="1:5" ht="12.75" customHeight="1">
      <c r="A26" s="21" t="s">
        <v>88</v>
      </c>
      <c r="B26" s="156">
        <v>1711.72</v>
      </c>
      <c r="C26" s="4" t="s">
        <v>89</v>
      </c>
      <c r="D26" s="27" t="s">
        <v>90</v>
      </c>
    </row>
    <row r="27" spans="1:5" ht="12.75" customHeight="1">
      <c r="A27" s="21" t="s">
        <v>91</v>
      </c>
      <c r="B27" s="157">
        <v>24</v>
      </c>
      <c r="C27" s="4" t="s">
        <v>92</v>
      </c>
      <c r="D27" s="27" t="s">
        <v>93</v>
      </c>
    </row>
    <row r="28" spans="1:5" ht="12.75" customHeight="1">
      <c r="A28" s="21" t="s">
        <v>94</v>
      </c>
      <c r="B28" s="157">
        <v>3</v>
      </c>
      <c r="C28" s="4" t="s">
        <v>92</v>
      </c>
      <c r="D28" s="27" t="s">
        <v>93</v>
      </c>
    </row>
    <row r="29" spans="1:5" ht="12.75" customHeight="1">
      <c r="B29" s="158"/>
    </row>
    <row r="30" spans="1:5" ht="12.75" customHeight="1">
      <c r="B30" s="158"/>
    </row>
    <row r="31" spans="1:5" ht="12.75" customHeight="1">
      <c r="A31" s="21" t="s">
        <v>95</v>
      </c>
      <c r="B31" s="156">
        <v>145</v>
      </c>
      <c r="C31" s="4" t="s">
        <v>96</v>
      </c>
      <c r="D31" s="26">
        <v>1</v>
      </c>
      <c r="E31" s="4" t="s">
        <v>97</v>
      </c>
    </row>
    <row r="32" spans="1:5" ht="12.75" customHeight="1">
      <c r="A32" s="28"/>
    </row>
    <row r="33" spans="1:7" ht="12.75" customHeight="1">
      <c r="A33" s="28"/>
    </row>
    <row r="34" spans="1:7" ht="12.75" customHeight="1">
      <c r="A34" s="21" t="s">
        <v>98</v>
      </c>
      <c r="B34" s="29">
        <f>'InfoInicial-CálcAux'!C22</f>
        <v>0.75</v>
      </c>
      <c r="C34" s="4" t="s">
        <v>99</v>
      </c>
      <c r="E34" s="16"/>
    </row>
    <row r="35" spans="1:7" ht="12.75" customHeight="1">
      <c r="A35" s="21" t="s">
        <v>100</v>
      </c>
      <c r="B35" s="967" t="s">
        <v>101</v>
      </c>
      <c r="C35" s="968"/>
      <c r="D35" s="969"/>
      <c r="E35" s="30"/>
      <c r="F35" s="16"/>
      <c r="G35" s="31" t="s">
        <v>102</v>
      </c>
    </row>
    <row r="36" spans="1:7" ht="12.75" customHeight="1">
      <c r="A36" s="21" t="s">
        <v>103</v>
      </c>
      <c r="B36" s="32">
        <f>'InfoInicial-CálcAux'!C23</f>
        <v>80</v>
      </c>
    </row>
    <row r="37" spans="1:7" ht="12.75" customHeight="1">
      <c r="A37" s="21"/>
      <c r="E37" s="16"/>
    </row>
    <row r="38" spans="1:7" ht="12.75" customHeight="1">
      <c r="A38" s="21" t="s">
        <v>104</v>
      </c>
      <c r="B38" s="26">
        <v>60</v>
      </c>
      <c r="E38" s="16"/>
    </row>
    <row r="39" spans="1:7" ht="12.75" customHeight="1">
      <c r="A39" s="21" t="s">
        <v>105</v>
      </c>
      <c r="B39" s="866">
        <v>0.5</v>
      </c>
    </row>
    <row r="40" spans="1:7" ht="12.75" customHeight="1">
      <c r="A40" s="21" t="s">
        <v>106</v>
      </c>
      <c r="B40" s="29">
        <v>0.6</v>
      </c>
      <c r="C40" s="4" t="s">
        <v>99</v>
      </c>
    </row>
    <row r="41" spans="1:7" ht="12.75" customHeight="1"/>
    <row r="42" spans="1:7" ht="12.75" customHeight="1"/>
    <row r="43" spans="1:7" ht="12.75" customHeight="1"/>
    <row r="44" spans="1:7" ht="12.75" customHeight="1"/>
    <row r="45" spans="1:7" ht="12.75" customHeight="1"/>
    <row r="46" spans="1:7" ht="12.75" customHeight="1"/>
    <row r="47" spans="1:7" ht="12.75" customHeight="1"/>
    <row r="48" spans="1: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spans="7:7" ht="12.75" customHeight="1">
      <c r="G289" s="31" t="s">
        <v>107</v>
      </c>
    </row>
    <row r="290" spans="7:7" ht="12.75" customHeight="1"/>
    <row r="291" spans="7:7" ht="12.75" customHeight="1"/>
    <row r="292" spans="7:7" ht="12.75" customHeight="1"/>
    <row r="293" spans="7:7" ht="12.75" customHeight="1"/>
    <row r="294" spans="7:7" ht="12.75" customHeight="1"/>
    <row r="295" spans="7:7" ht="12.75" customHeight="1"/>
    <row r="296" spans="7:7" ht="12.75" customHeight="1"/>
    <row r="297" spans="7:7" ht="12.75" customHeight="1"/>
    <row r="298" spans="7:7" ht="12.75" customHeight="1"/>
    <row r="299" spans="7:7" ht="12.75" customHeight="1"/>
    <row r="300" spans="7:7" ht="12.75" customHeight="1"/>
    <row r="301" spans="7:7" ht="12.75" customHeight="1"/>
    <row r="302" spans="7:7" ht="12.75" customHeight="1"/>
    <row r="303" spans="7:7" ht="12.75" customHeight="1"/>
    <row r="304" spans="7:7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G12:M13"/>
    <mergeCell ref="B16:G16"/>
    <mergeCell ref="B35:D35"/>
    <mergeCell ref="G2:M2"/>
    <mergeCell ref="G3:M6"/>
    <mergeCell ref="G7:M8"/>
    <mergeCell ref="G9:M9"/>
    <mergeCell ref="G10:M11"/>
  </mergeCells>
  <pageMargins left="0.75" right="0.75" top="0.7" bottom="1" header="0" footer="0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5ED98-D459-40BC-8FA3-249F0DBF5AD9}">
  <sheetPr>
    <tabColor rgb="FFFFFF00"/>
  </sheetPr>
  <dimension ref="A1:J40"/>
  <sheetViews>
    <sheetView topLeftCell="A6" workbookViewId="0">
      <selection activeCell="F46" sqref="F46"/>
    </sheetView>
  </sheetViews>
  <sheetFormatPr baseColWidth="10" defaultColWidth="8.85546875" defaultRowHeight="12.75"/>
  <cols>
    <col min="1" max="1" width="37.7109375" customWidth="1"/>
    <col min="2" max="2" width="16.7109375" bestFit="1" customWidth="1"/>
    <col min="3" max="7" width="18.42578125" bestFit="1" customWidth="1"/>
  </cols>
  <sheetData>
    <row r="1" spans="1:7">
      <c r="A1" s="587" t="s">
        <v>56</v>
      </c>
      <c r="B1" s="588"/>
      <c r="C1" s="588"/>
      <c r="D1" s="588"/>
      <c r="E1" s="607">
        <v>9</v>
      </c>
      <c r="F1" s="158"/>
      <c r="G1" s="158"/>
    </row>
    <row r="2" spans="1:7">
      <c r="A2" s="158"/>
      <c r="B2" s="158"/>
      <c r="C2" s="158"/>
      <c r="D2" s="158"/>
      <c r="E2" s="158"/>
      <c r="F2" s="158"/>
      <c r="G2" s="158"/>
    </row>
    <row r="3" spans="1:7" ht="15.75">
      <c r="A3" s="591" t="s">
        <v>996</v>
      </c>
      <c r="B3" s="592" t="s">
        <v>200</v>
      </c>
      <c r="C3" s="592" t="s">
        <v>200</v>
      </c>
      <c r="D3" s="592" t="s">
        <v>200</v>
      </c>
      <c r="E3" s="592" t="s">
        <v>200</v>
      </c>
      <c r="F3" s="737" t="s">
        <v>200</v>
      </c>
      <c r="G3" s="738" t="s">
        <v>200</v>
      </c>
    </row>
    <row r="4" spans="1:7">
      <c r="A4" s="724" t="s">
        <v>200</v>
      </c>
      <c r="B4" s="601" t="s">
        <v>14</v>
      </c>
      <c r="C4" s="601" t="s">
        <v>2</v>
      </c>
      <c r="D4" s="601" t="s">
        <v>3</v>
      </c>
      <c r="E4" s="601" t="s">
        <v>4</v>
      </c>
      <c r="F4" s="735" t="s">
        <v>5</v>
      </c>
      <c r="G4" s="736" t="s">
        <v>6</v>
      </c>
    </row>
    <row r="5" spans="1:7">
      <c r="A5" s="471" t="s">
        <v>997</v>
      </c>
      <c r="B5" s="914">
        <f t="shared" ref="B5:G5" si="0">SUM(B7:B11)</f>
        <v>42164841.660032094</v>
      </c>
      <c r="C5" s="914">
        <f t="shared" si="0"/>
        <v>382451292.27322853</v>
      </c>
      <c r="D5" s="914">
        <f t="shared" si="0"/>
        <v>748715413.43679178</v>
      </c>
      <c r="E5" s="914">
        <f t="shared" si="0"/>
        <v>1123005202.982269</v>
      </c>
      <c r="F5" s="914">
        <f t="shared" si="0"/>
        <v>1496938467.9223776</v>
      </c>
      <c r="G5" s="914">
        <f t="shared" si="0"/>
        <v>1810382791.7176228</v>
      </c>
    </row>
    <row r="6" spans="1:7">
      <c r="A6" s="462" t="s">
        <v>998</v>
      </c>
      <c r="B6" s="621" t="s">
        <v>200</v>
      </c>
      <c r="C6" s="621" t="s">
        <v>200</v>
      </c>
      <c r="D6" s="621" t="s">
        <v>200</v>
      </c>
      <c r="E6" s="621" t="s">
        <v>200</v>
      </c>
      <c r="F6" s="621" t="s">
        <v>200</v>
      </c>
      <c r="G6" s="658" t="s">
        <v>200</v>
      </c>
    </row>
    <row r="7" spans="1:7">
      <c r="A7" s="456" t="s">
        <v>999</v>
      </c>
      <c r="B7" s="909">
        <f>'E-InvAT'!B6</f>
        <v>2268000</v>
      </c>
      <c r="C7" s="909">
        <f>'E-InvAT'!C6</f>
        <v>28350000</v>
      </c>
      <c r="D7" s="909">
        <f>'E-InvAT'!D6</f>
        <v>39690000</v>
      </c>
      <c r="E7" s="909">
        <f>'E-InvAT'!E6</f>
        <v>39690000</v>
      </c>
      <c r="F7" s="909">
        <f>'E-InvAT'!F6</f>
        <v>39690000</v>
      </c>
      <c r="G7" s="910">
        <f>'E-InvAT'!G6</f>
        <v>39690000</v>
      </c>
    </row>
    <row r="8" spans="1:7">
      <c r="A8" s="456" t="s">
        <v>1000</v>
      </c>
      <c r="B8" s="909">
        <f>'F- CFyU'!B29</f>
        <v>0</v>
      </c>
      <c r="C8" s="909">
        <f>'F- CFyU'!C29</f>
        <v>57999591.88767764</v>
      </c>
      <c r="D8" s="909">
        <f>'F- CFyU'!D29</f>
        <v>472898827.50182748</v>
      </c>
      <c r="E8" s="909">
        <f>'F- CFyU'!E29</f>
        <v>847189653.91850781</v>
      </c>
      <c r="F8" s="909">
        <f>'F- CFyU'!F29</f>
        <v>1221122918.8586161</v>
      </c>
      <c r="G8" s="909">
        <f>'F- CFyU'!G29</f>
        <v>1534567242.6538613</v>
      </c>
    </row>
    <row r="9" spans="1:7">
      <c r="A9" s="462" t="s">
        <v>1001</v>
      </c>
      <c r="B9" s="909">
        <f>'E-InvAT'!B7</f>
        <v>0</v>
      </c>
      <c r="C9" s="909">
        <f>'E-InvAT'!C7</f>
        <v>116506849.3150685</v>
      </c>
      <c r="D9" s="909">
        <f>'E-InvAT'!D7</f>
        <v>163109589.04109588</v>
      </c>
      <c r="E9" s="909">
        <f>'E-InvAT'!E7</f>
        <v>163109589.04109588</v>
      </c>
      <c r="F9" s="909">
        <f>'E-InvAT'!F7</f>
        <v>163109589.04109588</v>
      </c>
      <c r="G9" s="910">
        <f>'E-InvAT'!G7</f>
        <v>163109589.04109588</v>
      </c>
    </row>
    <row r="10" spans="1:7">
      <c r="A10" s="462" t="s">
        <v>1002</v>
      </c>
      <c r="B10" s="909">
        <f>SUM('E-InvAT'!B10:B13)</f>
        <v>1016214.5634290001</v>
      </c>
      <c r="C10" s="909">
        <f>SUM('E-InvAT'!C10:C13)</f>
        <v>74360535.307567701</v>
      </c>
      <c r="D10" s="909">
        <f>SUM('E-InvAT'!D10:D13)</f>
        <v>73016996.893868476</v>
      </c>
      <c r="E10" s="909">
        <f>SUM('E-InvAT'!E10:E13)</f>
        <v>73015960.022665456</v>
      </c>
      <c r="F10" s="909">
        <f>SUM('E-InvAT'!F10:F13)</f>
        <v>73015960.022665456</v>
      </c>
      <c r="G10" s="909">
        <f>SUM('E-InvAT'!G10:G13)</f>
        <v>73015960.022665456</v>
      </c>
    </row>
    <row r="11" spans="1:7">
      <c r="A11" s="462" t="s">
        <v>1003</v>
      </c>
      <c r="B11" s="909">
        <f>'F-IVA'!C19</f>
        <v>38880627.096603096</v>
      </c>
      <c r="C11" s="909">
        <f>+'F-IVA'!D19-'F-IVA'!D17</f>
        <v>105234315.76291466</v>
      </c>
      <c r="D11" s="909">
        <f>+'F-IVA'!E19-'F-IVA'!E17</f>
        <v>0</v>
      </c>
      <c r="E11" s="909">
        <f>+'F-IVA'!F19-'F-IVA'!F17</f>
        <v>0</v>
      </c>
      <c r="F11" s="909">
        <f>+'F-IVA'!G19-'F-IVA'!G17</f>
        <v>0</v>
      </c>
      <c r="G11" s="909">
        <f>+'F-IVA'!H19-'F-IVA'!H17</f>
        <v>0</v>
      </c>
    </row>
    <row r="12" spans="1:7">
      <c r="A12" s="462" t="s">
        <v>1004</v>
      </c>
      <c r="B12" s="913">
        <f t="shared" ref="B12:G12" si="1">B17+B22+B23</f>
        <v>332269802.54912949</v>
      </c>
      <c r="C12" s="913">
        <f t="shared" si="1"/>
        <v>408974515.9513216</v>
      </c>
      <c r="D12" s="913">
        <f t="shared" si="1"/>
        <v>334029646.75244951</v>
      </c>
      <c r="E12" s="913">
        <f t="shared" si="1"/>
        <v>259084777.55357748</v>
      </c>
      <c r="F12" s="913">
        <f t="shared" si="1"/>
        <v>188952657.39137208</v>
      </c>
      <c r="G12" s="913">
        <f t="shared" si="1"/>
        <v>118820537.22916666</v>
      </c>
    </row>
    <row r="13" spans="1:7">
      <c r="A13" s="462" t="s">
        <v>1005</v>
      </c>
      <c r="B13" s="621" t="s">
        <v>200</v>
      </c>
      <c r="C13" s="621" t="s">
        <v>200</v>
      </c>
      <c r="D13" s="621" t="s">
        <v>200</v>
      </c>
      <c r="E13" s="621" t="s">
        <v>200</v>
      </c>
      <c r="F13" s="621" t="s">
        <v>200</v>
      </c>
      <c r="G13" s="658" t="s">
        <v>200</v>
      </c>
    </row>
    <row r="14" spans="1:7">
      <c r="A14" s="456" t="s">
        <v>1006</v>
      </c>
      <c r="B14" s="903">
        <f>'F-2 Estructura'!B7</f>
        <v>128286845.26000001</v>
      </c>
      <c r="C14" s="903">
        <f>B17</f>
        <v>128286845.26000001</v>
      </c>
      <c r="D14" s="903">
        <f>C17</f>
        <v>242511569.60048828</v>
      </c>
      <c r="E14" s="903">
        <f t="shared" ref="E14:G14" si="2">D17</f>
        <v>179477302.68203288</v>
      </c>
      <c r="F14" s="903">
        <f t="shared" si="2"/>
        <v>116443035.76357749</v>
      </c>
      <c r="G14" s="903">
        <f t="shared" si="2"/>
        <v>58221517.88178876</v>
      </c>
    </row>
    <row r="15" spans="1:7">
      <c r="A15" s="456" t="s">
        <v>1007</v>
      </c>
      <c r="B15" s="621"/>
      <c r="C15" s="909">
        <f>'F-2 Estructura'!C7</f>
        <v>177258991.25894368</v>
      </c>
      <c r="D15" s="621">
        <v>0</v>
      </c>
      <c r="E15" s="621">
        <f>'F-2 Estructura'!E7</f>
        <v>0</v>
      </c>
      <c r="F15" s="621">
        <f>'F-2 Estructura'!F7</f>
        <v>0</v>
      </c>
      <c r="G15" s="658">
        <f>'F-2 Estructura'!G7</f>
        <v>0</v>
      </c>
    </row>
    <row r="16" spans="1:7">
      <c r="A16" s="456" t="s">
        <v>1008</v>
      </c>
      <c r="C16" s="903">
        <f>'Ej 50-66'!B113+'E-Inv AF y Am'!D54</f>
        <v>63034266.9184554</v>
      </c>
      <c r="D16" s="903">
        <f>'Ej 50-66'!B114+'E-Inv AF y Am'!E54</f>
        <v>63034266.9184554</v>
      </c>
      <c r="E16" s="903">
        <f>'Ej 50-66'!B115+'E-Inv AF y Am'!D54</f>
        <v>63034266.9184554</v>
      </c>
      <c r="F16" s="903">
        <f>'E-Inv AF y Am'!E54</f>
        <v>58221517.881788731</v>
      </c>
      <c r="G16" s="903">
        <f>'E-Inv AF y Am'!E54</f>
        <v>58221517.881788731</v>
      </c>
    </row>
    <row r="17" spans="1:7">
      <c r="A17" s="456" t="s">
        <v>1009</v>
      </c>
      <c r="B17" s="903">
        <f>B14+B15-B16</f>
        <v>128286845.26000001</v>
      </c>
      <c r="C17" s="903">
        <f>C14+C15-C16</f>
        <v>242511569.60048828</v>
      </c>
      <c r="D17" s="903">
        <f t="shared" ref="D17:G17" si="3">D14+D15-D16</f>
        <v>179477302.68203288</v>
      </c>
      <c r="E17" s="903">
        <f t="shared" si="3"/>
        <v>116443035.76357749</v>
      </c>
      <c r="F17" s="903">
        <f t="shared" si="3"/>
        <v>58221517.88178876</v>
      </c>
      <c r="G17" s="903">
        <f t="shared" si="3"/>
        <v>0</v>
      </c>
    </row>
    <row r="18" spans="1:7">
      <c r="A18" s="462" t="s">
        <v>505</v>
      </c>
      <c r="B18" s="621" t="s">
        <v>200</v>
      </c>
      <c r="C18" s="621" t="s">
        <v>200</v>
      </c>
      <c r="D18" s="621" t="s">
        <v>200</v>
      </c>
      <c r="E18" s="621" t="s">
        <v>200</v>
      </c>
      <c r="F18" s="621" t="s">
        <v>200</v>
      </c>
      <c r="G18" s="658" t="s">
        <v>200</v>
      </c>
    </row>
    <row r="19" spans="1:7">
      <c r="A19" s="456" t="s">
        <v>1006</v>
      </c>
      <c r="B19" s="903">
        <f>'F-2 Estructura'!B6</f>
        <v>178373548.63124999</v>
      </c>
      <c r="C19" s="903">
        <f>B22</f>
        <v>178373548.63124999</v>
      </c>
      <c r="D19" s="903">
        <f>C22</f>
        <v>166462946.35083333</v>
      </c>
      <c r="E19" s="903">
        <f>D22</f>
        <v>154552344.07041666</v>
      </c>
      <c r="F19" s="903">
        <f t="shared" ref="F19" si="4">E22</f>
        <v>142641741.78999999</v>
      </c>
      <c r="G19" s="904">
        <f>F22</f>
        <v>130731139.50958332</v>
      </c>
    </row>
    <row r="20" spans="1:7">
      <c r="A20" s="456" t="s">
        <v>1010</v>
      </c>
      <c r="B20" s="697"/>
      <c r="C20" s="697"/>
      <c r="D20" s="697">
        <v>0</v>
      </c>
      <c r="E20" s="697">
        <v>0</v>
      </c>
      <c r="F20" s="697">
        <v>0</v>
      </c>
      <c r="G20" s="658">
        <v>0</v>
      </c>
    </row>
    <row r="21" spans="1:7">
      <c r="A21" s="456" t="s">
        <v>1011</v>
      </c>
      <c r="B21" s="697"/>
      <c r="C21" s="903">
        <f>'E-Inv AF y Am'!$D$52</f>
        <v>11910602.280416667</v>
      </c>
      <c r="D21" s="903">
        <f>'E-Inv AF y Am'!$D$52</f>
        <v>11910602.280416667</v>
      </c>
      <c r="E21" s="903">
        <f>'E-Inv AF y Am'!$D$52</f>
        <v>11910602.280416667</v>
      </c>
      <c r="F21" s="903">
        <f>'E-Inv AF y Am'!$E$52</f>
        <v>11910602.280416667</v>
      </c>
      <c r="G21" s="903">
        <f>'E-Inv AF y Am'!$E$52</f>
        <v>11910602.280416667</v>
      </c>
    </row>
    <row r="22" spans="1:7">
      <c r="A22" s="456" t="s">
        <v>1009</v>
      </c>
      <c r="B22" s="903">
        <f>B19+B20-B21</f>
        <v>178373548.63124999</v>
      </c>
      <c r="C22" s="903">
        <f>C19+C20-C21</f>
        <v>166462946.35083333</v>
      </c>
      <c r="D22" s="903">
        <f t="shared" ref="D22:F22" si="5">D19+D20-D21</f>
        <v>154552344.07041666</v>
      </c>
      <c r="E22" s="903">
        <f t="shared" si="5"/>
        <v>142641741.78999999</v>
      </c>
      <c r="F22" s="903">
        <f t="shared" si="5"/>
        <v>130731139.50958332</v>
      </c>
      <c r="G22" s="904">
        <f>G19+G20-G21</f>
        <v>118820537.22916666</v>
      </c>
    </row>
    <row r="23" spans="1:7">
      <c r="A23" s="462" t="s">
        <v>1012</v>
      </c>
      <c r="B23" s="909">
        <f>'F- CFyU'!B22-'F- CFyU'!C11</f>
        <v>25609408.657879494</v>
      </c>
      <c r="C23" s="909">
        <v>0</v>
      </c>
      <c r="D23" s="909">
        <v>0</v>
      </c>
      <c r="E23" s="909">
        <v>0</v>
      </c>
      <c r="F23" s="909">
        <v>0</v>
      </c>
      <c r="G23" s="909">
        <v>0</v>
      </c>
    </row>
    <row r="24" spans="1:7">
      <c r="A24" s="462" t="s">
        <v>1013</v>
      </c>
      <c r="B24" s="879">
        <f>B12+B5</f>
        <v>374434644.20916158</v>
      </c>
      <c r="C24" s="879">
        <f t="shared" ref="C24:G24" si="6">C12+C5</f>
        <v>791425808.22455013</v>
      </c>
      <c r="D24" s="879">
        <f t="shared" si="6"/>
        <v>1082745060.1892414</v>
      </c>
      <c r="E24" s="879">
        <f t="shared" si="6"/>
        <v>1382089980.5358465</v>
      </c>
      <c r="F24" s="879">
        <f t="shared" si="6"/>
        <v>1685891125.3137498</v>
      </c>
      <c r="G24" s="879">
        <f t="shared" si="6"/>
        <v>1929203328.9467895</v>
      </c>
    </row>
    <row r="25" spans="1:7">
      <c r="A25" s="932" t="s">
        <v>1014</v>
      </c>
      <c r="B25" s="933">
        <f>B27</f>
        <v>10898217.4</v>
      </c>
      <c r="C25" s="933">
        <f>C27+C26</f>
        <v>11745062.869524166</v>
      </c>
      <c r="D25" s="933">
        <f>D27+D26</f>
        <v>11745062.869524166</v>
      </c>
      <c r="E25" s="933">
        <f>E27+E26</f>
        <v>11745062.869524166</v>
      </c>
      <c r="F25" s="933">
        <f>F27+F26</f>
        <v>11745062.869524166</v>
      </c>
      <c r="G25" s="934">
        <f>G26+G27</f>
        <v>11745062.869524166</v>
      </c>
    </row>
    <row r="26" spans="1:7">
      <c r="A26" s="932" t="s">
        <v>1015</v>
      </c>
      <c r="B26" s="933">
        <v>0</v>
      </c>
      <c r="C26" s="933">
        <f>'F-Cred'!D6</f>
        <v>846845.46952416655</v>
      </c>
      <c r="D26" s="933">
        <f>C26</f>
        <v>846845.46952416655</v>
      </c>
      <c r="E26" s="933">
        <f>'F-Cred'!$D$6</f>
        <v>846845.46952416655</v>
      </c>
      <c r="F26" s="933">
        <f>E26</f>
        <v>846845.46952416655</v>
      </c>
      <c r="G26" s="933">
        <f>'F-Cred'!$D$6</f>
        <v>846845.46952416655</v>
      </c>
    </row>
    <row r="27" spans="1:7">
      <c r="A27" s="932" t="s">
        <v>1016</v>
      </c>
      <c r="B27" s="933">
        <f>'F-Cred'!$E20</f>
        <v>10898217.4</v>
      </c>
      <c r="C27" s="933">
        <f>'F-Cred'!$E22</f>
        <v>10898217.4</v>
      </c>
      <c r="D27" s="933">
        <f>'F-Cred'!$E24</f>
        <v>10898217.4</v>
      </c>
      <c r="E27" s="933">
        <f>'F-Cred'!$E26</f>
        <v>10898217.4</v>
      </c>
      <c r="F27" s="933">
        <f>'F-Cred'!$E28</f>
        <v>10898217.4</v>
      </c>
      <c r="G27" s="933">
        <f>'F-Cred'!E22</f>
        <v>10898217.4</v>
      </c>
    </row>
    <row r="28" spans="1:7">
      <c r="A28" s="932" t="s">
        <v>1017</v>
      </c>
      <c r="B28" s="933">
        <f>B29</f>
        <v>43592869.600000001</v>
      </c>
      <c r="C28" s="933">
        <f>C29</f>
        <v>32694652.200000003</v>
      </c>
      <c r="D28" s="933">
        <f>D29</f>
        <v>21796434.800000004</v>
      </c>
      <c r="E28" s="933">
        <f t="shared" ref="E28:F28" si="7">E29</f>
        <v>10898217.400000004</v>
      </c>
      <c r="F28" s="933">
        <f t="shared" si="7"/>
        <v>0</v>
      </c>
      <c r="G28" s="934">
        <f>G29</f>
        <v>-10898217.4</v>
      </c>
    </row>
    <row r="29" spans="1:7">
      <c r="A29" s="932" t="s">
        <v>1016</v>
      </c>
      <c r="B29" s="933">
        <f>'F-Cred'!E30-'F-Cred'!E20</f>
        <v>43592869.600000001</v>
      </c>
      <c r="C29" s="933">
        <f>B29-B27</f>
        <v>32694652.200000003</v>
      </c>
      <c r="D29" s="933">
        <f>C29-C27</f>
        <v>21796434.800000004</v>
      </c>
      <c r="E29" s="933">
        <f>D29-D27</f>
        <v>10898217.400000004</v>
      </c>
      <c r="F29" s="933">
        <f>E29-E27</f>
        <v>0</v>
      </c>
      <c r="G29" s="933">
        <f>F29-F27</f>
        <v>-10898217.4</v>
      </c>
    </row>
    <row r="30" spans="1:7">
      <c r="A30" s="932" t="s">
        <v>1018</v>
      </c>
      <c r="B30" s="933">
        <f>B28+B25</f>
        <v>54491087</v>
      </c>
      <c r="C30" s="933">
        <f>C28+C25</f>
        <v>44439715.069524169</v>
      </c>
      <c r="D30" s="933">
        <f>D28+D25</f>
        <v>33541497.66952417</v>
      </c>
      <c r="E30" s="933">
        <f t="shared" ref="E30:F30" si="8">E28+E25</f>
        <v>22643280.269524172</v>
      </c>
      <c r="F30" s="933">
        <f t="shared" si="8"/>
        <v>11745062.869524166</v>
      </c>
      <c r="G30" s="933">
        <f>G28+G25</f>
        <v>846845.46952416562</v>
      </c>
    </row>
    <row r="31" spans="1:7">
      <c r="A31" s="932" t="s">
        <v>1019</v>
      </c>
      <c r="B31" s="933">
        <f>SUM(B32:B34)</f>
        <v>319943557.20916158</v>
      </c>
      <c r="C31" s="933">
        <f t="shared" ref="C31:F31" si="9">SUM(C32:C34)</f>
        <v>746986093.1550256</v>
      </c>
      <c r="D31" s="933">
        <f>SUM(D32:D34)</f>
        <v>1049203562.5197169</v>
      </c>
      <c r="E31" s="933">
        <f t="shared" si="9"/>
        <v>1359446700.2663226</v>
      </c>
      <c r="F31" s="933">
        <f t="shared" si="9"/>
        <v>1674146062.4442263</v>
      </c>
      <c r="G31" s="933">
        <f>SUM(G32:G34)</f>
        <v>1928356483.4772663</v>
      </c>
    </row>
    <row r="32" spans="1:7">
      <c r="A32" s="932" t="s">
        <v>1020</v>
      </c>
      <c r="B32" s="933">
        <f>'F-2 Estructura'!B31</f>
        <v>319943557.20916158</v>
      </c>
      <c r="C32" s="933">
        <f>'F-2 Estructura'!B31+'F-2 Estructura'!C31</f>
        <v>779105448.8301177</v>
      </c>
      <c r="D32" s="933">
        <f>C32</f>
        <v>779105448.8301177</v>
      </c>
      <c r="E32" s="933">
        <f>D32</f>
        <v>779105448.8301177</v>
      </c>
      <c r="F32" s="933">
        <f>E32</f>
        <v>779105448.8301177</v>
      </c>
      <c r="G32" s="933">
        <f>F32</f>
        <v>779105448.8301177</v>
      </c>
    </row>
    <row r="33" spans="1:10">
      <c r="A33" s="932" t="s">
        <v>1021</v>
      </c>
      <c r="B33" s="935">
        <v>0</v>
      </c>
      <c r="C33" s="933">
        <f>'F-CRes'!B15</f>
        <v>-32119355.675092079</v>
      </c>
      <c r="D33" s="933">
        <f>'F-CRes'!C15</f>
        <v>302217469.36469114</v>
      </c>
      <c r="E33" s="933">
        <f>'F-CRes'!D15</f>
        <v>310243137.74660581</v>
      </c>
      <c r="F33" s="933">
        <f>'F-CRes'!E15</f>
        <v>314699362.17790353</v>
      </c>
      <c r="G33" s="934">
        <f>'F-CRes'!F15</f>
        <v>254210421.03304014</v>
      </c>
    </row>
    <row r="34" spans="1:10">
      <c r="A34" s="932" t="s">
        <v>1022</v>
      </c>
      <c r="B34" s="936">
        <v>0</v>
      </c>
      <c r="C34" s="933">
        <f>B33+B34</f>
        <v>0</v>
      </c>
      <c r="D34" s="933">
        <f>C33</f>
        <v>-32119355.675092079</v>
      </c>
      <c r="E34" s="933">
        <f t="shared" ref="E34:F34" si="10">D33+D34</f>
        <v>270098113.68959904</v>
      </c>
      <c r="F34" s="933">
        <f t="shared" si="10"/>
        <v>580341251.43620491</v>
      </c>
      <c r="G34" s="933">
        <f>F33+F34</f>
        <v>895040613.61410844</v>
      </c>
    </row>
    <row r="35" spans="1:10">
      <c r="A35" s="937" t="s">
        <v>1023</v>
      </c>
      <c r="B35" s="938">
        <f t="shared" ref="B35:G35" si="11">B31+B30</f>
        <v>374434644.20916158</v>
      </c>
      <c r="C35" s="938">
        <f t="shared" si="11"/>
        <v>791425808.22454977</v>
      </c>
      <c r="D35" s="938">
        <f t="shared" si="11"/>
        <v>1082745060.1892409</v>
      </c>
      <c r="E35" s="938">
        <f t="shared" si="11"/>
        <v>1382089980.5358467</v>
      </c>
      <c r="F35" s="938">
        <f t="shared" si="11"/>
        <v>1685891125.3137505</v>
      </c>
      <c r="G35" s="938">
        <f t="shared" si="11"/>
        <v>1929203328.9467905</v>
      </c>
      <c r="J35" t="s">
        <v>1024</v>
      </c>
    </row>
    <row r="36" spans="1:10">
      <c r="F36" s="159"/>
      <c r="G36" s="159"/>
    </row>
    <row r="38" spans="1:10">
      <c r="A38" s="873" t="s">
        <v>1025</v>
      </c>
      <c r="B38" s="874" t="str">
        <f>IF(ROUND(B24,3)=ROUND(B35,3),"OK","MAL")</f>
        <v>OK</v>
      </c>
      <c r="C38" s="874" t="str">
        <f>IF(ROUND(C24,3)=ROUND(C35,3),"OK","MAL")</f>
        <v>OK</v>
      </c>
      <c r="D38" s="874" t="str">
        <f t="shared" ref="D38:G38" si="12">IF(ROUND(D24,3)=ROUND(D35,3),"OK","MAL")</f>
        <v>OK</v>
      </c>
      <c r="E38" s="874" t="str">
        <f t="shared" si="12"/>
        <v>OK</v>
      </c>
      <c r="F38" s="874" t="str">
        <f>IF(ROUND(F24,3)=ROUND(F35,3),"OK","MAL")</f>
        <v>OK</v>
      </c>
      <c r="G38" s="874" t="str">
        <f t="shared" si="12"/>
        <v>OK</v>
      </c>
    </row>
    <row r="40" spans="1:10">
      <c r="A40" t="s">
        <v>1026</v>
      </c>
      <c r="B40" s="815">
        <f>B24-B35</f>
        <v>0</v>
      </c>
      <c r="C40" s="815">
        <f t="shared" ref="C40:F40" si="13">C24-C35</f>
        <v>0</v>
      </c>
      <c r="D40" s="815">
        <f>D24-D35</f>
        <v>0</v>
      </c>
      <c r="E40" s="815">
        <f t="shared" si="13"/>
        <v>0</v>
      </c>
      <c r="F40" s="815">
        <f t="shared" si="13"/>
        <v>0</v>
      </c>
      <c r="G40" s="815">
        <f>G24-G35</f>
        <v>0</v>
      </c>
    </row>
  </sheetData>
  <conditionalFormatting sqref="B38:G38">
    <cfRule type="cellIs" dxfId="11" priority="12" operator="equal">
      <formula>"OK"</formula>
    </cfRule>
  </conditionalFormatting>
  <conditionalFormatting sqref="B38:G38">
    <cfRule type="cellIs" dxfId="10" priority="11" operator="equal">
      <formula>"MAL"</formula>
    </cfRule>
  </conditionalFormatting>
  <conditionalFormatting sqref="C38">
    <cfRule type="cellIs" dxfId="9" priority="10" operator="equal">
      <formula>"OK"</formula>
    </cfRule>
  </conditionalFormatting>
  <conditionalFormatting sqref="C38">
    <cfRule type="cellIs" dxfId="8" priority="9" operator="equal">
      <formula>"MAL"</formula>
    </cfRule>
  </conditionalFormatting>
  <conditionalFormatting sqref="D38">
    <cfRule type="cellIs" dxfId="7" priority="8" operator="equal">
      <formula>"OK"</formula>
    </cfRule>
  </conditionalFormatting>
  <conditionalFormatting sqref="D38">
    <cfRule type="cellIs" dxfId="6" priority="7" operator="equal">
      <formula>"MAL"</formula>
    </cfRule>
  </conditionalFormatting>
  <conditionalFormatting sqref="E38">
    <cfRule type="cellIs" dxfId="5" priority="13" operator="equal">
      <formula>"OK"</formula>
    </cfRule>
  </conditionalFormatting>
  <conditionalFormatting sqref="E38">
    <cfRule type="cellIs" dxfId="4" priority="14" operator="equal">
      <formula>"MAL"</formula>
    </cfRule>
  </conditionalFormatting>
  <conditionalFormatting sqref="F38">
    <cfRule type="cellIs" dxfId="3" priority="15" operator="equal">
      <formula>"OK"</formula>
    </cfRule>
  </conditionalFormatting>
  <conditionalFormatting sqref="F38">
    <cfRule type="cellIs" dxfId="2" priority="16" operator="equal">
      <formula>"MAL"</formula>
    </cfRule>
  </conditionalFormatting>
  <conditionalFormatting sqref="G38">
    <cfRule type="cellIs" dxfId="1" priority="17" operator="equal">
      <formula>"OK"</formula>
    </cfRule>
  </conditionalFormatting>
  <conditionalFormatting sqref="G38">
    <cfRule type="cellIs" dxfId="0" priority="18" operator="equal">
      <formula>"MAL"</formula>
    </cfRule>
  </conditionalFormatting>
  <pageMargins left="0.7" right="0.7" top="0.75" bottom="0.75" header="0.3" footer="0.3"/>
  <ignoredErrors>
    <ignoredError sqref="D22" evalError="1"/>
  </ignoredErrors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A172F-2C94-47F8-A8E4-484FDC11C2B7}">
  <sheetPr>
    <tabColor rgb="FFFFFF00"/>
  </sheetPr>
  <dimension ref="A1:O40"/>
  <sheetViews>
    <sheetView tabSelected="1" topLeftCell="C15" workbookViewId="0">
      <selection activeCell="F20" sqref="F20"/>
    </sheetView>
  </sheetViews>
  <sheetFormatPr baseColWidth="10" defaultColWidth="8.85546875" defaultRowHeight="12.75"/>
  <cols>
    <col min="1" max="1" width="19.7109375" customWidth="1"/>
    <col min="2" max="2" width="16.85546875" bestFit="1" customWidth="1"/>
    <col min="3" max="3" width="32" bestFit="1" customWidth="1"/>
    <col min="4" max="4" width="19.7109375" customWidth="1"/>
    <col min="5" max="5" width="21.28515625" bestFit="1" customWidth="1"/>
    <col min="6" max="6" width="21.140625" bestFit="1" customWidth="1"/>
    <col min="7" max="7" width="21.7109375" bestFit="1" customWidth="1"/>
    <col min="8" max="8" width="21.140625" bestFit="1" customWidth="1"/>
    <col min="9" max="9" width="17.85546875" bestFit="1" customWidth="1"/>
    <col min="10" max="14" width="19.7109375" customWidth="1"/>
    <col min="15" max="15" width="16.85546875" bestFit="1" customWidth="1"/>
  </cols>
  <sheetData>
    <row r="1" spans="1:15">
      <c r="A1" s="587" t="s">
        <v>56</v>
      </c>
      <c r="B1" s="588"/>
      <c r="C1" s="588"/>
      <c r="D1" s="588"/>
      <c r="E1" s="588"/>
      <c r="F1" s="588"/>
      <c r="G1" s="607">
        <v>9</v>
      </c>
      <c r="H1" s="158"/>
      <c r="I1" s="158"/>
      <c r="J1" s="158"/>
      <c r="K1" s="158"/>
      <c r="L1" s="158"/>
      <c r="M1" s="158"/>
      <c r="N1" s="158"/>
    </row>
    <row r="2" spans="1:1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5" ht="15.75">
      <c r="A3" s="609" t="s">
        <v>1027</v>
      </c>
      <c r="B3" s="610"/>
      <c r="C3" s="610"/>
      <c r="D3" s="610"/>
      <c r="E3" s="611" t="s">
        <v>200</v>
      </c>
      <c r="F3" s="611" t="s">
        <v>200</v>
      </c>
      <c r="G3" s="611" t="s">
        <v>200</v>
      </c>
      <c r="H3" s="611" t="s">
        <v>200</v>
      </c>
      <c r="I3" s="611" t="s">
        <v>200</v>
      </c>
      <c r="J3" s="611" t="s">
        <v>200</v>
      </c>
      <c r="K3" s="611" t="s">
        <v>200</v>
      </c>
      <c r="L3" s="611" t="s">
        <v>200</v>
      </c>
      <c r="M3" s="611" t="s">
        <v>200</v>
      </c>
      <c r="N3" s="593" t="s">
        <v>200</v>
      </c>
    </row>
    <row r="4" spans="1:15" ht="25.5">
      <c r="A4" s="600" t="s">
        <v>672</v>
      </c>
      <c r="B4" s="644" t="s">
        <v>983</v>
      </c>
      <c r="C4" s="644" t="s">
        <v>1028</v>
      </c>
      <c r="D4" s="644" t="s">
        <v>675</v>
      </c>
      <c r="E4" s="644" t="s">
        <v>61</v>
      </c>
      <c r="F4" s="644" t="s">
        <v>676</v>
      </c>
      <c r="G4" s="644" t="s">
        <v>677</v>
      </c>
      <c r="H4" s="644" t="s">
        <v>1029</v>
      </c>
      <c r="I4" s="644" t="s">
        <v>1030</v>
      </c>
      <c r="J4" s="644" t="s">
        <v>295</v>
      </c>
      <c r="K4" s="644" t="s">
        <v>679</v>
      </c>
      <c r="L4" s="644" t="s">
        <v>680</v>
      </c>
      <c r="M4" s="725" t="s">
        <v>681</v>
      </c>
      <c r="N4" s="726" t="s">
        <v>682</v>
      </c>
    </row>
    <row r="5" spans="1:15">
      <c r="A5" s="645">
        <v>0</v>
      </c>
      <c r="B5" s="621">
        <f>'F- CFyU'!B15</f>
        <v>306660393.89125001</v>
      </c>
      <c r="C5" s="621">
        <f>'F- CFyU'!B$16</f>
        <v>3284214.5634289999</v>
      </c>
      <c r="D5" s="621">
        <f>'F-IVA'!B17</f>
        <v>64490035.75448259</v>
      </c>
      <c r="F5" s="815"/>
      <c r="G5" s="732">
        <f t="shared" ref="G5:G10" si="0">SUM(B5:F5)</f>
        <v>374434644.20916158</v>
      </c>
      <c r="H5" s="621" t="s">
        <v>200</v>
      </c>
      <c r="I5" s="732">
        <f>'F-Cred'!G18+'F-Cred'!I18</f>
        <v>14438247.109999999</v>
      </c>
      <c r="J5" s="732" t="s">
        <v>200</v>
      </c>
      <c r="K5" s="621" t="s">
        <v>200</v>
      </c>
      <c r="L5" s="732">
        <f t="shared" ref="L5:L10" si="1">SUM(H5:K5)</f>
        <v>14438247.109999999</v>
      </c>
      <c r="M5" s="832">
        <f t="shared" ref="M5:M10" si="2">L5-G5</f>
        <v>-359996397.09916157</v>
      </c>
      <c r="N5" s="831">
        <f>M5</f>
        <v>-359996397.09916157</v>
      </c>
      <c r="O5" s="941"/>
    </row>
    <row r="6" spans="1:15">
      <c r="A6" s="647">
        <v>1</v>
      </c>
      <c r="B6" s="621">
        <f>'F- CFyU'!C15</f>
        <v>177258991.25894368</v>
      </c>
      <c r="C6" s="621">
        <f>'F- CFyU'!C16</f>
        <v>215933170.0592072</v>
      </c>
      <c r="D6" s="621">
        <f>'F-IVA'!C17</f>
        <v>79624907.105035156</v>
      </c>
      <c r="E6" s="621">
        <f>'F-CRes'!B12</f>
        <v>0</v>
      </c>
      <c r="F6" s="621">
        <f>'F-CRes'!B14</f>
        <v>0</v>
      </c>
      <c r="G6" s="732">
        <f t="shared" si="0"/>
        <v>472817068.42318606</v>
      </c>
      <c r="H6" s="621">
        <f>'F-CRes'!B11</f>
        <v>-32119355.675092079</v>
      </c>
      <c r="I6" s="732">
        <f>'F-Cred'!G20</f>
        <v>32016407.869028699</v>
      </c>
      <c r="J6" s="732">
        <f>'F- CFyU'!C27</f>
        <v>74944869.19887206</v>
      </c>
      <c r="K6" s="621">
        <f>'F-IVA'!C19</f>
        <v>38880627.096603096</v>
      </c>
      <c r="L6" s="732">
        <f t="shared" si="1"/>
        <v>113722548.48941177</v>
      </c>
      <c r="M6" s="832">
        <f t="shared" si="2"/>
        <v>-359094519.93377429</v>
      </c>
      <c r="N6" s="831">
        <f>M6+N5</f>
        <v>-719090917.03293586</v>
      </c>
      <c r="O6" s="941"/>
    </row>
    <row r="7" spans="1:15">
      <c r="A7" s="647">
        <v>2</v>
      </c>
      <c r="B7" s="621" t="s">
        <v>200</v>
      </c>
      <c r="C7" s="621">
        <f>'F- CFyU'!D16</f>
        <v>56599201.31232816</v>
      </c>
      <c r="D7" s="621">
        <f>'F-IVA'!D17</f>
        <v>12131105.897041362</v>
      </c>
      <c r="E7" s="621">
        <f>'F-CRes'!C12</f>
        <v>36474522.164704114</v>
      </c>
      <c r="F7" s="621">
        <f>'F-CRes'!C14</f>
        <v>182372610.82352054</v>
      </c>
      <c r="G7" s="732">
        <f t="shared" si="0"/>
        <v>287577440.19759417</v>
      </c>
      <c r="H7" s="621">
        <f>'F-CRes'!C11</f>
        <v>521064602.35291582</v>
      </c>
      <c r="I7" s="732">
        <f>'F-Cred'!$G22</f>
        <v>29604326.3440287</v>
      </c>
      <c r="J7" s="732">
        <f>'F- CFyU'!D27</f>
        <v>74944869.19887206</v>
      </c>
      <c r="K7" s="621">
        <f>'F-IVA'!D19</f>
        <v>117365421.65995602</v>
      </c>
      <c r="L7" s="732">
        <f t="shared" si="1"/>
        <v>742979219.55577254</v>
      </c>
      <c r="M7" s="832">
        <f t="shared" si="2"/>
        <v>455401779.35817838</v>
      </c>
      <c r="N7" s="831">
        <f>M7+N6</f>
        <v>-263689137.67475748</v>
      </c>
      <c r="O7" s="941"/>
    </row>
    <row r="8" spans="1:15">
      <c r="A8" s="647">
        <v>3</v>
      </c>
      <c r="B8" s="621" t="s">
        <v>200</v>
      </c>
      <c r="C8" s="621">
        <f>'F- CFyU'!E16</f>
        <v>-1036.8712030053139</v>
      </c>
      <c r="D8" s="621">
        <f>'F-IVA'!E17</f>
        <v>-217.7429526336584</v>
      </c>
      <c r="E8" s="621">
        <f>'F-CRes'!D12</f>
        <v>37443137.314245529</v>
      </c>
      <c r="F8" s="621">
        <f>'F-CRes'!D14</f>
        <v>187215686.57122761</v>
      </c>
      <c r="G8" s="732">
        <f t="shared" si="0"/>
        <v>224657569.27131748</v>
      </c>
      <c r="H8" s="621">
        <f>'F-CRes'!D11</f>
        <v>534901961.63207895</v>
      </c>
      <c r="I8" s="732">
        <f>'F-Cred'!$G24</f>
        <v>21922217.644028701</v>
      </c>
      <c r="J8" s="732">
        <f>'F- CFyU'!E27</f>
        <v>74944869.19887206</v>
      </c>
      <c r="K8" s="621">
        <f>'F-IVA'!E19</f>
        <v>-217.7429526336584</v>
      </c>
      <c r="L8" s="732">
        <f t="shared" si="1"/>
        <v>631768830.73202717</v>
      </c>
      <c r="M8" s="832">
        <f t="shared" si="2"/>
        <v>407111261.46070969</v>
      </c>
      <c r="N8" s="831">
        <f>M8+N7</f>
        <v>143422123.78595221</v>
      </c>
      <c r="O8" s="941"/>
    </row>
    <row r="9" spans="1:15">
      <c r="A9" s="647">
        <v>4</v>
      </c>
      <c r="B9" s="621" t="s">
        <v>200</v>
      </c>
      <c r="C9" s="621">
        <f>'F- CFyU'!G16</f>
        <v>0</v>
      </c>
      <c r="D9" s="621">
        <f>'F-IVA'!F17</f>
        <v>0</v>
      </c>
      <c r="E9" s="621">
        <f>'F-CRes'!E12</f>
        <v>37980957.504229732</v>
      </c>
      <c r="F9" s="621">
        <f>'F-CRes'!E14</f>
        <v>189904787.52114865</v>
      </c>
      <c r="G9" s="732">
        <f t="shared" si="0"/>
        <v>227885745.02537838</v>
      </c>
      <c r="H9" s="621">
        <f>'F-CRes'!E11</f>
        <v>542585107.20328188</v>
      </c>
      <c r="I9" s="732">
        <f>'F-Cred'!$G26</f>
        <v>14240108.944028702</v>
      </c>
      <c r="J9" s="732">
        <f>'F- CFyU'!F27</f>
        <v>70132120.162205398</v>
      </c>
      <c r="K9" s="621">
        <f>'F-IVA'!F19</f>
        <v>0</v>
      </c>
      <c r="L9" s="732">
        <f t="shared" si="1"/>
        <v>626957336.30951595</v>
      </c>
      <c r="M9" s="832">
        <f t="shared" si="2"/>
        <v>399071591.28413761</v>
      </c>
      <c r="N9" s="831">
        <f>M9+N8</f>
        <v>542493715.07008982</v>
      </c>
      <c r="O9" s="941"/>
    </row>
    <row r="10" spans="1:15">
      <c r="A10" s="647">
        <v>5</v>
      </c>
      <c r="B10" s="621">
        <f>-'E-Inv AF y Am'!G57</f>
        <v>-118820537.22916667</v>
      </c>
      <c r="C10" s="621">
        <f>'F- CFyU'!G16-'F- CFyU'!H16</f>
        <v>-275815549.06376135</v>
      </c>
      <c r="D10" s="621">
        <f>'F-IVA'!G17</f>
        <v>0</v>
      </c>
      <c r="E10" s="621">
        <f>'F-CRes'!F12</f>
        <v>30680568.055711742</v>
      </c>
      <c r="F10" s="621">
        <f>'F-CRes'!F14</f>
        <v>153402840.2785587</v>
      </c>
      <c r="G10" s="732">
        <f t="shared" si="0"/>
        <v>-210552677.95865759</v>
      </c>
      <c r="H10" s="621">
        <f>'F-CRes'!F11</f>
        <v>438293829.36731058</v>
      </c>
      <c r="I10" s="732">
        <f>'F-Cred'!$G28</f>
        <v>6558000.2440286996</v>
      </c>
      <c r="J10" s="732">
        <f>'F- CFyU'!G27</f>
        <v>70132120.162205398</v>
      </c>
      <c r="K10" s="621">
        <f>'F-IVA'!G19</f>
        <v>0</v>
      </c>
      <c r="L10" s="732">
        <f t="shared" si="1"/>
        <v>514983949.77354467</v>
      </c>
      <c r="M10" s="832">
        <f t="shared" si="2"/>
        <v>725536627.73220229</v>
      </c>
      <c r="N10" s="831">
        <f>M10+N9</f>
        <v>1268030342.8022921</v>
      </c>
      <c r="O10" s="941"/>
    </row>
    <row r="11" spans="1:15">
      <c r="A11" s="647" t="s">
        <v>200</v>
      </c>
      <c r="B11" s="621" t="s">
        <v>200</v>
      </c>
      <c r="C11" s="621" t="s">
        <v>200</v>
      </c>
      <c r="D11" s="621" t="s">
        <v>200</v>
      </c>
      <c r="E11" s="621" t="s">
        <v>200</v>
      </c>
      <c r="F11" s="621" t="s">
        <v>200</v>
      </c>
      <c r="G11" s="732" t="s">
        <v>200</v>
      </c>
      <c r="H11" s="621" t="s">
        <v>200</v>
      </c>
      <c r="I11" s="732" t="s">
        <v>200</v>
      </c>
      <c r="J11" s="732" t="s">
        <v>200</v>
      </c>
      <c r="K11" s="621" t="s">
        <v>200</v>
      </c>
      <c r="L11" s="732" t="s">
        <v>200</v>
      </c>
      <c r="M11" s="622" t="s">
        <v>200</v>
      </c>
      <c r="N11" s="623" t="s">
        <v>200</v>
      </c>
    </row>
    <row r="12" spans="1:15">
      <c r="A12" s="648" t="s">
        <v>683</v>
      </c>
      <c r="B12" s="624">
        <f>SUM(B5:B10)</f>
        <v>365098847.921027</v>
      </c>
      <c r="C12" s="624">
        <f>SUM(C5:C10)</f>
        <v>0</v>
      </c>
      <c r="D12" s="624">
        <f>SUM(D5:D10)</f>
        <v>156245831.01360646</v>
      </c>
      <c r="E12" s="624">
        <f>SUM(E6:E10)</f>
        <v>142579185.03889111</v>
      </c>
      <c r="F12" s="624">
        <f>SUM(F6:F10)</f>
        <v>712895925.1944555</v>
      </c>
      <c r="G12" s="821">
        <f t="shared" ref="G12:N12" si="3">SUM(G5:G10)</f>
        <v>1376819789.1679802</v>
      </c>
      <c r="H12" s="624">
        <f t="shared" si="3"/>
        <v>2004726144.8804951</v>
      </c>
      <c r="I12" s="821">
        <f t="shared" si="3"/>
        <v>118779308.15514351</v>
      </c>
      <c r="J12" s="821">
        <f t="shared" si="3"/>
        <v>365098847.921027</v>
      </c>
      <c r="K12" s="624">
        <f t="shared" si="3"/>
        <v>156245831.01360649</v>
      </c>
      <c r="L12" s="821">
        <f t="shared" si="3"/>
        <v>2644850131.9702721</v>
      </c>
      <c r="M12" s="624">
        <f t="shared" si="3"/>
        <v>1268030342.8022921</v>
      </c>
      <c r="N12" s="624">
        <f t="shared" si="3"/>
        <v>611169729.85147929</v>
      </c>
    </row>
    <row r="13" spans="1:15">
      <c r="A13" s="158"/>
      <c r="B13" s="158"/>
      <c r="C13" s="158">
        <f>'E-Costos'!C131+B13</f>
        <v>1446184.7855606475</v>
      </c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</row>
    <row r="14" spans="1:15">
      <c r="A14" s="158"/>
      <c r="B14" s="158"/>
      <c r="C14" s="158" t="s">
        <v>684</v>
      </c>
      <c r="D14" s="823">
        <f>M12</f>
        <v>1268030342.8022921</v>
      </c>
      <c r="E14" s="158"/>
      <c r="F14" s="158"/>
      <c r="G14" s="158"/>
      <c r="H14" s="820"/>
      <c r="I14" s="158"/>
      <c r="J14" s="158"/>
      <c r="K14" s="158"/>
      <c r="L14" s="158"/>
      <c r="M14" s="158"/>
      <c r="N14" s="158"/>
    </row>
    <row r="15" spans="1:15">
      <c r="A15" s="596"/>
      <c r="B15" s="158"/>
      <c r="C15" s="158" t="s">
        <v>685</v>
      </c>
      <c r="D15" s="727">
        <f>A8-N10/M10</f>
        <v>1.2522862467112745</v>
      </c>
      <c r="E15" s="158" t="s">
        <v>1031</v>
      </c>
      <c r="F15" s="158"/>
      <c r="G15" s="158"/>
      <c r="H15" s="820"/>
      <c r="I15" s="158"/>
      <c r="J15" s="158"/>
      <c r="K15" s="158"/>
      <c r="L15" s="158"/>
      <c r="M15" s="158"/>
      <c r="N15" s="158"/>
    </row>
    <row r="16" spans="1:15">
      <c r="A16" s="158"/>
      <c r="B16" s="158"/>
      <c r="C16" s="158" t="s">
        <v>1032</v>
      </c>
      <c r="D16" s="830">
        <f>IRR(M5:M10)</f>
        <v>0.40242241959425828</v>
      </c>
      <c r="E16" s="158"/>
      <c r="F16" s="158"/>
      <c r="G16" s="158"/>
      <c r="H16" s="158"/>
      <c r="I16" s="158"/>
      <c r="J16" s="596"/>
      <c r="K16" s="158"/>
      <c r="L16" s="158"/>
      <c r="M16" s="158"/>
      <c r="N16" s="158"/>
    </row>
    <row r="17" spans="1:14">
      <c r="A17" s="158"/>
      <c r="B17" s="158"/>
      <c r="C17" s="158" t="s">
        <v>1033</v>
      </c>
      <c r="D17" s="943">
        <f>NPV(D19,M6:M10)+M5</f>
        <v>71304581.70080483</v>
      </c>
      <c r="F17" s="158" t="s">
        <v>1033</v>
      </c>
      <c r="G17" s="158"/>
      <c r="H17" s="158"/>
      <c r="I17" s="158"/>
      <c r="J17" s="728"/>
      <c r="K17" s="158"/>
      <c r="L17" s="158"/>
      <c r="M17" s="158"/>
      <c r="N17" s="158"/>
    </row>
    <row r="18" spans="1:14">
      <c r="A18" s="158"/>
      <c r="B18" s="158"/>
      <c r="D18" s="727" t="s">
        <v>200</v>
      </c>
      <c r="E18" s="158"/>
      <c r="F18" s="158"/>
      <c r="G18" s="158"/>
      <c r="H18" s="158"/>
      <c r="I18" s="158"/>
      <c r="J18" s="728"/>
      <c r="K18" s="158"/>
      <c r="L18" s="158"/>
      <c r="M18" s="158"/>
      <c r="N18" s="158"/>
    </row>
    <row r="19" spans="1:14" ht="15.75">
      <c r="A19" s="729"/>
      <c r="B19" s="158"/>
      <c r="C19" s="158" t="s">
        <v>1034</v>
      </c>
      <c r="D19" s="942">
        <v>0.35</v>
      </c>
      <c r="E19" s="158"/>
      <c r="F19" s="158"/>
      <c r="G19" s="158"/>
      <c r="H19" s="158"/>
      <c r="I19" s="158"/>
      <c r="J19" s="728"/>
      <c r="K19" s="158"/>
      <c r="L19" s="158"/>
      <c r="M19" s="158"/>
      <c r="N19" s="158"/>
    </row>
    <row r="20" spans="1:14">
      <c r="A20" s="158"/>
      <c r="B20" s="158"/>
      <c r="C20" s="158"/>
      <c r="D20" s="158"/>
      <c r="E20" s="158"/>
      <c r="F20" s="158"/>
      <c r="G20" s="158"/>
      <c r="H20" s="158"/>
      <c r="I20" s="158"/>
      <c r="J20" s="728"/>
      <c r="K20" s="158"/>
      <c r="L20" s="158"/>
      <c r="M20" s="158"/>
      <c r="N20" s="158"/>
    </row>
    <row r="21" spans="1:14">
      <c r="A21" s="596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</row>
    <row r="22" spans="1:14" ht="12.75" customHeight="1">
      <c r="A22" s="609" t="s">
        <v>1035</v>
      </c>
      <c r="B22" s="610"/>
      <c r="C22" s="610"/>
      <c r="D22" s="611" t="s">
        <v>200</v>
      </c>
      <c r="E22" s="611" t="s">
        <v>200</v>
      </c>
      <c r="F22" s="611" t="s">
        <v>200</v>
      </c>
      <c r="G22" s="611" t="s">
        <v>200</v>
      </c>
      <c r="H22" s="593" t="s">
        <v>200</v>
      </c>
      <c r="I22" s="158"/>
      <c r="J22" s="158"/>
      <c r="K22" s="158"/>
      <c r="L22" s="158"/>
      <c r="M22" s="158"/>
      <c r="N22" s="158"/>
    </row>
    <row r="23" spans="1:14" ht="12.75" customHeight="1">
      <c r="A23" s="600" t="s">
        <v>672</v>
      </c>
      <c r="B23" s="644" t="s">
        <v>1036</v>
      </c>
      <c r="C23" s="644" t="s">
        <v>677</v>
      </c>
      <c r="D23" s="644" t="s">
        <v>988</v>
      </c>
      <c r="E23" s="644" t="s">
        <v>1037</v>
      </c>
      <c r="F23" s="644" t="s">
        <v>680</v>
      </c>
      <c r="G23" s="725" t="s">
        <v>681</v>
      </c>
      <c r="H23" s="726" t="s">
        <v>682</v>
      </c>
      <c r="I23" s="158"/>
      <c r="J23" s="158"/>
      <c r="K23" s="1071" t="s">
        <v>687</v>
      </c>
      <c r="L23" s="1072"/>
      <c r="M23" s="158"/>
      <c r="N23" s="158"/>
    </row>
    <row r="24" spans="1:14">
      <c r="A24" s="645">
        <v>0</v>
      </c>
      <c r="B24" s="621">
        <f>'F-2 Estructura'!B31</f>
        <v>319943557.20916158</v>
      </c>
      <c r="C24" s="621">
        <f t="shared" ref="C24:C29" si="4">B24</f>
        <v>319943557.20916158</v>
      </c>
      <c r="D24" s="621" t="str">
        <f>'F- CFyU'!B21</f>
        <v xml:space="preserve"> $                   -  </v>
      </c>
      <c r="E24" s="621" t="s">
        <v>200</v>
      </c>
      <c r="F24" s="621">
        <f t="shared" ref="F24:F29" si="5">SUM(D24:E24)</f>
        <v>0</v>
      </c>
      <c r="G24" s="622">
        <f t="shared" ref="G24:G29" si="6">F24-C24</f>
        <v>-319943557.20916158</v>
      </c>
      <c r="H24" s="623">
        <f>G24</f>
        <v>-319943557.20916158</v>
      </c>
      <c r="I24" s="158"/>
      <c r="J24" s="158"/>
      <c r="K24" s="1071" t="s">
        <v>688</v>
      </c>
      <c r="L24" s="1072"/>
      <c r="M24" s="158"/>
      <c r="N24" s="158"/>
    </row>
    <row r="25" spans="1:14">
      <c r="A25" s="647">
        <v>1</v>
      </c>
      <c r="B25" s="621">
        <f>'F-2 Estructura'!C31</f>
        <v>459161891.62095612</v>
      </c>
      <c r="C25" s="621">
        <f t="shared" si="4"/>
        <v>459161891.62095612</v>
      </c>
      <c r="D25" s="621" t="str">
        <f>'F- CFyU'!C21</f>
        <v xml:space="preserve"> $                   -  </v>
      </c>
      <c r="E25" s="621">
        <f>'F- CFyU'!C30</f>
        <v>57999591.88767764</v>
      </c>
      <c r="F25" s="621">
        <f t="shared" si="5"/>
        <v>57999591.88767764</v>
      </c>
      <c r="G25" s="622">
        <f t="shared" si="6"/>
        <v>-401162299.73327851</v>
      </c>
      <c r="H25" s="623">
        <f>G25+H24</f>
        <v>-721105856.94244003</v>
      </c>
      <c r="I25" s="158"/>
      <c r="J25" s="158"/>
      <c r="K25" s="833" t="s">
        <v>295</v>
      </c>
      <c r="L25" s="834" t="str">
        <f>IF(B12=J12,"OK","MAL")</f>
        <v>OK</v>
      </c>
      <c r="M25" s="158"/>
      <c r="N25" s="158"/>
    </row>
    <row r="26" spans="1:14">
      <c r="A26" s="647">
        <v>2</v>
      </c>
      <c r="B26" s="621">
        <v>0</v>
      </c>
      <c r="C26" s="621">
        <f t="shared" si="4"/>
        <v>0</v>
      </c>
      <c r="D26" s="621" t="str">
        <f>'F- CFyU'!D21</f>
        <v xml:space="preserve"> $                   -  </v>
      </c>
      <c r="E26" s="621">
        <f>'F- CFyU'!D30</f>
        <v>414899235.61414981</v>
      </c>
      <c r="F26" s="621">
        <f t="shared" si="5"/>
        <v>414899235.61414981</v>
      </c>
      <c r="G26" s="622">
        <f t="shared" si="6"/>
        <v>414899235.61414981</v>
      </c>
      <c r="H26" s="623">
        <f>G26+H25</f>
        <v>-306206621.32829022</v>
      </c>
      <c r="I26" s="158"/>
      <c r="J26" s="158"/>
      <c r="K26" s="833" t="s">
        <v>689</v>
      </c>
      <c r="L26" s="834" t="str">
        <f>IF(D12=K12,"OK","MAL")</f>
        <v>OK</v>
      </c>
      <c r="M26" s="158"/>
      <c r="N26" s="158"/>
    </row>
    <row r="27" spans="1:14">
      <c r="A27" s="647">
        <v>3</v>
      </c>
      <c r="B27" s="621">
        <v>0</v>
      </c>
      <c r="C27" s="621">
        <f t="shared" si="4"/>
        <v>0</v>
      </c>
      <c r="D27" s="621" t="str">
        <f>'F- CFyU'!E21</f>
        <v xml:space="preserve"> $                   -  </v>
      </c>
      <c r="E27" s="621">
        <f>'F- CFyU'!E30</f>
        <v>374290826.41668034</v>
      </c>
      <c r="F27" s="621">
        <f t="shared" si="5"/>
        <v>374290826.41668034</v>
      </c>
      <c r="G27" s="622">
        <f t="shared" si="6"/>
        <v>374290826.41668034</v>
      </c>
      <c r="H27" s="623">
        <f>G27+H26</f>
        <v>68084205.088390112</v>
      </c>
      <c r="I27" s="158"/>
      <c r="J27" s="158"/>
      <c r="K27" s="833" t="s">
        <v>690</v>
      </c>
      <c r="L27" s="834" t="str">
        <f>IF(C12=0,"OK","MAL")</f>
        <v>OK</v>
      </c>
      <c r="M27" s="158"/>
      <c r="N27" s="158"/>
    </row>
    <row r="28" spans="1:14">
      <c r="A28" s="647">
        <v>4</v>
      </c>
      <c r="B28" s="621">
        <v>0</v>
      </c>
      <c r="C28" s="621">
        <f t="shared" si="4"/>
        <v>0</v>
      </c>
      <c r="D28" s="621">
        <f>'F- CFyU'!F2</f>
        <v>0</v>
      </c>
      <c r="E28" s="621">
        <f>'F- CFyU'!F30</f>
        <v>373933264.9401083</v>
      </c>
      <c r="F28" s="621">
        <f t="shared" si="5"/>
        <v>373933264.9401083</v>
      </c>
      <c r="G28" s="622">
        <f t="shared" si="6"/>
        <v>373933264.9401083</v>
      </c>
      <c r="H28" s="623">
        <f>G28+H27</f>
        <v>442017470.02849841</v>
      </c>
      <c r="I28" s="158"/>
      <c r="J28" s="158"/>
      <c r="K28" s="833" t="s">
        <v>691</v>
      </c>
      <c r="L28" s="834" t="str">
        <f>IF((H12-F12-E12+I12)=M12,IF(M12=N10,"OK","MAL"),"MAL")</f>
        <v>OK</v>
      </c>
      <c r="M28" s="158"/>
      <c r="N28" s="158"/>
    </row>
    <row r="29" spans="1:14">
      <c r="A29" s="647">
        <v>5</v>
      </c>
      <c r="B29" s="621">
        <f>B10+C10+'F-Cred'!D6</f>
        <v>-393789240.82340389</v>
      </c>
      <c r="C29" s="621">
        <f t="shared" si="4"/>
        <v>-393789240.82340389</v>
      </c>
      <c r="D29" s="621" t="str">
        <f>'F- CFyU'!G21</f>
        <v xml:space="preserve"> $                   -  </v>
      </c>
      <c r="E29" s="621">
        <f>'F- CFyU'!G30</f>
        <v>313444323.79524517</v>
      </c>
      <c r="F29" s="621">
        <f t="shared" si="5"/>
        <v>313444323.79524517</v>
      </c>
      <c r="G29" s="622">
        <f t="shared" si="6"/>
        <v>707233564.61864901</v>
      </c>
      <c r="H29" s="623">
        <f>G29+H28</f>
        <v>1149251034.6471474</v>
      </c>
      <c r="I29" s="158"/>
      <c r="J29" s="158"/>
      <c r="K29" s="1071" t="s">
        <v>1038</v>
      </c>
      <c r="L29" s="1072"/>
      <c r="M29" s="158"/>
      <c r="N29" s="158"/>
    </row>
    <row r="30" spans="1:14">
      <c r="A30" s="647" t="s">
        <v>200</v>
      </c>
      <c r="B30" s="621" t="s">
        <v>200</v>
      </c>
      <c r="C30" s="621" t="s">
        <v>200</v>
      </c>
      <c r="D30" s="621" t="s">
        <v>200</v>
      </c>
      <c r="E30" s="621" t="s">
        <v>200</v>
      </c>
      <c r="F30" s="621" t="s">
        <v>200</v>
      </c>
      <c r="G30" s="622" t="s">
        <v>200</v>
      </c>
      <c r="H30" s="623" t="s">
        <v>200</v>
      </c>
      <c r="I30" s="158"/>
      <c r="J30" s="158"/>
      <c r="K30" s="833" t="s">
        <v>1039</v>
      </c>
      <c r="L30" s="834" t="str">
        <f>IF((H12-E12-F12)=G31,"OK","MAL")</f>
        <v>OK</v>
      </c>
      <c r="M30" s="158"/>
      <c r="N30" s="158"/>
    </row>
    <row r="31" spans="1:14" ht="15">
      <c r="A31" s="648" t="s">
        <v>683</v>
      </c>
      <c r="B31" s="624">
        <f t="shared" ref="B31:H31" si="7">SUM(B24:B29)</f>
        <v>385316208.00671381</v>
      </c>
      <c r="C31" s="624">
        <f t="shared" si="7"/>
        <v>385316208.00671381</v>
      </c>
      <c r="D31" s="624">
        <f t="shared" si="7"/>
        <v>0</v>
      </c>
      <c r="E31" s="624">
        <f t="shared" si="7"/>
        <v>1534567242.6538613</v>
      </c>
      <c r="F31" s="624">
        <f t="shared" si="7"/>
        <v>1534567242.6538613</v>
      </c>
      <c r="G31" s="624">
        <f t="shared" si="7"/>
        <v>1149251034.6471474</v>
      </c>
      <c r="H31" s="624">
        <f t="shared" si="7"/>
        <v>312096674.28414416</v>
      </c>
      <c r="I31" s="158"/>
      <c r="J31" s="158"/>
      <c r="K31" s="833" t="s">
        <v>1040</v>
      </c>
      <c r="L31" s="834" t="str">
        <f>IF(('F- CFyU'!H30-'F- CFyU'!H7-'F- CFyU'!H8+'F- CFyU'!H15-'F- CFyU'!H27+'F- CFyU'!H16)='F- Form'!G31,"OK","MAL")</f>
        <v>OK</v>
      </c>
      <c r="M31" s="659"/>
      <c r="N31" s="158"/>
    </row>
    <row r="32" spans="1:14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833" t="s">
        <v>1041</v>
      </c>
      <c r="L32" s="834" t="str">
        <f>IF('F-CRes'!G15=G31,"OK","MAL")</f>
        <v>OK</v>
      </c>
      <c r="M32" s="158"/>
      <c r="N32" s="158"/>
    </row>
    <row r="33" spans="1:14" ht="15">
      <c r="A33" s="158"/>
      <c r="B33" s="158"/>
      <c r="C33" s="158"/>
      <c r="D33" s="158"/>
      <c r="E33" s="158"/>
      <c r="F33" s="158"/>
      <c r="G33" s="820"/>
      <c r="H33" s="940"/>
      <c r="I33" s="940"/>
      <c r="J33" s="158"/>
      <c r="K33" s="833" t="s">
        <v>1042</v>
      </c>
      <c r="L33" s="834" t="str">
        <f>IF(('F-Balance'!G33+'F-Balance'!G34)='F- Form'!G31,"OK","MAL")</f>
        <v>OK</v>
      </c>
      <c r="M33" s="158"/>
      <c r="N33" s="158"/>
    </row>
    <row r="34" spans="1:14" ht="15">
      <c r="A34" s="158"/>
      <c r="B34" s="158"/>
      <c r="C34" s="158" t="s">
        <v>684</v>
      </c>
      <c r="D34" s="823">
        <f>H12-F12-E12</f>
        <v>1149251034.6471484</v>
      </c>
      <c r="E34" s="158" t="s">
        <v>1043</v>
      </c>
      <c r="F34" s="158"/>
      <c r="G34" s="158"/>
      <c r="H34" s="940"/>
      <c r="I34" s="939"/>
      <c r="J34" s="158"/>
      <c r="K34" s="833" t="s">
        <v>1044</v>
      </c>
      <c r="L34" s="834" t="str">
        <f>IF(('F- CFyU'!H10-'F- CFyU'!H17-'F- CFyU'!H20-'F- CFyU'!H18)=G31,"OK","MAL")</f>
        <v>OK</v>
      </c>
      <c r="M34" s="158"/>
      <c r="N34" s="158"/>
    </row>
    <row r="35" spans="1:14" ht="15">
      <c r="A35" s="158"/>
      <c r="B35" s="158"/>
      <c r="C35" s="158" t="s">
        <v>685</v>
      </c>
      <c r="D35" s="727">
        <f>A27-H29/G29</f>
        <v>1.3750049599712637</v>
      </c>
      <c r="E35" s="158" t="s">
        <v>1045</v>
      </c>
      <c r="F35" s="730"/>
      <c r="G35" s="158"/>
      <c r="H35" s="939"/>
      <c r="I35" s="939"/>
      <c r="J35" s="158"/>
      <c r="K35" s="1071" t="s">
        <v>1046</v>
      </c>
      <c r="L35" s="1072"/>
      <c r="M35" s="158"/>
      <c r="N35" s="158"/>
    </row>
    <row r="36" spans="1:14" ht="15">
      <c r="A36" s="158"/>
      <c r="B36" s="158"/>
      <c r="C36" s="158" t="s">
        <v>1047</v>
      </c>
      <c r="D36" s="830">
        <f>IRR(G24:G29)</f>
        <v>0.37519320108026477</v>
      </c>
      <c r="E36" s="158"/>
      <c r="F36" s="158"/>
      <c r="G36" s="158"/>
      <c r="H36" s="939"/>
      <c r="I36" s="939"/>
      <c r="J36" s="158"/>
      <c r="K36" s="833" t="s">
        <v>1048</v>
      </c>
      <c r="L36" s="834" t="str">
        <f>IF(SUM('F-Balance'!B35:G35)=SUM('F-Balance'!B24:G24),"OK","MAL")</f>
        <v>OK</v>
      </c>
      <c r="M36" s="158"/>
      <c r="N36" s="158"/>
    </row>
    <row r="37" spans="1:14" ht="15">
      <c r="C37" t="s">
        <v>1033</v>
      </c>
      <c r="D37" s="815">
        <f>NPV(D38,G25:G29)+G24</f>
        <v>32982696.906868398</v>
      </c>
      <c r="H37" s="939"/>
      <c r="I37" s="939"/>
      <c r="K37" s="730"/>
      <c r="L37" s="730"/>
    </row>
    <row r="38" spans="1:14" ht="15">
      <c r="C38" t="s">
        <v>1034</v>
      </c>
      <c r="D38" s="226">
        <v>0.35</v>
      </c>
      <c r="H38" s="939"/>
      <c r="I38" s="939"/>
      <c r="K38" s="730"/>
      <c r="L38" s="730"/>
    </row>
    <row r="40" spans="1:14" ht="15">
      <c r="L40" s="835"/>
    </row>
  </sheetData>
  <mergeCells count="4">
    <mergeCell ref="K23:L23"/>
    <mergeCell ref="K29:L29"/>
    <mergeCell ref="K35:L35"/>
    <mergeCell ref="K24:L2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E7CC3"/>
    <outlinePr summaryBelow="0" summaryRight="0"/>
  </sheetPr>
  <dimension ref="A1:Z1003"/>
  <sheetViews>
    <sheetView workbookViewId="0"/>
  </sheetViews>
  <sheetFormatPr baseColWidth="10" defaultColWidth="12.7109375" defaultRowHeight="15" customHeight="1"/>
  <cols>
    <col min="1" max="1" width="17.140625" customWidth="1"/>
    <col min="2" max="6" width="14.28515625" customWidth="1"/>
    <col min="7" max="7" width="12.85546875" customWidth="1"/>
    <col min="8" max="8" width="18.7109375" customWidth="1"/>
    <col min="9" max="9" width="15.7109375" customWidth="1"/>
    <col min="10" max="10" width="20" customWidth="1"/>
    <col min="11" max="11" width="15.28515625" customWidth="1"/>
    <col min="12" max="12" width="18" customWidth="1"/>
    <col min="13" max="26" width="14.28515625" customWidth="1"/>
  </cols>
  <sheetData>
    <row r="1" spans="1:26" ht="26.25">
      <c r="A1" s="111" t="s">
        <v>1049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>
      <c r="A2" s="112" t="s">
        <v>1050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 spans="1:26">
      <c r="D3" s="112"/>
      <c r="E3" s="112"/>
      <c r="F3" s="112"/>
      <c r="G3" s="112"/>
      <c r="H3" s="112"/>
      <c r="I3" s="112" t="s">
        <v>1051</v>
      </c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 spans="1:26">
      <c r="A4" s="113" t="s">
        <v>1052</v>
      </c>
      <c r="B4" s="114">
        <v>0.37</v>
      </c>
      <c r="C4" s="112" t="s">
        <v>1053</v>
      </c>
      <c r="D4" s="112"/>
      <c r="E4" s="112"/>
      <c r="F4" s="112"/>
      <c r="G4" s="112"/>
      <c r="H4" s="112"/>
      <c r="I4" s="112" t="s">
        <v>1054</v>
      </c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</row>
    <row r="5" spans="1:26">
      <c r="A5" s="113" t="s">
        <v>1055</v>
      </c>
      <c r="B5" s="115"/>
      <c r="C5" s="116" t="s">
        <v>1056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</row>
    <row r="6" spans="1:26" ht="18.75">
      <c r="A6" s="117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spans="1:26" ht="18.75">
      <c r="A7" s="117" t="s">
        <v>1057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</row>
    <row r="8" spans="1:26">
      <c r="A8" s="112" t="s">
        <v>1058</v>
      </c>
      <c r="B8" s="112"/>
      <c r="C8" s="112"/>
      <c r="D8" s="112"/>
      <c r="E8" s="112"/>
      <c r="F8" s="112"/>
      <c r="G8" s="112"/>
      <c r="H8" s="112"/>
      <c r="I8" s="118"/>
      <c r="J8" s="119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</row>
    <row r="9" spans="1:26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</row>
    <row r="10" spans="1:26">
      <c r="A10" s="120" t="s">
        <v>1059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</row>
    <row r="11" spans="1:26">
      <c r="A11" s="112" t="s">
        <v>1060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</row>
    <row r="12" spans="1:26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</row>
    <row r="13" spans="1:26">
      <c r="A13" s="121"/>
      <c r="B13" s="122" t="s">
        <v>1061</v>
      </c>
      <c r="C13" s="122" t="s">
        <v>1062</v>
      </c>
      <c r="D13" s="122" t="s">
        <v>1063</v>
      </c>
      <c r="E13" s="112"/>
      <c r="F13" s="112"/>
      <c r="G13" s="112"/>
      <c r="H13" s="112"/>
      <c r="I13" s="122" t="s">
        <v>1061</v>
      </c>
      <c r="J13" s="122" t="s">
        <v>1062</v>
      </c>
      <c r="K13" s="122" t="s">
        <v>1063</v>
      </c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</row>
    <row r="14" spans="1:26">
      <c r="A14" s="123" t="s">
        <v>686</v>
      </c>
      <c r="B14" s="124"/>
      <c r="C14" s="125" t="e">
        <f>#REF!</f>
        <v>#REF!</v>
      </c>
      <c r="D14" s="124"/>
      <c r="E14" s="112"/>
      <c r="F14" s="112"/>
      <c r="G14" s="112"/>
      <c r="H14" s="112"/>
      <c r="I14" s="126">
        <f>J14*1.2</f>
        <v>540</v>
      </c>
      <c r="J14" s="124">
        <v>450</v>
      </c>
      <c r="K14" s="126">
        <f>J14*0.8</f>
        <v>360</v>
      </c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</row>
    <row r="15" spans="1:26">
      <c r="A15" s="123" t="s">
        <v>1064</v>
      </c>
      <c r="C15" s="115">
        <f>B5</f>
        <v>0</v>
      </c>
      <c r="D15" s="124"/>
      <c r="E15" s="112"/>
      <c r="F15" s="112"/>
      <c r="G15" s="112"/>
      <c r="H15" s="112"/>
      <c r="I15" s="112"/>
      <c r="J15" s="112" t="s">
        <v>1065</v>
      </c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26">
      <c r="A16" s="123" t="s">
        <v>1066</v>
      </c>
      <c r="B16" s="124"/>
      <c r="C16" s="127" t="e">
        <f>#REF!</f>
        <v>#REF!</v>
      </c>
      <c r="D16" s="124"/>
      <c r="E16" s="112"/>
      <c r="F16" s="112"/>
      <c r="G16" s="112"/>
      <c r="H16" s="112"/>
      <c r="I16" s="112"/>
      <c r="J16" s="128" t="s">
        <v>1067</v>
      </c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26">
      <c r="A17" s="120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26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spans="1:26">
      <c r="A19" s="120" t="s">
        <v>1068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spans="1:26">
      <c r="A20" s="112" t="s">
        <v>1069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spans="1:26">
      <c r="A21" s="112"/>
      <c r="B21" s="112"/>
      <c r="C21" s="112"/>
      <c r="D21" s="112"/>
      <c r="E21" s="112"/>
      <c r="F21" s="112"/>
      <c r="G21" s="112"/>
      <c r="H21" s="112"/>
      <c r="I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26">
      <c r="A22" s="121"/>
      <c r="B22" s="122" t="s">
        <v>1070</v>
      </c>
      <c r="C22" s="122" t="s">
        <v>1062</v>
      </c>
      <c r="D22" s="122" t="s">
        <v>1071</v>
      </c>
      <c r="E22" s="112"/>
      <c r="F22" s="112"/>
      <c r="G22" s="112"/>
      <c r="H22" s="112"/>
      <c r="I22" s="122" t="s">
        <v>1070</v>
      </c>
      <c r="J22" s="122" t="s">
        <v>1062</v>
      </c>
      <c r="K22" s="122" t="s">
        <v>1071</v>
      </c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spans="1:26">
      <c r="A23" s="123" t="s">
        <v>686</v>
      </c>
      <c r="B23" s="124"/>
      <c r="C23" s="125" t="e">
        <f>#REF!</f>
        <v>#REF!</v>
      </c>
      <c r="D23" s="124"/>
      <c r="E23" s="112"/>
      <c r="F23" s="112"/>
      <c r="G23" s="112"/>
      <c r="H23" s="112"/>
      <c r="I23" s="126">
        <f>J23*1.2</f>
        <v>48</v>
      </c>
      <c r="J23" s="124">
        <v>40</v>
      </c>
      <c r="K23" s="126">
        <f>J23*0.8</f>
        <v>32</v>
      </c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 spans="1:26">
      <c r="A24" s="123" t="s">
        <v>1064</v>
      </c>
      <c r="B24" s="124"/>
      <c r="C24" s="115">
        <f>B5</f>
        <v>0</v>
      </c>
      <c r="D24" s="124"/>
      <c r="E24" s="112"/>
      <c r="F24" s="112"/>
      <c r="G24" s="112"/>
      <c r="H24" s="112"/>
      <c r="I24" s="112"/>
      <c r="J24" s="128" t="s">
        <v>1072</v>
      </c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</row>
    <row r="25" spans="1:26">
      <c r="A25" s="123" t="s">
        <v>1066</v>
      </c>
      <c r="B25" s="124"/>
      <c r="C25" s="127" t="e">
        <f>#REF!</f>
        <v>#REF!</v>
      </c>
      <c r="D25" s="124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</row>
    <row r="26" spans="1:26">
      <c r="A26" s="120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</row>
    <row r="27" spans="1:26">
      <c r="A27" s="129" t="s">
        <v>1073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</row>
    <row r="28" spans="1:26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</row>
    <row r="29" spans="1:26">
      <c r="A29" s="129" t="s">
        <v>1074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</row>
    <row r="30" spans="1:26">
      <c r="A30" s="129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</row>
    <row r="31" spans="1:26" ht="18.75">
      <c r="A31" s="117" t="s">
        <v>1075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</row>
    <row r="32" spans="1:26">
      <c r="A32" s="112" t="s">
        <v>1076</v>
      </c>
      <c r="B32" s="112"/>
      <c r="C32" s="112"/>
      <c r="D32" s="112"/>
      <c r="E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 spans="1:26">
      <c r="A33" s="112"/>
      <c r="B33" s="112"/>
      <c r="C33" s="112"/>
      <c r="D33" s="112"/>
      <c r="E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</row>
    <row r="34" spans="1:26">
      <c r="A34" s="130"/>
      <c r="B34" s="131" t="s">
        <v>686</v>
      </c>
      <c r="C34" s="131" t="s">
        <v>1064</v>
      </c>
      <c r="D34" s="131" t="s">
        <v>1066</v>
      </c>
      <c r="E34" s="112"/>
      <c r="H34" s="1073" t="s">
        <v>1077</v>
      </c>
      <c r="I34" s="991"/>
      <c r="J34" s="132">
        <f>60*35</f>
        <v>2100</v>
      </c>
      <c r="K34" s="133" t="s">
        <v>89</v>
      </c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</row>
    <row r="35" spans="1:26" ht="26.25" customHeight="1">
      <c r="A35" s="134" t="s">
        <v>1078</v>
      </c>
      <c r="B35" s="135" t="e">
        <f>C23</f>
        <v>#REF!</v>
      </c>
      <c r="C35" s="115">
        <f>B5</f>
        <v>0</v>
      </c>
      <c r="D35" s="136" t="e">
        <f>C25</f>
        <v>#REF!</v>
      </c>
      <c r="E35" s="112"/>
      <c r="H35" s="1073" t="s">
        <v>1079</v>
      </c>
      <c r="I35" s="991"/>
      <c r="J35" s="132">
        <v>100.25</v>
      </c>
      <c r="K35" s="133" t="s">
        <v>1080</v>
      </c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</row>
    <row r="36" spans="1:26" ht="30">
      <c r="A36" s="134" t="s">
        <v>1081</v>
      </c>
      <c r="B36" s="124"/>
      <c r="C36" s="124"/>
      <c r="D36" s="124"/>
      <c r="E36" s="112"/>
      <c r="H36" s="1073" t="s">
        <v>1082</v>
      </c>
      <c r="I36" s="991"/>
      <c r="J36" s="137">
        <v>185</v>
      </c>
      <c r="K36" s="133" t="s">
        <v>1083</v>
      </c>
      <c r="L36" s="112" t="s">
        <v>1084</v>
      </c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</row>
    <row r="37" spans="1:26">
      <c r="A37" s="120"/>
      <c r="B37" s="112"/>
      <c r="C37" s="112"/>
      <c r="D37" s="112"/>
      <c r="E37" s="112"/>
      <c r="H37" s="1073" t="s">
        <v>1085</v>
      </c>
      <c r="I37" s="991"/>
      <c r="J37" s="137">
        <v>300</v>
      </c>
      <c r="K37" s="133" t="s">
        <v>1083</v>
      </c>
      <c r="L37" s="112" t="s">
        <v>1086</v>
      </c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 spans="1:26">
      <c r="A38" s="120"/>
      <c r="B38" s="112"/>
      <c r="C38" s="112"/>
      <c r="D38" s="112"/>
      <c r="E38" s="112"/>
      <c r="H38" s="1073" t="s">
        <v>1087</v>
      </c>
      <c r="I38" s="991"/>
      <c r="J38" s="138">
        <f>AVERAGE(5,6.003,3.39)</f>
        <v>4.7976666666666672</v>
      </c>
      <c r="K38" s="133" t="s">
        <v>1083</v>
      </c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</row>
    <row r="39" spans="1:26">
      <c r="A39" s="112"/>
      <c r="B39" s="112"/>
      <c r="C39" s="112"/>
      <c r="D39" s="112"/>
      <c r="E39" s="112"/>
      <c r="F39" s="112"/>
      <c r="G39" s="112"/>
      <c r="H39" s="1073" t="s">
        <v>1088</v>
      </c>
      <c r="I39" s="991"/>
      <c r="J39" s="139">
        <f>AVERAGE(5,6.003,3.39)*0.38</f>
        <v>1.8231133333333336</v>
      </c>
      <c r="K39" s="133" t="s">
        <v>1083</v>
      </c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</row>
    <row r="40" spans="1:26">
      <c r="A40" s="140" t="s">
        <v>1089</v>
      </c>
      <c r="B40" s="112"/>
      <c r="C40" s="112"/>
      <c r="D40" s="112"/>
      <c r="E40" s="112"/>
      <c r="F40" s="112"/>
      <c r="G40" s="112"/>
      <c r="H40" s="1073" t="s">
        <v>1090</v>
      </c>
      <c r="I40" s="991"/>
      <c r="J40" s="139">
        <f>AVERAGE(5,6.003,3.39)*0.62</f>
        <v>2.9745533333333336</v>
      </c>
      <c r="K40" s="133" t="s">
        <v>1083</v>
      </c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</row>
    <row r="41" spans="1:26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 spans="1:26">
      <c r="A42" s="129" t="s">
        <v>1091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</row>
    <row r="43" spans="1:26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 spans="1:26" ht="18.75">
      <c r="A44" s="117" t="s">
        <v>1092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 spans="1:26">
      <c r="A45" s="112" t="s">
        <v>1093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 spans="1:26">
      <c r="A46" s="112" t="s">
        <v>1094</v>
      </c>
      <c r="B46" s="112"/>
      <c r="C46" s="112"/>
      <c r="D46" s="112"/>
      <c r="E46" s="112"/>
      <c r="F46" s="112"/>
      <c r="G46" s="112"/>
      <c r="H46" s="112"/>
      <c r="I46" s="122" t="s">
        <v>1095</v>
      </c>
      <c r="J46" s="122" t="s">
        <v>1096</v>
      </c>
      <c r="K46" s="122" t="s">
        <v>1097</v>
      </c>
      <c r="L46" s="122" t="s">
        <v>1098</v>
      </c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 spans="1:26">
      <c r="A47" s="112"/>
      <c r="B47" s="112" t="s">
        <v>1099</v>
      </c>
      <c r="C47" s="112"/>
      <c r="D47" s="112"/>
      <c r="E47" s="112"/>
      <c r="F47" s="112"/>
      <c r="G47" s="112"/>
      <c r="H47" s="141" t="s">
        <v>19</v>
      </c>
      <c r="I47" s="142">
        <v>248255424</v>
      </c>
      <c r="J47" s="142">
        <f t="shared" ref="J47:J48" si="0">I47*0.6</f>
        <v>148953254.40000001</v>
      </c>
      <c r="K47" s="142">
        <v>310319280</v>
      </c>
      <c r="L47" s="142">
        <f t="shared" ref="L47:L48" si="1">K47*0.6</f>
        <v>186191568</v>
      </c>
      <c r="M47" s="112" t="s">
        <v>1100</v>
      </c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</row>
    <row r="48" spans="1:26">
      <c r="A48" s="112"/>
      <c r="B48" s="112" t="s">
        <v>1101</v>
      </c>
      <c r="C48" s="112"/>
      <c r="D48" s="112"/>
      <c r="E48" s="112"/>
      <c r="F48" s="112"/>
      <c r="G48" s="112"/>
      <c r="H48" s="141" t="s">
        <v>1102</v>
      </c>
      <c r="I48" s="143">
        <v>551678.71999999997</v>
      </c>
      <c r="J48" s="143">
        <f t="shared" si="0"/>
        <v>331007.23199999996</v>
      </c>
      <c r="K48" s="143">
        <v>689598.4</v>
      </c>
      <c r="L48" s="143">
        <f t="shared" si="1"/>
        <v>413759.04</v>
      </c>
      <c r="M48" s="112" t="s">
        <v>1103</v>
      </c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spans="1:26">
      <c r="A49" s="112"/>
      <c r="B49" s="112" t="s">
        <v>1104</v>
      </c>
      <c r="C49" s="112"/>
      <c r="D49" s="112"/>
      <c r="E49" s="112"/>
      <c r="F49" s="112"/>
      <c r="G49" s="112"/>
      <c r="H49" s="141" t="s">
        <v>1105</v>
      </c>
      <c r="I49" s="142">
        <v>33238920</v>
      </c>
      <c r="J49" s="142">
        <f>I49*0.5</f>
        <v>16619460</v>
      </c>
      <c r="K49" s="144"/>
      <c r="L49" s="144"/>
      <c r="M49" s="112" t="s">
        <v>1106</v>
      </c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spans="1:26">
      <c r="A50" s="112"/>
      <c r="B50" s="112" t="s">
        <v>1107</v>
      </c>
      <c r="C50" s="112"/>
      <c r="D50" s="112"/>
      <c r="E50" s="112"/>
      <c r="F50" s="112"/>
      <c r="G50" s="112"/>
      <c r="H50" s="141" t="s">
        <v>597</v>
      </c>
      <c r="I50" s="143">
        <v>30</v>
      </c>
      <c r="J50" s="143">
        <f>I50*2</f>
        <v>60</v>
      </c>
      <c r="K50" s="144"/>
      <c r="L50" s="144"/>
      <c r="M50" s="112" t="s">
        <v>1108</v>
      </c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 spans="1:26">
      <c r="A51" s="112"/>
      <c r="B51" s="112"/>
      <c r="C51" s="112"/>
      <c r="D51" s="112"/>
      <c r="E51" s="112"/>
      <c r="F51" s="112"/>
      <c r="G51" s="112"/>
      <c r="H51" s="112"/>
      <c r="I51" s="128"/>
      <c r="J51" s="128"/>
      <c r="K51" s="128"/>
      <c r="L51" s="128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 spans="1:26">
      <c r="A52" s="112"/>
      <c r="B52" s="131" t="s">
        <v>686</v>
      </c>
      <c r="C52" s="131" t="s">
        <v>1064</v>
      </c>
      <c r="D52" s="131" t="s">
        <v>1066</v>
      </c>
      <c r="E52" s="112"/>
      <c r="F52" s="112"/>
      <c r="G52" s="112"/>
      <c r="H52" s="112"/>
      <c r="I52" s="128"/>
      <c r="J52" s="128"/>
      <c r="K52" s="128"/>
      <c r="L52" s="128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 spans="1:26">
      <c r="A53" s="134" t="s">
        <v>1062</v>
      </c>
      <c r="B53" s="125" t="e">
        <f>C14</f>
        <v>#REF!</v>
      </c>
      <c r="C53" s="145">
        <f>B5</f>
        <v>0</v>
      </c>
      <c r="D53" s="127" t="e">
        <f>C16</f>
        <v>#REF!</v>
      </c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</row>
    <row r="54" spans="1:26">
      <c r="A54" s="134" t="s">
        <v>1109</v>
      </c>
      <c r="B54" s="124"/>
      <c r="C54" s="124"/>
      <c r="D54" s="124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</row>
    <row r="55" spans="1:26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</row>
    <row r="56" spans="1:26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</row>
    <row r="57" spans="1:26">
      <c r="A57" s="129" t="s">
        <v>1110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</row>
    <row r="58" spans="1:26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</row>
    <row r="59" spans="1:26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</row>
    <row r="60" spans="1:26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</row>
    <row r="61" spans="1:26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</row>
    <row r="62" spans="1:26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</row>
    <row r="63" spans="1:26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</row>
    <row r="64" spans="1:26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</row>
    <row r="65" spans="1:26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</row>
    <row r="66" spans="1:26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</row>
    <row r="67" spans="1:26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</row>
    <row r="68" spans="1:26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</row>
    <row r="69" spans="1:26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</row>
    <row r="70" spans="1:26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</row>
    <row r="71" spans="1:26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</row>
    <row r="72" spans="1:26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</row>
    <row r="73" spans="1:26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</row>
    <row r="74" spans="1:26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</row>
    <row r="75" spans="1:26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</row>
    <row r="76" spans="1:26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</row>
    <row r="77" spans="1:26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</row>
    <row r="78" spans="1:26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</row>
    <row r="79" spans="1:26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</row>
    <row r="80" spans="1:26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</row>
    <row r="81" spans="1:26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</row>
    <row r="82" spans="1:26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</row>
    <row r="83" spans="1:26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</row>
    <row r="84" spans="1:26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</row>
    <row r="85" spans="1:26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</row>
    <row r="86" spans="1:26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</row>
    <row r="87" spans="1:26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</row>
    <row r="88" spans="1:26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</row>
    <row r="89" spans="1:26">
      <c r="A89" s="112"/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</row>
    <row r="90" spans="1:26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</row>
    <row r="91" spans="1:26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</row>
    <row r="92" spans="1:26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</row>
    <row r="93" spans="1:26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</row>
    <row r="94" spans="1:26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</row>
    <row r="95" spans="1:26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</row>
    <row r="96" spans="1:26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</row>
    <row r="97" spans="1:26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</row>
    <row r="98" spans="1:26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</row>
    <row r="99" spans="1:26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</row>
    <row r="100" spans="1:26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</row>
    <row r="101" spans="1:26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</row>
    <row r="102" spans="1:26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</row>
    <row r="103" spans="1:26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</row>
    <row r="104" spans="1:26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</row>
    <row r="105" spans="1:26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</row>
    <row r="106" spans="1:26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</row>
    <row r="107" spans="1:26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</row>
    <row r="108" spans="1:26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</row>
    <row r="109" spans="1:26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</row>
    <row r="110" spans="1:26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</row>
    <row r="111" spans="1:26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</row>
    <row r="112" spans="1:26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</row>
    <row r="113" spans="1:26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</row>
    <row r="114" spans="1:26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</row>
    <row r="115" spans="1:26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</row>
    <row r="116" spans="1:26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</row>
    <row r="117" spans="1:26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</row>
    <row r="118" spans="1:26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</row>
    <row r="119" spans="1:26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</row>
    <row r="120" spans="1:26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</row>
    <row r="121" spans="1:26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</row>
    <row r="122" spans="1:26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</row>
    <row r="123" spans="1:26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</row>
    <row r="124" spans="1:26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</row>
    <row r="125" spans="1:26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</row>
    <row r="126" spans="1:26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</row>
    <row r="127" spans="1:26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</row>
    <row r="128" spans="1:26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</row>
    <row r="129" spans="1:26">
      <c r="A129" s="11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</row>
    <row r="130" spans="1:26">
      <c r="A130" s="11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</row>
    <row r="131" spans="1:26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</row>
    <row r="132" spans="1:26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</row>
    <row r="133" spans="1:26">
      <c r="A133" s="112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</row>
    <row r="134" spans="1:26">
      <c r="A134" s="112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</row>
    <row r="135" spans="1:26">
      <c r="A135" s="112"/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</row>
    <row r="136" spans="1:26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</row>
    <row r="137" spans="1:26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</row>
    <row r="138" spans="1:26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</row>
    <row r="139" spans="1:26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</row>
    <row r="140" spans="1:26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</row>
    <row r="141" spans="1:26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</row>
    <row r="142" spans="1:26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</row>
    <row r="143" spans="1:26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</row>
    <row r="144" spans="1:26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</row>
    <row r="145" spans="1:26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</row>
    <row r="146" spans="1:26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</row>
    <row r="147" spans="1:26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</row>
    <row r="148" spans="1:26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</row>
    <row r="149" spans="1:26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</row>
    <row r="150" spans="1:26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</row>
    <row r="151" spans="1:26">
      <c r="A151" s="11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</row>
    <row r="152" spans="1:26">
      <c r="A152" s="112"/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</row>
    <row r="153" spans="1:26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</row>
    <row r="154" spans="1:26">
      <c r="A154" s="112"/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</row>
    <row r="155" spans="1:26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</row>
    <row r="156" spans="1:26">
      <c r="A156" s="112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</row>
    <row r="157" spans="1:26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</row>
    <row r="158" spans="1:26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</row>
    <row r="159" spans="1:26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</row>
    <row r="160" spans="1:26">
      <c r="A160" s="112"/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</row>
    <row r="161" spans="1:26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</row>
    <row r="162" spans="1:26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</row>
    <row r="163" spans="1:26">
      <c r="A163" s="112"/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</row>
    <row r="164" spans="1:26">
      <c r="A164" s="112"/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</row>
    <row r="165" spans="1:26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</row>
    <row r="166" spans="1:26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</row>
    <row r="167" spans="1:26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</row>
    <row r="168" spans="1:26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</row>
    <row r="169" spans="1:26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</row>
    <row r="170" spans="1:26">
      <c r="A170" s="112"/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</row>
    <row r="171" spans="1:26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</row>
    <row r="172" spans="1:26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</row>
    <row r="173" spans="1:26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</row>
    <row r="174" spans="1:26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</row>
    <row r="175" spans="1:26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</row>
    <row r="176" spans="1:26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</row>
    <row r="177" spans="1:26">
      <c r="A177" s="112"/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</row>
    <row r="178" spans="1:26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</row>
    <row r="179" spans="1:26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</row>
    <row r="180" spans="1:26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</row>
    <row r="181" spans="1:26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</row>
    <row r="182" spans="1:26">
      <c r="A182" s="112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</row>
    <row r="183" spans="1:26">
      <c r="A183" s="112"/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</row>
    <row r="184" spans="1:26">
      <c r="A184" s="112"/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</row>
    <row r="185" spans="1:26">
      <c r="A185" s="112"/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</row>
    <row r="186" spans="1:26">
      <c r="A186" s="112"/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  <c r="Z186" s="112"/>
    </row>
    <row r="187" spans="1:26">
      <c r="A187" s="112"/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</row>
    <row r="188" spans="1:26">
      <c r="A188" s="112"/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</row>
    <row r="189" spans="1:26">
      <c r="A189" s="112"/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</row>
    <row r="190" spans="1:26">
      <c r="A190" s="112"/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</row>
    <row r="191" spans="1:26">
      <c r="A191" s="112"/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</row>
    <row r="192" spans="1:26">
      <c r="A192" s="112"/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</row>
    <row r="193" spans="1:26">
      <c r="A193" s="112"/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</row>
    <row r="194" spans="1:26">
      <c r="A194" s="112"/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  <c r="Z194" s="112"/>
    </row>
    <row r="195" spans="1:26">
      <c r="A195" s="112"/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</row>
    <row r="196" spans="1:26">
      <c r="A196" s="112"/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</row>
    <row r="197" spans="1:26">
      <c r="A197" s="112"/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112"/>
      <c r="Z197" s="112"/>
    </row>
    <row r="198" spans="1:26">
      <c r="A198" s="112"/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  <c r="Z198" s="112"/>
    </row>
    <row r="199" spans="1:26">
      <c r="A199" s="112"/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</row>
    <row r="200" spans="1:26">
      <c r="A200" s="112"/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</row>
    <row r="201" spans="1:26">
      <c r="A201" s="112"/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</row>
    <row r="202" spans="1:26">
      <c r="A202" s="112"/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112"/>
      <c r="Z202" s="112"/>
    </row>
    <row r="203" spans="1:26">
      <c r="A203" s="112"/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112"/>
      <c r="Z203" s="112"/>
    </row>
    <row r="204" spans="1:26">
      <c r="A204" s="112"/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112"/>
      <c r="Z204" s="112"/>
    </row>
    <row r="205" spans="1:26">
      <c r="A205" s="112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  <c r="Z205" s="112"/>
    </row>
    <row r="206" spans="1:26">
      <c r="A206" s="112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</row>
    <row r="207" spans="1:26">
      <c r="A207" s="112"/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</row>
    <row r="208" spans="1:26">
      <c r="A208" s="112"/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</row>
    <row r="209" spans="1:26">
      <c r="A209" s="112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</row>
    <row r="210" spans="1:26">
      <c r="A210" s="112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</row>
    <row r="211" spans="1:26">
      <c r="A211" s="112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</row>
    <row r="212" spans="1:26">
      <c r="A212" s="112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</row>
    <row r="213" spans="1:26">
      <c r="A213" s="112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</row>
    <row r="214" spans="1:26">
      <c r="A214" s="112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</row>
    <row r="215" spans="1:26">
      <c r="A215" s="112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  <c r="Z215" s="112"/>
    </row>
    <row r="216" spans="1:26">
      <c r="A216" s="112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  <c r="Z216" s="112"/>
    </row>
    <row r="217" spans="1:26">
      <c r="A217" s="112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112"/>
      <c r="Z217" s="112"/>
    </row>
    <row r="218" spans="1:26">
      <c r="A218" s="11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</row>
    <row r="219" spans="1:26">
      <c r="A219" s="112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112"/>
      <c r="Z219" s="112"/>
    </row>
    <row r="220" spans="1:26">
      <c r="A220" s="11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112"/>
      <c r="Z220" s="112"/>
    </row>
    <row r="221" spans="1:26">
      <c r="A221" s="11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</row>
    <row r="222" spans="1:26">
      <c r="A222" s="112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  <c r="Y222" s="112"/>
      <c r="Z222" s="112"/>
    </row>
    <row r="223" spans="1:26">
      <c r="A223" s="112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  <c r="Z223" s="112"/>
    </row>
    <row r="224" spans="1:26">
      <c r="A224" s="11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</row>
    <row r="225" spans="1:26">
      <c r="A225" s="112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  <c r="Y225" s="112"/>
      <c r="Z225" s="112"/>
    </row>
    <row r="226" spans="1:26">
      <c r="A226" s="112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  <c r="S226" s="112"/>
      <c r="T226" s="112"/>
      <c r="U226" s="112"/>
      <c r="V226" s="112"/>
      <c r="W226" s="112"/>
      <c r="X226" s="112"/>
      <c r="Y226" s="112"/>
      <c r="Z226" s="112"/>
    </row>
    <row r="227" spans="1:26">
      <c r="A227" s="11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</row>
    <row r="228" spans="1:26">
      <c r="A228" s="11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</row>
    <row r="229" spans="1:26">
      <c r="A229" s="11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  <c r="Z229" s="112"/>
    </row>
    <row r="230" spans="1:26">
      <c r="A230" s="112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</row>
    <row r="231" spans="1:26">
      <c r="A231" s="112"/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  <c r="R231" s="112"/>
      <c r="S231" s="112"/>
      <c r="T231" s="112"/>
      <c r="U231" s="112"/>
      <c r="V231" s="112"/>
      <c r="W231" s="112"/>
      <c r="X231" s="112"/>
      <c r="Y231" s="112"/>
      <c r="Z231" s="112"/>
    </row>
    <row r="232" spans="1:26">
      <c r="A232" s="112"/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  <c r="Z232" s="112"/>
    </row>
    <row r="233" spans="1:26">
      <c r="A233" s="112"/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  <c r="R233" s="112"/>
      <c r="S233" s="112"/>
      <c r="T233" s="112"/>
      <c r="U233" s="112"/>
      <c r="V233" s="112"/>
      <c r="W233" s="112"/>
      <c r="X233" s="112"/>
      <c r="Y233" s="112"/>
      <c r="Z233" s="112"/>
    </row>
    <row r="234" spans="1:26">
      <c r="A234" s="112"/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</row>
    <row r="235" spans="1:26">
      <c r="A235" s="112"/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  <c r="Z235" s="112"/>
    </row>
    <row r="236" spans="1:26">
      <c r="A236" s="112"/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  <c r="Z236" s="112"/>
    </row>
    <row r="237" spans="1:26">
      <c r="A237" s="112"/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  <c r="Z237" s="112"/>
    </row>
    <row r="238" spans="1:26">
      <c r="A238" s="112"/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  <c r="Z238" s="112"/>
    </row>
    <row r="239" spans="1:26">
      <c r="A239" s="112"/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  <c r="Z239" s="112"/>
    </row>
    <row r="240" spans="1:26">
      <c r="A240" s="112"/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  <c r="Z240" s="112"/>
    </row>
    <row r="241" spans="1:26">
      <c r="A241" s="112"/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  <c r="Z241" s="112"/>
    </row>
    <row r="242" spans="1:26">
      <c r="A242" s="112"/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  <c r="Z242" s="112"/>
    </row>
    <row r="243" spans="1:26">
      <c r="A243" s="112"/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  <c r="Z243" s="112"/>
    </row>
    <row r="244" spans="1:26">
      <c r="A244" s="112"/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</row>
    <row r="245" spans="1:26">
      <c r="A245" s="112"/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  <c r="Z245" s="112"/>
    </row>
    <row r="246" spans="1:26">
      <c r="A246" s="112"/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</row>
    <row r="247" spans="1:26">
      <c r="A247" s="112"/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  <c r="Z247" s="112"/>
    </row>
    <row r="248" spans="1:26">
      <c r="A248" s="112"/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</row>
    <row r="249" spans="1:26">
      <c r="A249" s="112"/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  <c r="Z249" s="112"/>
    </row>
    <row r="250" spans="1:26">
      <c r="A250" s="112"/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2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  <c r="Z250" s="112"/>
    </row>
    <row r="251" spans="1:26">
      <c r="A251" s="112"/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2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  <c r="Y251" s="112"/>
      <c r="Z251" s="112"/>
    </row>
    <row r="252" spans="1:26">
      <c r="A252" s="112"/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2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112"/>
      <c r="Z252" s="112"/>
    </row>
    <row r="253" spans="1:26">
      <c r="A253" s="112"/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2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112"/>
      <c r="Z253" s="112"/>
    </row>
    <row r="254" spans="1:26">
      <c r="A254" s="112"/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  <c r="Z254" s="112"/>
    </row>
    <row r="255" spans="1:26">
      <c r="A255" s="112"/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  <c r="Z255" s="112"/>
    </row>
    <row r="256" spans="1:26">
      <c r="A256" s="112"/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112"/>
      <c r="Z256" s="112"/>
    </row>
    <row r="257" spans="1:26">
      <c r="A257" s="112"/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  <c r="Z257" s="112"/>
    </row>
    <row r="258" spans="1:26">
      <c r="A258" s="112"/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</row>
    <row r="259" spans="1:26">
      <c r="A259" s="112"/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</row>
    <row r="260" spans="1:26">
      <c r="A260" s="112"/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</row>
    <row r="261" spans="1:26">
      <c r="A261" s="112"/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</row>
    <row r="262" spans="1:26">
      <c r="A262" s="112"/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</row>
    <row r="263" spans="1:26">
      <c r="A263" s="112"/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  <c r="Z263" s="112"/>
    </row>
    <row r="264" spans="1:26">
      <c r="A264" s="112"/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2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  <c r="Y264" s="112"/>
      <c r="Z264" s="112"/>
    </row>
    <row r="265" spans="1:26">
      <c r="A265" s="112"/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2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  <c r="Y265" s="112"/>
      <c r="Z265" s="112"/>
    </row>
    <row r="266" spans="1:26">
      <c r="A266" s="112"/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2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  <c r="Y266" s="112"/>
      <c r="Z266" s="112"/>
    </row>
    <row r="267" spans="1:26">
      <c r="A267" s="112"/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2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112"/>
      <c r="Z267" s="112"/>
    </row>
    <row r="268" spans="1:26">
      <c r="A268" s="112"/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  <c r="Z268" s="112"/>
    </row>
    <row r="269" spans="1:26">
      <c r="A269" s="112"/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2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  <c r="Y269" s="112"/>
      <c r="Z269" s="112"/>
    </row>
    <row r="270" spans="1:26">
      <c r="A270" s="112"/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2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  <c r="Y270" s="112"/>
      <c r="Z270" s="112"/>
    </row>
    <row r="271" spans="1:26">
      <c r="A271" s="112"/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112"/>
      <c r="Z271" s="112"/>
    </row>
    <row r="272" spans="1:26">
      <c r="A272" s="112"/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2"/>
      <c r="O272" s="112"/>
      <c r="P272" s="112"/>
      <c r="Q272" s="112"/>
      <c r="R272" s="112"/>
      <c r="S272" s="112"/>
      <c r="T272" s="112"/>
      <c r="U272" s="112"/>
      <c r="V272" s="112"/>
      <c r="W272" s="112"/>
      <c r="X272" s="112"/>
      <c r="Y272" s="112"/>
      <c r="Z272" s="112"/>
    </row>
    <row r="273" spans="1:26">
      <c r="A273" s="112"/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2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  <c r="Y273" s="112"/>
      <c r="Z273" s="112"/>
    </row>
    <row r="274" spans="1:26">
      <c r="A274" s="112"/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2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  <c r="Y274" s="112"/>
      <c r="Z274" s="112"/>
    </row>
    <row r="275" spans="1:26">
      <c r="A275" s="112"/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2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  <c r="Y275" s="112"/>
      <c r="Z275" s="112"/>
    </row>
    <row r="276" spans="1:26">
      <c r="A276" s="112"/>
      <c r="B276" s="112"/>
      <c r="C276" s="112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2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  <c r="Y276" s="112"/>
      <c r="Z276" s="112"/>
    </row>
    <row r="277" spans="1:26">
      <c r="A277" s="112"/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2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  <c r="Y277" s="112"/>
      <c r="Z277" s="112"/>
    </row>
    <row r="278" spans="1:26">
      <c r="A278" s="112"/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2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112"/>
      <c r="Z278" s="112"/>
    </row>
    <row r="279" spans="1:26">
      <c r="A279" s="112"/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2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112"/>
      <c r="Z279" s="112"/>
    </row>
    <row r="280" spans="1:26">
      <c r="A280" s="112"/>
      <c r="B280" s="112"/>
      <c r="C280" s="112"/>
      <c r="D280" s="112"/>
      <c r="E280" s="112"/>
      <c r="F280" s="112"/>
      <c r="G280" s="112"/>
      <c r="H280" s="112"/>
      <c r="I280" s="112"/>
      <c r="J280" s="112"/>
      <c r="K280" s="112"/>
      <c r="L280" s="112"/>
      <c r="M280" s="112"/>
      <c r="N280" s="112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112"/>
      <c r="Z280" s="112"/>
    </row>
    <row r="281" spans="1:26">
      <c r="A281" s="112"/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2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112"/>
      <c r="Z281" s="112"/>
    </row>
    <row r="282" spans="1:26">
      <c r="A282" s="112"/>
      <c r="B282" s="112"/>
      <c r="C282" s="112"/>
      <c r="D282" s="112"/>
      <c r="E282" s="112"/>
      <c r="F282" s="112"/>
      <c r="G282" s="112"/>
      <c r="H282" s="112"/>
      <c r="I282" s="112"/>
      <c r="J282" s="112"/>
      <c r="K282" s="112"/>
      <c r="L282" s="112"/>
      <c r="M282" s="112"/>
      <c r="N282" s="112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  <c r="Y282" s="112"/>
      <c r="Z282" s="112"/>
    </row>
    <row r="283" spans="1:26">
      <c r="A283" s="112"/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2"/>
      <c r="O283" s="112"/>
      <c r="P283" s="112"/>
      <c r="Q283" s="112"/>
      <c r="R283" s="112"/>
      <c r="S283" s="112"/>
      <c r="T283" s="112"/>
      <c r="U283" s="112"/>
      <c r="V283" s="112"/>
      <c r="W283" s="112"/>
      <c r="X283" s="112"/>
      <c r="Y283" s="112"/>
      <c r="Z283" s="112"/>
    </row>
    <row r="284" spans="1:26">
      <c r="A284" s="112"/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2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112"/>
      <c r="Z284" s="112"/>
    </row>
    <row r="285" spans="1:26">
      <c r="A285" s="112"/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2"/>
      <c r="O285" s="112"/>
      <c r="P285" s="112"/>
      <c r="Q285" s="112"/>
      <c r="R285" s="112"/>
      <c r="S285" s="112"/>
      <c r="T285" s="112"/>
      <c r="U285" s="112"/>
      <c r="V285" s="112"/>
      <c r="W285" s="112"/>
      <c r="X285" s="112"/>
      <c r="Y285" s="112"/>
      <c r="Z285" s="112"/>
    </row>
    <row r="286" spans="1:26">
      <c r="A286" s="112"/>
      <c r="B286" s="112"/>
      <c r="C286" s="112"/>
      <c r="D286" s="112"/>
      <c r="E286" s="112"/>
      <c r="F286" s="112"/>
      <c r="G286" s="112"/>
      <c r="H286" s="112"/>
      <c r="I286" s="112"/>
      <c r="J286" s="112"/>
      <c r="K286" s="112"/>
      <c r="L286" s="112"/>
      <c r="M286" s="112"/>
      <c r="N286" s="112"/>
      <c r="O286" s="112"/>
      <c r="P286" s="112"/>
      <c r="Q286" s="112"/>
      <c r="R286" s="112"/>
      <c r="S286" s="112"/>
      <c r="T286" s="112"/>
      <c r="U286" s="112"/>
      <c r="V286" s="112"/>
      <c r="W286" s="112"/>
      <c r="X286" s="112"/>
      <c r="Y286" s="112"/>
      <c r="Z286" s="112"/>
    </row>
    <row r="287" spans="1:26">
      <c r="A287" s="112"/>
      <c r="B287" s="112"/>
      <c r="C287" s="112"/>
      <c r="D287" s="112"/>
      <c r="E287" s="112"/>
      <c r="F287" s="112"/>
      <c r="G287" s="112"/>
      <c r="H287" s="112"/>
      <c r="I287" s="112"/>
      <c r="J287" s="112"/>
      <c r="K287" s="112"/>
      <c r="L287" s="112"/>
      <c r="M287" s="112"/>
      <c r="N287" s="112"/>
      <c r="O287" s="112"/>
      <c r="P287" s="112"/>
      <c r="Q287" s="112"/>
      <c r="R287" s="112"/>
      <c r="S287" s="112"/>
      <c r="T287" s="112"/>
      <c r="U287" s="112"/>
      <c r="V287" s="112"/>
      <c r="W287" s="112"/>
      <c r="X287" s="112"/>
      <c r="Y287" s="112"/>
      <c r="Z287" s="112"/>
    </row>
    <row r="288" spans="1:26">
      <c r="A288" s="112"/>
      <c r="B288" s="112"/>
      <c r="C288" s="112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</row>
    <row r="289" spans="1:26">
      <c r="A289" s="112"/>
      <c r="B289" s="112"/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</row>
    <row r="290" spans="1:26">
      <c r="A290" s="11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  <c r="Z290" s="112"/>
    </row>
    <row r="291" spans="1:26">
      <c r="A291" s="112"/>
      <c r="B291" s="112"/>
      <c r="C291" s="112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2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  <c r="Y291" s="112"/>
      <c r="Z291" s="112"/>
    </row>
    <row r="292" spans="1:26">
      <c r="A292" s="112"/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2"/>
      <c r="O292" s="112"/>
      <c r="P292" s="112"/>
      <c r="Q292" s="112"/>
      <c r="R292" s="112"/>
      <c r="S292" s="112"/>
      <c r="T292" s="112"/>
      <c r="U292" s="112"/>
      <c r="V292" s="112"/>
      <c r="W292" s="112"/>
      <c r="X292" s="112"/>
      <c r="Y292" s="112"/>
      <c r="Z292" s="112"/>
    </row>
    <row r="293" spans="1:26">
      <c r="A293" s="112"/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2"/>
      <c r="O293" s="112"/>
      <c r="P293" s="112"/>
      <c r="Q293" s="112"/>
      <c r="R293" s="112"/>
      <c r="S293" s="112"/>
      <c r="T293" s="112"/>
      <c r="U293" s="112"/>
      <c r="V293" s="112"/>
      <c r="W293" s="112"/>
      <c r="X293" s="112"/>
      <c r="Y293" s="112"/>
      <c r="Z293" s="112"/>
    </row>
    <row r="294" spans="1:26">
      <c r="A294" s="112"/>
      <c r="B294" s="112"/>
      <c r="C294" s="112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2"/>
      <c r="O294" s="112"/>
      <c r="P294" s="112"/>
      <c r="Q294" s="112"/>
      <c r="R294" s="112"/>
      <c r="S294" s="112"/>
      <c r="T294" s="112"/>
      <c r="U294" s="112"/>
      <c r="V294" s="112"/>
      <c r="W294" s="112"/>
      <c r="X294" s="112"/>
      <c r="Y294" s="112"/>
      <c r="Z294" s="112"/>
    </row>
    <row r="295" spans="1:26">
      <c r="A295" s="112"/>
      <c r="B295" s="112"/>
      <c r="C295" s="112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2"/>
      <c r="O295" s="112"/>
      <c r="P295" s="112"/>
      <c r="Q295" s="112"/>
      <c r="R295" s="112"/>
      <c r="S295" s="112"/>
      <c r="T295" s="112"/>
      <c r="U295" s="112"/>
      <c r="V295" s="112"/>
      <c r="W295" s="112"/>
      <c r="X295" s="112"/>
      <c r="Y295" s="112"/>
      <c r="Z295" s="112"/>
    </row>
    <row r="296" spans="1:26">
      <c r="A296" s="112"/>
      <c r="B296" s="112"/>
      <c r="C296" s="112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2"/>
      <c r="O296" s="112"/>
      <c r="P296" s="112"/>
      <c r="Q296" s="112"/>
      <c r="R296" s="112"/>
      <c r="S296" s="112"/>
      <c r="T296" s="112"/>
      <c r="U296" s="112"/>
      <c r="V296" s="112"/>
      <c r="W296" s="112"/>
      <c r="X296" s="112"/>
      <c r="Y296" s="112"/>
      <c r="Z296" s="112"/>
    </row>
    <row r="297" spans="1:26">
      <c r="A297" s="112"/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2"/>
      <c r="O297" s="112"/>
      <c r="P297" s="112"/>
      <c r="Q297" s="112"/>
      <c r="R297" s="112"/>
      <c r="S297" s="112"/>
      <c r="T297" s="112"/>
      <c r="U297" s="112"/>
      <c r="V297" s="112"/>
      <c r="W297" s="112"/>
      <c r="X297" s="112"/>
      <c r="Y297" s="112"/>
      <c r="Z297" s="112"/>
    </row>
    <row r="298" spans="1:26">
      <c r="A298" s="112"/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2"/>
      <c r="O298" s="112"/>
      <c r="P298" s="112"/>
      <c r="Q298" s="112"/>
      <c r="R298" s="112"/>
      <c r="S298" s="112"/>
      <c r="T298" s="112"/>
      <c r="U298" s="112"/>
      <c r="V298" s="112"/>
      <c r="W298" s="112"/>
      <c r="X298" s="112"/>
      <c r="Y298" s="112"/>
      <c r="Z298" s="112"/>
    </row>
    <row r="299" spans="1:26">
      <c r="A299" s="112"/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  <c r="L299" s="112"/>
      <c r="M299" s="112"/>
      <c r="N299" s="112"/>
      <c r="O299" s="112"/>
      <c r="P299" s="112"/>
      <c r="Q299" s="112"/>
      <c r="R299" s="112"/>
      <c r="S299" s="112"/>
      <c r="T299" s="112"/>
      <c r="U299" s="112"/>
      <c r="V299" s="112"/>
      <c r="W299" s="112"/>
      <c r="X299" s="112"/>
      <c r="Y299" s="112"/>
      <c r="Z299" s="112"/>
    </row>
    <row r="300" spans="1:26">
      <c r="A300" s="112"/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  <c r="Z300" s="112"/>
    </row>
    <row r="301" spans="1:26">
      <c r="A301" s="112"/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  <c r="Z301" s="112"/>
    </row>
    <row r="302" spans="1:26">
      <c r="A302" s="112"/>
      <c r="B302" s="112"/>
      <c r="C302" s="112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  <c r="Z302" s="112"/>
    </row>
    <row r="303" spans="1:26">
      <c r="A303" s="112"/>
      <c r="B303" s="112"/>
      <c r="C303" s="112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  <c r="Z303" s="112"/>
    </row>
    <row r="304" spans="1:26">
      <c r="A304" s="112"/>
      <c r="B304" s="112"/>
      <c r="C304" s="112"/>
      <c r="D304" s="112"/>
      <c r="E304" s="112"/>
      <c r="F304" s="112"/>
      <c r="G304" s="112"/>
      <c r="H304" s="112"/>
      <c r="I304" s="112"/>
      <c r="J304" s="112"/>
      <c r="K304" s="112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  <c r="Z304" s="112"/>
    </row>
    <row r="305" spans="1:26">
      <c r="A305" s="112"/>
      <c r="B305" s="112"/>
      <c r="C305" s="112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2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112"/>
      <c r="Z305" s="112"/>
    </row>
    <row r="306" spans="1:26">
      <c r="A306" s="112"/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  <c r="Z306" s="112"/>
    </row>
    <row r="307" spans="1:26">
      <c r="A307" s="112"/>
      <c r="B307" s="112"/>
      <c r="C307" s="112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2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  <c r="Y307" s="112"/>
      <c r="Z307" s="112"/>
    </row>
    <row r="308" spans="1:26">
      <c r="A308" s="112"/>
      <c r="B308" s="112"/>
      <c r="C308" s="112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2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  <c r="Y308" s="112"/>
      <c r="Z308" s="112"/>
    </row>
    <row r="309" spans="1:26">
      <c r="A309" s="112"/>
      <c r="B309" s="112"/>
      <c r="C309" s="112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2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  <c r="Y309" s="112"/>
      <c r="Z309" s="112"/>
    </row>
    <row r="310" spans="1:26">
      <c r="A310" s="112"/>
      <c r="B310" s="112"/>
      <c r="C310" s="112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2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  <c r="Y310" s="112"/>
      <c r="Z310" s="112"/>
    </row>
    <row r="311" spans="1:26">
      <c r="A311" s="112"/>
      <c r="B311" s="112"/>
      <c r="C311" s="112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2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  <c r="Y311" s="112"/>
      <c r="Z311" s="112"/>
    </row>
    <row r="312" spans="1:26">
      <c r="A312" s="112"/>
      <c r="B312" s="112"/>
      <c r="C312" s="112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2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  <c r="Y312" s="112"/>
      <c r="Z312" s="112"/>
    </row>
    <row r="313" spans="1:26">
      <c r="A313" s="112"/>
      <c r="B313" s="112"/>
      <c r="C313" s="112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2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  <c r="Y313" s="112"/>
      <c r="Z313" s="112"/>
    </row>
    <row r="314" spans="1:26">
      <c r="A314" s="112"/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2"/>
      <c r="O314" s="112"/>
      <c r="P314" s="112"/>
      <c r="Q314" s="112"/>
      <c r="R314" s="112"/>
      <c r="S314" s="112"/>
      <c r="T314" s="112"/>
      <c r="U314" s="112"/>
      <c r="V314" s="112"/>
      <c r="W314" s="112"/>
      <c r="X314" s="112"/>
      <c r="Y314" s="112"/>
      <c r="Z314" s="112"/>
    </row>
    <row r="315" spans="1:26">
      <c r="A315" s="112"/>
      <c r="B315" s="112"/>
      <c r="C315" s="112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2"/>
      <c r="O315" s="112"/>
      <c r="P315" s="112"/>
      <c r="Q315" s="112"/>
      <c r="R315" s="112"/>
      <c r="S315" s="112"/>
      <c r="T315" s="112"/>
      <c r="U315" s="112"/>
      <c r="V315" s="112"/>
      <c r="W315" s="112"/>
      <c r="X315" s="112"/>
      <c r="Y315" s="112"/>
      <c r="Z315" s="112"/>
    </row>
    <row r="316" spans="1:26">
      <c r="A316" s="112"/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2"/>
      <c r="O316" s="112"/>
      <c r="P316" s="112"/>
      <c r="Q316" s="112"/>
      <c r="R316" s="112"/>
      <c r="S316" s="112"/>
      <c r="T316" s="112"/>
      <c r="U316" s="112"/>
      <c r="V316" s="112"/>
      <c r="W316" s="112"/>
      <c r="X316" s="112"/>
      <c r="Y316" s="112"/>
      <c r="Z316" s="112"/>
    </row>
    <row r="317" spans="1:26">
      <c r="A317" s="112"/>
      <c r="B317" s="112"/>
      <c r="C317" s="112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2"/>
      <c r="O317" s="112"/>
      <c r="P317" s="112"/>
      <c r="Q317" s="112"/>
      <c r="R317" s="112"/>
      <c r="S317" s="112"/>
      <c r="T317" s="112"/>
      <c r="U317" s="112"/>
      <c r="V317" s="112"/>
      <c r="W317" s="112"/>
      <c r="X317" s="112"/>
      <c r="Y317" s="112"/>
      <c r="Z317" s="112"/>
    </row>
    <row r="318" spans="1:26">
      <c r="A318" s="112"/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2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112"/>
      <c r="Z318" s="112"/>
    </row>
    <row r="319" spans="1:26">
      <c r="A319" s="112"/>
      <c r="B319" s="112"/>
      <c r="C319" s="112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2"/>
      <c r="O319" s="112"/>
      <c r="P319" s="112"/>
      <c r="Q319" s="112"/>
      <c r="R319" s="112"/>
      <c r="S319" s="112"/>
      <c r="T319" s="112"/>
      <c r="U319" s="112"/>
      <c r="V319" s="112"/>
      <c r="W319" s="112"/>
      <c r="X319" s="112"/>
      <c r="Y319" s="112"/>
      <c r="Z319" s="112"/>
    </row>
    <row r="320" spans="1:26">
      <c r="A320" s="112"/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2"/>
      <c r="O320" s="112"/>
      <c r="P320" s="112"/>
      <c r="Q320" s="112"/>
      <c r="R320" s="112"/>
      <c r="S320" s="112"/>
      <c r="T320" s="112"/>
      <c r="U320" s="112"/>
      <c r="V320" s="112"/>
      <c r="W320" s="112"/>
      <c r="X320" s="112"/>
      <c r="Y320" s="112"/>
      <c r="Z320" s="112"/>
    </row>
    <row r="321" spans="1:26">
      <c r="A321" s="112"/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2"/>
      <c r="O321" s="112"/>
      <c r="P321" s="112"/>
      <c r="Q321" s="112"/>
      <c r="R321" s="112"/>
      <c r="S321" s="112"/>
      <c r="T321" s="112"/>
      <c r="U321" s="112"/>
      <c r="V321" s="112"/>
      <c r="W321" s="112"/>
      <c r="X321" s="112"/>
      <c r="Y321" s="112"/>
      <c r="Z321" s="112"/>
    </row>
    <row r="322" spans="1:26">
      <c r="A322" s="112"/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2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  <c r="Y322" s="112"/>
      <c r="Z322" s="112"/>
    </row>
    <row r="323" spans="1:26">
      <c r="A323" s="112"/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  <c r="Z323" s="112"/>
    </row>
    <row r="324" spans="1:26">
      <c r="A324" s="11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  <c r="Z324" s="112"/>
    </row>
    <row r="325" spans="1:26">
      <c r="A325" s="112"/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2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  <c r="Y325" s="112"/>
      <c r="Z325" s="112"/>
    </row>
    <row r="326" spans="1:26">
      <c r="A326" s="112"/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2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  <c r="Y326" s="112"/>
      <c r="Z326" s="112"/>
    </row>
    <row r="327" spans="1:26">
      <c r="A327" s="112"/>
      <c r="B327" s="112"/>
      <c r="C327" s="112"/>
      <c r="D327" s="112"/>
      <c r="E327" s="112"/>
      <c r="F327" s="112"/>
      <c r="G327" s="112"/>
      <c r="H327" s="112"/>
      <c r="I327" s="112"/>
      <c r="J327" s="112"/>
      <c r="K327" s="112"/>
      <c r="L327" s="112"/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  <c r="Z327" s="112"/>
    </row>
    <row r="328" spans="1:26">
      <c r="A328" s="112"/>
      <c r="B328" s="112"/>
      <c r="C328" s="112"/>
      <c r="D328" s="112"/>
      <c r="E328" s="112"/>
      <c r="F328" s="112"/>
      <c r="G328" s="112"/>
      <c r="H328" s="112"/>
      <c r="I328" s="112"/>
      <c r="J328" s="112"/>
      <c r="K328" s="112"/>
      <c r="L328" s="112"/>
      <c r="M328" s="112"/>
      <c r="N328" s="112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  <c r="Y328" s="112"/>
      <c r="Z328" s="112"/>
    </row>
    <row r="329" spans="1:26">
      <c r="A329" s="112"/>
      <c r="B329" s="112"/>
      <c r="C329" s="112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2"/>
      <c r="O329" s="112"/>
      <c r="P329" s="112"/>
      <c r="Q329" s="112"/>
      <c r="R329" s="112"/>
      <c r="S329" s="112"/>
      <c r="T329" s="112"/>
      <c r="U329" s="112"/>
      <c r="V329" s="112"/>
      <c r="W329" s="112"/>
      <c r="X329" s="112"/>
      <c r="Y329" s="112"/>
      <c r="Z329" s="112"/>
    </row>
    <row r="330" spans="1:26">
      <c r="A330" s="112"/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2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112"/>
      <c r="Z330" s="112"/>
    </row>
    <row r="331" spans="1:26">
      <c r="A331" s="112"/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2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  <c r="Y331" s="112"/>
      <c r="Z331" s="112"/>
    </row>
    <row r="332" spans="1:26">
      <c r="A332" s="112"/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2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  <c r="Y332" s="112"/>
      <c r="Z332" s="112"/>
    </row>
    <row r="333" spans="1:26">
      <c r="A333" s="112"/>
      <c r="B333" s="112"/>
      <c r="C333" s="112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2"/>
      <c r="O333" s="112"/>
      <c r="P333" s="112"/>
      <c r="Q333" s="112"/>
      <c r="R333" s="112"/>
      <c r="S333" s="112"/>
      <c r="T333" s="112"/>
      <c r="U333" s="112"/>
      <c r="V333" s="112"/>
      <c r="W333" s="112"/>
      <c r="X333" s="112"/>
      <c r="Y333" s="112"/>
      <c r="Z333" s="112"/>
    </row>
    <row r="334" spans="1:26">
      <c r="A334" s="112"/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</row>
    <row r="335" spans="1:26">
      <c r="A335" s="112"/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</row>
    <row r="336" spans="1:26">
      <c r="A336" s="112"/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2"/>
      <c r="O336" s="112"/>
      <c r="P336" s="112"/>
      <c r="Q336" s="112"/>
      <c r="R336" s="112"/>
      <c r="S336" s="112"/>
      <c r="T336" s="112"/>
      <c r="U336" s="112"/>
      <c r="V336" s="112"/>
      <c r="W336" s="112"/>
      <c r="X336" s="112"/>
      <c r="Y336" s="112"/>
      <c r="Z336" s="112"/>
    </row>
    <row r="337" spans="1:26">
      <c r="A337" s="112"/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  <c r="Z337" s="112"/>
    </row>
    <row r="338" spans="1:26">
      <c r="A338" s="112"/>
      <c r="B338" s="112"/>
      <c r="C338" s="112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2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112"/>
      <c r="Z338" s="112"/>
    </row>
    <row r="339" spans="1:26">
      <c r="A339" s="112"/>
      <c r="B339" s="112"/>
      <c r="C339" s="112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2"/>
      <c r="O339" s="112"/>
      <c r="P339" s="112"/>
      <c r="Q339" s="112"/>
      <c r="R339" s="112"/>
      <c r="S339" s="112"/>
      <c r="T339" s="112"/>
      <c r="U339" s="112"/>
      <c r="V339" s="112"/>
      <c r="W339" s="112"/>
      <c r="X339" s="112"/>
      <c r="Y339" s="112"/>
      <c r="Z339" s="112"/>
    </row>
    <row r="340" spans="1:26">
      <c r="A340" s="112"/>
      <c r="B340" s="112"/>
      <c r="C340" s="112"/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2"/>
      <c r="O340" s="112"/>
      <c r="P340" s="112"/>
      <c r="Q340" s="112"/>
      <c r="R340" s="112"/>
      <c r="S340" s="112"/>
      <c r="T340" s="112"/>
      <c r="U340" s="112"/>
      <c r="V340" s="112"/>
      <c r="W340" s="112"/>
      <c r="X340" s="112"/>
      <c r="Y340" s="112"/>
      <c r="Z340" s="112"/>
    </row>
    <row r="341" spans="1:26">
      <c r="A341" s="112"/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2"/>
      <c r="O341" s="112"/>
      <c r="P341" s="112"/>
      <c r="Q341" s="112"/>
      <c r="R341" s="112"/>
      <c r="S341" s="112"/>
      <c r="T341" s="112"/>
      <c r="U341" s="112"/>
      <c r="V341" s="112"/>
      <c r="W341" s="112"/>
      <c r="X341" s="112"/>
      <c r="Y341" s="112"/>
      <c r="Z341" s="112"/>
    </row>
    <row r="342" spans="1:26">
      <c r="A342" s="112"/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2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  <c r="Y342" s="112"/>
      <c r="Z342" s="112"/>
    </row>
    <row r="343" spans="1:26">
      <c r="A343" s="112"/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2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112"/>
      <c r="Z343" s="112"/>
    </row>
    <row r="344" spans="1:26">
      <c r="A344" s="112"/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2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  <c r="Y344" s="112"/>
      <c r="Z344" s="112"/>
    </row>
    <row r="345" spans="1:26">
      <c r="A345" s="112"/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2"/>
      <c r="O345" s="112"/>
      <c r="P345" s="112"/>
      <c r="Q345" s="112"/>
      <c r="R345" s="112"/>
      <c r="S345" s="112"/>
      <c r="T345" s="112"/>
      <c r="U345" s="112"/>
      <c r="V345" s="112"/>
      <c r="W345" s="112"/>
      <c r="X345" s="112"/>
      <c r="Y345" s="112"/>
      <c r="Z345" s="112"/>
    </row>
    <row r="346" spans="1:26">
      <c r="A346" s="112"/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2"/>
      <c r="O346" s="112"/>
      <c r="P346" s="112"/>
      <c r="Q346" s="112"/>
      <c r="R346" s="112"/>
      <c r="S346" s="112"/>
      <c r="T346" s="112"/>
      <c r="U346" s="112"/>
      <c r="V346" s="112"/>
      <c r="W346" s="112"/>
      <c r="X346" s="112"/>
      <c r="Y346" s="112"/>
      <c r="Z346" s="112"/>
    </row>
    <row r="347" spans="1:26">
      <c r="A347" s="112"/>
      <c r="B347" s="112"/>
      <c r="C347" s="112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2"/>
      <c r="O347" s="112"/>
      <c r="P347" s="112"/>
      <c r="Q347" s="112"/>
      <c r="R347" s="112"/>
      <c r="S347" s="112"/>
      <c r="T347" s="112"/>
      <c r="U347" s="112"/>
      <c r="V347" s="112"/>
      <c r="W347" s="112"/>
      <c r="X347" s="112"/>
      <c r="Y347" s="112"/>
      <c r="Z347" s="112"/>
    </row>
    <row r="348" spans="1:26">
      <c r="A348" s="112"/>
      <c r="B348" s="112"/>
      <c r="C348" s="112"/>
      <c r="D348" s="112"/>
      <c r="E348" s="112"/>
      <c r="F348" s="112"/>
      <c r="G348" s="112"/>
      <c r="H348" s="112"/>
      <c r="I348" s="112"/>
      <c r="J348" s="112"/>
      <c r="K348" s="112"/>
      <c r="L348" s="112"/>
      <c r="M348" s="112"/>
      <c r="N348" s="112"/>
      <c r="O348" s="112"/>
      <c r="P348" s="112"/>
      <c r="Q348" s="112"/>
      <c r="R348" s="112"/>
      <c r="S348" s="112"/>
      <c r="T348" s="112"/>
      <c r="U348" s="112"/>
      <c r="V348" s="112"/>
      <c r="W348" s="112"/>
      <c r="X348" s="112"/>
      <c r="Y348" s="112"/>
      <c r="Z348" s="112"/>
    </row>
    <row r="349" spans="1:26">
      <c r="A349" s="112"/>
      <c r="B349" s="112"/>
      <c r="C349" s="112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2"/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  <c r="Y349" s="112"/>
      <c r="Z349" s="112"/>
    </row>
    <row r="350" spans="1:26">
      <c r="A350" s="112"/>
      <c r="B350" s="112"/>
      <c r="C350" s="112"/>
      <c r="D350" s="112"/>
      <c r="E350" s="112"/>
      <c r="F350" s="112"/>
      <c r="G350" s="112"/>
      <c r="H350" s="112"/>
      <c r="I350" s="112"/>
      <c r="J350" s="112"/>
      <c r="K350" s="112"/>
      <c r="L350" s="112"/>
      <c r="M350" s="112"/>
      <c r="N350" s="112"/>
      <c r="O350" s="112"/>
      <c r="P350" s="112"/>
      <c r="Q350" s="112"/>
      <c r="R350" s="112"/>
      <c r="S350" s="112"/>
      <c r="T350" s="112"/>
      <c r="U350" s="112"/>
      <c r="V350" s="112"/>
      <c r="W350" s="112"/>
      <c r="X350" s="112"/>
      <c r="Y350" s="112"/>
      <c r="Z350" s="112"/>
    </row>
    <row r="351" spans="1:26">
      <c r="A351" s="112"/>
      <c r="B351" s="112"/>
      <c r="C351" s="112"/>
      <c r="D351" s="112"/>
      <c r="E351" s="112"/>
      <c r="F351" s="112"/>
      <c r="G351" s="112"/>
      <c r="H351" s="112"/>
      <c r="I351" s="112"/>
      <c r="J351" s="112"/>
      <c r="K351" s="112"/>
      <c r="L351" s="112"/>
      <c r="M351" s="112"/>
      <c r="N351" s="112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  <c r="Y351" s="112"/>
      <c r="Z351" s="112"/>
    </row>
    <row r="352" spans="1:26">
      <c r="A352" s="112"/>
      <c r="B352" s="112"/>
      <c r="C352" s="112"/>
      <c r="D352" s="112"/>
      <c r="E352" s="112"/>
      <c r="F352" s="112"/>
      <c r="G352" s="112"/>
      <c r="H352" s="112"/>
      <c r="I352" s="112"/>
      <c r="J352" s="112"/>
      <c r="K352" s="112"/>
      <c r="L352" s="112"/>
      <c r="M352" s="112"/>
      <c r="N352" s="112"/>
      <c r="O352" s="112"/>
      <c r="P352" s="112"/>
      <c r="Q352" s="112"/>
      <c r="R352" s="112"/>
      <c r="S352" s="112"/>
      <c r="T352" s="112"/>
      <c r="U352" s="112"/>
      <c r="V352" s="112"/>
      <c r="W352" s="112"/>
      <c r="X352" s="112"/>
      <c r="Y352" s="112"/>
      <c r="Z352" s="112"/>
    </row>
    <row r="353" spans="1:26">
      <c r="A353" s="112"/>
      <c r="B353" s="112"/>
      <c r="C353" s="112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2"/>
      <c r="O353" s="112"/>
      <c r="P353" s="112"/>
      <c r="Q353" s="112"/>
      <c r="R353" s="112"/>
      <c r="S353" s="112"/>
      <c r="T353" s="112"/>
      <c r="U353" s="112"/>
      <c r="V353" s="112"/>
      <c r="W353" s="112"/>
      <c r="X353" s="112"/>
      <c r="Y353" s="112"/>
      <c r="Z353" s="112"/>
    </row>
    <row r="354" spans="1:26">
      <c r="A354" s="112"/>
      <c r="B354" s="112"/>
      <c r="C354" s="112"/>
      <c r="D354" s="112"/>
      <c r="E354" s="112"/>
      <c r="F354" s="112"/>
      <c r="G354" s="112"/>
      <c r="H354" s="112"/>
      <c r="I354" s="112"/>
      <c r="J354" s="112"/>
      <c r="K354" s="112"/>
      <c r="L354" s="112"/>
      <c r="M354" s="112"/>
      <c r="N354" s="112"/>
      <c r="O354" s="112"/>
      <c r="P354" s="112"/>
      <c r="Q354" s="112"/>
      <c r="R354" s="112"/>
      <c r="S354" s="112"/>
      <c r="T354" s="112"/>
      <c r="U354" s="112"/>
      <c r="V354" s="112"/>
      <c r="W354" s="112"/>
      <c r="X354" s="112"/>
      <c r="Y354" s="112"/>
      <c r="Z354" s="112"/>
    </row>
    <row r="355" spans="1:26">
      <c r="A355" s="112"/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2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  <c r="Y355" s="112"/>
      <c r="Z355" s="112"/>
    </row>
    <row r="356" spans="1:26">
      <c r="A356" s="112"/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2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  <c r="Y356" s="112"/>
      <c r="Z356" s="112"/>
    </row>
    <row r="357" spans="1:26">
      <c r="A357" s="112"/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2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  <c r="Y357" s="112"/>
      <c r="Z357" s="112"/>
    </row>
    <row r="358" spans="1:26">
      <c r="A358" s="112"/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2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  <c r="Y358" s="112"/>
      <c r="Z358" s="112"/>
    </row>
    <row r="359" spans="1:26">
      <c r="A359" s="112"/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2"/>
      <c r="O359" s="112"/>
      <c r="P359" s="112"/>
      <c r="Q359" s="112"/>
      <c r="R359" s="112"/>
      <c r="S359" s="112"/>
      <c r="T359" s="112"/>
      <c r="U359" s="112"/>
      <c r="V359" s="112"/>
      <c r="W359" s="112"/>
      <c r="X359" s="112"/>
      <c r="Y359" s="112"/>
      <c r="Z359" s="112"/>
    </row>
    <row r="360" spans="1:26">
      <c r="A360" s="112"/>
      <c r="B360" s="112"/>
      <c r="C360" s="112"/>
      <c r="D360" s="112"/>
      <c r="E360" s="112"/>
      <c r="F360" s="112"/>
      <c r="G360" s="112"/>
      <c r="H360" s="112"/>
      <c r="I360" s="112"/>
      <c r="J360" s="112"/>
      <c r="K360" s="112"/>
      <c r="L360" s="112"/>
      <c r="M360" s="112"/>
      <c r="N360" s="112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  <c r="Y360" s="112"/>
      <c r="Z360" s="112"/>
    </row>
    <row r="361" spans="1:26">
      <c r="A361" s="112"/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2"/>
      <c r="O361" s="112"/>
      <c r="P361" s="112"/>
      <c r="Q361" s="112"/>
      <c r="R361" s="112"/>
      <c r="S361" s="112"/>
      <c r="T361" s="112"/>
      <c r="U361" s="112"/>
      <c r="V361" s="112"/>
      <c r="W361" s="112"/>
      <c r="X361" s="112"/>
      <c r="Y361" s="112"/>
      <c r="Z361" s="112"/>
    </row>
    <row r="362" spans="1:26">
      <c r="A362" s="112"/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2"/>
      <c r="O362" s="112"/>
      <c r="P362" s="112"/>
      <c r="Q362" s="112"/>
      <c r="R362" s="112"/>
      <c r="S362" s="112"/>
      <c r="T362" s="112"/>
      <c r="U362" s="112"/>
      <c r="V362" s="112"/>
      <c r="W362" s="112"/>
      <c r="X362" s="112"/>
      <c r="Y362" s="112"/>
      <c r="Z362" s="112"/>
    </row>
    <row r="363" spans="1:26">
      <c r="A363" s="112"/>
      <c r="B363" s="112"/>
      <c r="C363" s="112"/>
      <c r="D363" s="112"/>
      <c r="E363" s="112"/>
      <c r="F363" s="112"/>
      <c r="G363" s="112"/>
      <c r="H363" s="112"/>
      <c r="I363" s="112"/>
      <c r="J363" s="112"/>
      <c r="K363" s="112"/>
      <c r="L363" s="112"/>
      <c r="M363" s="112"/>
      <c r="N363" s="112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112"/>
      <c r="Z363" s="112"/>
    </row>
    <row r="364" spans="1:26">
      <c r="A364" s="112"/>
      <c r="B364" s="112"/>
      <c r="C364" s="112"/>
      <c r="D364" s="112"/>
      <c r="E364" s="112"/>
      <c r="F364" s="112"/>
      <c r="G364" s="112"/>
      <c r="H364" s="112"/>
      <c r="I364" s="112"/>
      <c r="J364" s="112"/>
      <c r="K364" s="112"/>
      <c r="L364" s="112"/>
      <c r="M364" s="112"/>
      <c r="N364" s="112"/>
      <c r="O364" s="112"/>
      <c r="P364" s="112"/>
      <c r="Q364" s="112"/>
      <c r="R364" s="112"/>
      <c r="S364" s="112"/>
      <c r="T364" s="112"/>
      <c r="U364" s="112"/>
      <c r="V364" s="112"/>
      <c r="W364" s="112"/>
      <c r="X364" s="112"/>
      <c r="Y364" s="112"/>
      <c r="Z364" s="112"/>
    </row>
    <row r="365" spans="1:26">
      <c r="A365" s="112"/>
      <c r="B365" s="112"/>
      <c r="C365" s="112"/>
      <c r="D365" s="112"/>
      <c r="E365" s="112"/>
      <c r="F365" s="112"/>
      <c r="G365" s="112"/>
      <c r="H365" s="112"/>
      <c r="I365" s="112"/>
      <c r="J365" s="112"/>
      <c r="K365" s="112"/>
      <c r="L365" s="112"/>
      <c r="M365" s="112"/>
      <c r="N365" s="112"/>
      <c r="O365" s="112"/>
      <c r="P365" s="112"/>
      <c r="Q365" s="112"/>
      <c r="R365" s="112"/>
      <c r="S365" s="112"/>
      <c r="T365" s="112"/>
      <c r="U365" s="112"/>
      <c r="V365" s="112"/>
      <c r="W365" s="112"/>
      <c r="X365" s="112"/>
      <c r="Y365" s="112"/>
      <c r="Z365" s="112"/>
    </row>
    <row r="366" spans="1:26">
      <c r="A366" s="112"/>
      <c r="B366" s="112"/>
      <c r="C366" s="112"/>
      <c r="D366" s="112"/>
      <c r="E366" s="112"/>
      <c r="F366" s="112"/>
      <c r="G366" s="112"/>
      <c r="H366" s="112"/>
      <c r="I366" s="112"/>
      <c r="J366" s="112"/>
      <c r="K366" s="112"/>
      <c r="L366" s="112"/>
      <c r="M366" s="112"/>
      <c r="N366" s="112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112"/>
      <c r="Z366" s="112"/>
    </row>
    <row r="367" spans="1:26">
      <c r="A367" s="112"/>
      <c r="B367" s="112"/>
      <c r="C367" s="112"/>
      <c r="D367" s="112"/>
      <c r="E367" s="112"/>
      <c r="F367" s="112"/>
      <c r="G367" s="112"/>
      <c r="H367" s="112"/>
      <c r="I367" s="112"/>
      <c r="J367" s="112"/>
      <c r="K367" s="112"/>
      <c r="L367" s="112"/>
      <c r="M367" s="112"/>
      <c r="N367" s="112"/>
      <c r="O367" s="112"/>
      <c r="P367" s="112"/>
      <c r="Q367" s="112"/>
      <c r="R367" s="112"/>
      <c r="S367" s="112"/>
      <c r="T367" s="112"/>
      <c r="U367" s="112"/>
      <c r="V367" s="112"/>
      <c r="W367" s="112"/>
      <c r="X367" s="112"/>
      <c r="Y367" s="112"/>
      <c r="Z367" s="112"/>
    </row>
    <row r="368" spans="1:26">
      <c r="A368" s="112"/>
      <c r="B368" s="112"/>
      <c r="C368" s="112"/>
      <c r="D368" s="112"/>
      <c r="E368" s="112"/>
      <c r="F368" s="112"/>
      <c r="G368" s="112"/>
      <c r="H368" s="112"/>
      <c r="I368" s="112"/>
      <c r="J368" s="112"/>
      <c r="K368" s="112"/>
      <c r="L368" s="112"/>
      <c r="M368" s="112"/>
      <c r="N368" s="112"/>
      <c r="O368" s="112"/>
      <c r="P368" s="112"/>
      <c r="Q368" s="112"/>
      <c r="R368" s="112"/>
      <c r="S368" s="112"/>
      <c r="T368" s="112"/>
      <c r="U368" s="112"/>
      <c r="V368" s="112"/>
      <c r="W368" s="112"/>
      <c r="X368" s="112"/>
      <c r="Y368" s="112"/>
      <c r="Z368" s="112"/>
    </row>
    <row r="369" spans="1:26">
      <c r="A369" s="112"/>
      <c r="B369" s="112"/>
      <c r="C369" s="112"/>
      <c r="D369" s="112"/>
      <c r="E369" s="112"/>
      <c r="F369" s="112"/>
      <c r="G369" s="112"/>
      <c r="H369" s="112"/>
      <c r="I369" s="112"/>
      <c r="J369" s="112"/>
      <c r="K369" s="112"/>
      <c r="L369" s="112"/>
      <c r="M369" s="112"/>
      <c r="N369" s="112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  <c r="Y369" s="112"/>
      <c r="Z369" s="112"/>
    </row>
    <row r="370" spans="1:26">
      <c r="A370" s="112"/>
      <c r="B370" s="112"/>
      <c r="C370" s="112"/>
      <c r="D370" s="112"/>
      <c r="E370" s="112"/>
      <c r="F370" s="112"/>
      <c r="G370" s="112"/>
      <c r="H370" s="112"/>
      <c r="I370" s="112"/>
      <c r="J370" s="112"/>
      <c r="K370" s="112"/>
      <c r="L370" s="112"/>
      <c r="M370" s="112"/>
      <c r="N370" s="112"/>
      <c r="O370" s="112"/>
      <c r="P370" s="112"/>
      <c r="Q370" s="112"/>
      <c r="R370" s="112"/>
      <c r="S370" s="112"/>
      <c r="T370" s="112"/>
      <c r="U370" s="112"/>
      <c r="V370" s="112"/>
      <c r="W370" s="112"/>
      <c r="X370" s="112"/>
      <c r="Y370" s="112"/>
      <c r="Z370" s="112"/>
    </row>
    <row r="371" spans="1:26">
      <c r="A371" s="112"/>
      <c r="B371" s="112"/>
      <c r="C371" s="112"/>
      <c r="D371" s="112"/>
      <c r="E371" s="112"/>
      <c r="F371" s="112"/>
      <c r="G371" s="112"/>
      <c r="H371" s="112"/>
      <c r="I371" s="112"/>
      <c r="J371" s="112"/>
      <c r="K371" s="112"/>
      <c r="L371" s="112"/>
      <c r="M371" s="112"/>
      <c r="N371" s="112"/>
      <c r="O371" s="112"/>
      <c r="P371" s="112"/>
      <c r="Q371" s="112"/>
      <c r="R371" s="112"/>
      <c r="S371" s="112"/>
      <c r="T371" s="112"/>
      <c r="U371" s="112"/>
      <c r="V371" s="112"/>
      <c r="W371" s="112"/>
      <c r="X371" s="112"/>
      <c r="Y371" s="112"/>
      <c r="Z371" s="112"/>
    </row>
    <row r="372" spans="1:26">
      <c r="A372" s="112"/>
      <c r="B372" s="112"/>
      <c r="C372" s="112"/>
      <c r="D372" s="112"/>
      <c r="E372" s="112"/>
      <c r="F372" s="112"/>
      <c r="G372" s="112"/>
      <c r="H372" s="112"/>
      <c r="I372" s="112"/>
      <c r="J372" s="112"/>
      <c r="K372" s="112"/>
      <c r="L372" s="112"/>
      <c r="M372" s="112"/>
      <c r="N372" s="112"/>
      <c r="O372" s="112"/>
      <c r="P372" s="112"/>
      <c r="Q372" s="112"/>
      <c r="R372" s="112"/>
      <c r="S372" s="112"/>
      <c r="T372" s="112"/>
      <c r="U372" s="112"/>
      <c r="V372" s="112"/>
      <c r="W372" s="112"/>
      <c r="X372" s="112"/>
      <c r="Y372" s="112"/>
      <c r="Z372" s="112"/>
    </row>
    <row r="373" spans="1:26">
      <c r="A373" s="112"/>
      <c r="B373" s="112"/>
      <c r="C373" s="112"/>
      <c r="D373" s="112"/>
      <c r="E373" s="112"/>
      <c r="F373" s="112"/>
      <c r="G373" s="112"/>
      <c r="H373" s="112"/>
      <c r="I373" s="112"/>
      <c r="J373" s="112"/>
      <c r="K373" s="112"/>
      <c r="L373" s="112"/>
      <c r="M373" s="112"/>
      <c r="N373" s="112"/>
      <c r="O373" s="112"/>
      <c r="P373" s="112"/>
      <c r="Q373" s="112"/>
      <c r="R373" s="112"/>
      <c r="S373" s="112"/>
      <c r="T373" s="112"/>
      <c r="U373" s="112"/>
      <c r="V373" s="112"/>
      <c r="W373" s="112"/>
      <c r="X373" s="112"/>
      <c r="Y373" s="112"/>
      <c r="Z373" s="112"/>
    </row>
    <row r="374" spans="1:26">
      <c r="A374" s="112"/>
      <c r="B374" s="112"/>
      <c r="C374" s="112"/>
      <c r="D374" s="112"/>
      <c r="E374" s="112"/>
      <c r="F374" s="112"/>
      <c r="G374" s="112"/>
      <c r="H374" s="112"/>
      <c r="I374" s="112"/>
      <c r="J374" s="112"/>
      <c r="K374" s="112"/>
      <c r="L374" s="112"/>
      <c r="M374" s="112"/>
      <c r="N374" s="112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  <c r="Y374" s="112"/>
      <c r="Z374" s="112"/>
    </row>
    <row r="375" spans="1:26">
      <c r="A375" s="112"/>
      <c r="B375" s="112"/>
      <c r="C375" s="112"/>
      <c r="D375" s="112"/>
      <c r="E375" s="112"/>
      <c r="F375" s="112"/>
      <c r="G375" s="112"/>
      <c r="H375" s="112"/>
      <c r="I375" s="112"/>
      <c r="J375" s="112"/>
      <c r="K375" s="112"/>
      <c r="L375" s="112"/>
      <c r="M375" s="112"/>
      <c r="N375" s="112"/>
      <c r="O375" s="112"/>
      <c r="P375" s="112"/>
      <c r="Q375" s="112"/>
      <c r="R375" s="112"/>
      <c r="S375" s="112"/>
      <c r="T375" s="112"/>
      <c r="U375" s="112"/>
      <c r="V375" s="112"/>
      <c r="W375" s="112"/>
      <c r="X375" s="112"/>
      <c r="Y375" s="112"/>
      <c r="Z375" s="112"/>
    </row>
    <row r="376" spans="1:26">
      <c r="A376" s="112"/>
      <c r="B376" s="112"/>
      <c r="C376" s="112"/>
      <c r="D376" s="112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</row>
    <row r="377" spans="1:26">
      <c r="A377" s="112"/>
      <c r="B377" s="112"/>
      <c r="C377" s="112"/>
      <c r="D377" s="112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</row>
    <row r="378" spans="1:26">
      <c r="A378" s="112"/>
      <c r="B378" s="112"/>
      <c r="C378" s="112"/>
      <c r="D378" s="112"/>
      <c r="E378" s="112"/>
      <c r="F378" s="112"/>
      <c r="G378" s="112"/>
      <c r="H378" s="112"/>
      <c r="I378" s="112"/>
      <c r="J378" s="112"/>
      <c r="K378" s="112"/>
      <c r="L378" s="112"/>
      <c r="M378" s="112"/>
      <c r="N378" s="112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  <c r="Y378" s="112"/>
      <c r="Z378" s="112"/>
    </row>
    <row r="379" spans="1:26">
      <c r="A379" s="112"/>
      <c r="B379" s="112"/>
      <c r="C379" s="112"/>
      <c r="D379" s="112"/>
      <c r="E379" s="112"/>
      <c r="F379" s="112"/>
      <c r="G379" s="112"/>
      <c r="H379" s="112"/>
      <c r="I379" s="112"/>
      <c r="J379" s="112"/>
      <c r="K379" s="112"/>
      <c r="L379" s="112"/>
      <c r="M379" s="112"/>
      <c r="N379" s="112"/>
      <c r="O379" s="112"/>
      <c r="P379" s="112"/>
      <c r="Q379" s="112"/>
      <c r="R379" s="112"/>
      <c r="S379" s="112"/>
      <c r="T379" s="112"/>
      <c r="U379" s="112"/>
      <c r="V379" s="112"/>
      <c r="W379" s="112"/>
      <c r="X379" s="112"/>
      <c r="Y379" s="112"/>
      <c r="Z379" s="112"/>
    </row>
    <row r="380" spans="1:26">
      <c r="A380" s="112"/>
      <c r="B380" s="112"/>
      <c r="C380" s="112"/>
      <c r="D380" s="112"/>
      <c r="E380" s="112"/>
      <c r="F380" s="112"/>
      <c r="G380" s="112"/>
      <c r="H380" s="112"/>
      <c r="I380" s="112"/>
      <c r="J380" s="112"/>
      <c r="K380" s="112"/>
      <c r="L380" s="112"/>
      <c r="M380" s="112"/>
      <c r="N380" s="112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2"/>
      <c r="Z380" s="112"/>
    </row>
    <row r="381" spans="1:26">
      <c r="A381" s="112"/>
      <c r="B381" s="112"/>
      <c r="C381" s="112"/>
      <c r="D381" s="112"/>
      <c r="E381" s="112"/>
      <c r="F381" s="112"/>
      <c r="G381" s="112"/>
      <c r="H381" s="112"/>
      <c r="I381" s="112"/>
      <c r="J381" s="112"/>
      <c r="K381" s="112"/>
      <c r="L381" s="112"/>
      <c r="M381" s="112"/>
      <c r="N381" s="112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  <c r="Z381" s="112"/>
    </row>
    <row r="382" spans="1:26">
      <c r="A382" s="112"/>
      <c r="B382" s="112"/>
      <c r="C382" s="112"/>
      <c r="D382" s="112"/>
      <c r="E382" s="112"/>
      <c r="F382" s="112"/>
      <c r="G382" s="112"/>
      <c r="H382" s="112"/>
      <c r="I382" s="112"/>
      <c r="J382" s="112"/>
      <c r="K382" s="112"/>
      <c r="L382" s="112"/>
      <c r="M382" s="112"/>
      <c r="N382" s="112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  <c r="Y382" s="112"/>
      <c r="Z382" s="112"/>
    </row>
    <row r="383" spans="1:26">
      <c r="A383" s="112"/>
      <c r="B383" s="112"/>
      <c r="C383" s="112"/>
      <c r="D383" s="112"/>
      <c r="E383" s="112"/>
      <c r="F383" s="112"/>
      <c r="G383" s="112"/>
      <c r="H383" s="112"/>
      <c r="I383" s="112"/>
      <c r="J383" s="112"/>
      <c r="K383" s="112"/>
      <c r="L383" s="112"/>
      <c r="M383" s="112"/>
      <c r="N383" s="112"/>
      <c r="O383" s="112"/>
      <c r="P383" s="112"/>
      <c r="Q383" s="112"/>
      <c r="R383" s="112"/>
      <c r="S383" s="112"/>
      <c r="T383" s="112"/>
      <c r="U383" s="112"/>
      <c r="V383" s="112"/>
      <c r="W383" s="112"/>
      <c r="X383" s="112"/>
      <c r="Y383" s="112"/>
      <c r="Z383" s="112"/>
    </row>
    <row r="384" spans="1:26">
      <c r="A384" s="112"/>
      <c r="B384" s="112"/>
      <c r="C384" s="112"/>
      <c r="D384" s="112"/>
      <c r="E384" s="112"/>
      <c r="F384" s="112"/>
      <c r="G384" s="112"/>
      <c r="H384" s="112"/>
      <c r="I384" s="112"/>
      <c r="J384" s="112"/>
      <c r="K384" s="112"/>
      <c r="L384" s="112"/>
      <c r="M384" s="112"/>
      <c r="N384" s="112"/>
      <c r="O384" s="112"/>
      <c r="P384" s="112"/>
      <c r="Q384" s="112"/>
      <c r="R384" s="112"/>
      <c r="S384" s="112"/>
      <c r="T384" s="112"/>
      <c r="U384" s="112"/>
      <c r="V384" s="112"/>
      <c r="W384" s="112"/>
      <c r="X384" s="112"/>
      <c r="Y384" s="112"/>
      <c r="Z384" s="112"/>
    </row>
    <row r="385" spans="1:26">
      <c r="A385" s="112"/>
      <c r="B385" s="112"/>
      <c r="C385" s="112"/>
      <c r="D385" s="112"/>
      <c r="E385" s="112"/>
      <c r="F385" s="112"/>
      <c r="G385" s="112"/>
      <c r="H385" s="112"/>
      <c r="I385" s="112"/>
      <c r="J385" s="112"/>
      <c r="K385" s="112"/>
      <c r="L385" s="112"/>
      <c r="M385" s="112"/>
      <c r="N385" s="112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  <c r="Y385" s="112"/>
      <c r="Z385" s="112"/>
    </row>
    <row r="386" spans="1:26">
      <c r="A386" s="112"/>
      <c r="B386" s="112"/>
      <c r="C386" s="112"/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  <c r="Y386" s="112"/>
      <c r="Z386" s="112"/>
    </row>
    <row r="387" spans="1:26">
      <c r="A387" s="112"/>
      <c r="B387" s="112"/>
      <c r="C387" s="112"/>
      <c r="D387" s="112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  <c r="Y387" s="112"/>
      <c r="Z387" s="112"/>
    </row>
    <row r="388" spans="1:26">
      <c r="A388" s="112"/>
      <c r="B388" s="112"/>
      <c r="C388" s="112"/>
      <c r="D388" s="112"/>
      <c r="E388" s="112"/>
      <c r="F388" s="112"/>
      <c r="G388" s="112"/>
      <c r="H388" s="112"/>
      <c r="I388" s="112"/>
      <c r="J388" s="112"/>
      <c r="K388" s="112"/>
      <c r="L388" s="112"/>
      <c r="M388" s="112"/>
      <c r="N388" s="112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  <c r="Y388" s="112"/>
      <c r="Z388" s="112"/>
    </row>
    <row r="389" spans="1:26">
      <c r="A389" s="112"/>
      <c r="B389" s="112"/>
      <c r="C389" s="112"/>
      <c r="D389" s="112"/>
      <c r="E389" s="112"/>
      <c r="F389" s="112"/>
      <c r="G389" s="112"/>
      <c r="H389" s="112"/>
      <c r="I389" s="112"/>
      <c r="J389" s="112"/>
      <c r="K389" s="112"/>
      <c r="L389" s="112"/>
      <c r="M389" s="112"/>
      <c r="N389" s="112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  <c r="Y389" s="112"/>
      <c r="Z389" s="112"/>
    </row>
    <row r="390" spans="1:26">
      <c r="A390" s="112"/>
      <c r="B390" s="112"/>
      <c r="C390" s="112"/>
      <c r="D390" s="112"/>
      <c r="E390" s="112"/>
      <c r="F390" s="112"/>
      <c r="G390" s="112"/>
      <c r="H390" s="112"/>
      <c r="I390" s="112"/>
      <c r="J390" s="112"/>
      <c r="K390" s="112"/>
      <c r="L390" s="112"/>
      <c r="M390" s="112"/>
      <c r="N390" s="112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  <c r="Y390" s="112"/>
      <c r="Z390" s="112"/>
    </row>
    <row r="391" spans="1:26">
      <c r="A391" s="112"/>
      <c r="B391" s="112"/>
      <c r="C391" s="112"/>
      <c r="D391" s="112"/>
      <c r="E391" s="112"/>
      <c r="F391" s="112"/>
      <c r="G391" s="112"/>
      <c r="H391" s="112"/>
      <c r="I391" s="112"/>
      <c r="J391" s="112"/>
      <c r="K391" s="112"/>
      <c r="L391" s="112"/>
      <c r="M391" s="112"/>
      <c r="N391" s="112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  <c r="Y391" s="112"/>
      <c r="Z391" s="112"/>
    </row>
    <row r="392" spans="1:26">
      <c r="A392" s="112"/>
      <c r="B392" s="112"/>
      <c r="C392" s="112"/>
      <c r="D392" s="112"/>
      <c r="E392" s="112"/>
      <c r="F392" s="112"/>
      <c r="G392" s="112"/>
      <c r="H392" s="112"/>
      <c r="I392" s="112"/>
      <c r="J392" s="112"/>
      <c r="K392" s="112"/>
      <c r="L392" s="112"/>
      <c r="M392" s="112"/>
      <c r="N392" s="112"/>
      <c r="O392" s="112"/>
      <c r="P392" s="112"/>
      <c r="Q392" s="112"/>
      <c r="R392" s="112"/>
      <c r="S392" s="112"/>
      <c r="T392" s="112"/>
      <c r="U392" s="112"/>
      <c r="V392" s="112"/>
      <c r="W392" s="112"/>
      <c r="X392" s="112"/>
      <c r="Y392" s="112"/>
      <c r="Z392" s="112"/>
    </row>
    <row r="393" spans="1:26">
      <c r="A393" s="112"/>
      <c r="B393" s="112"/>
      <c r="C393" s="112"/>
      <c r="D393" s="112"/>
      <c r="E393" s="112"/>
      <c r="F393" s="112"/>
      <c r="G393" s="112"/>
      <c r="H393" s="112"/>
      <c r="I393" s="112"/>
      <c r="J393" s="112"/>
      <c r="K393" s="112"/>
      <c r="L393" s="112"/>
      <c r="M393" s="112"/>
      <c r="N393" s="112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  <c r="Y393" s="112"/>
      <c r="Z393" s="112"/>
    </row>
    <row r="394" spans="1:26">
      <c r="A394" s="112"/>
      <c r="B394" s="112"/>
      <c r="C394" s="112"/>
      <c r="D394" s="112"/>
      <c r="E394" s="112"/>
      <c r="F394" s="112"/>
      <c r="G394" s="112"/>
      <c r="H394" s="112"/>
      <c r="I394" s="112"/>
      <c r="J394" s="112"/>
      <c r="K394" s="112"/>
      <c r="L394" s="112"/>
      <c r="M394" s="112"/>
      <c r="N394" s="112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  <c r="Y394" s="112"/>
      <c r="Z394" s="112"/>
    </row>
    <row r="395" spans="1:26">
      <c r="A395" s="112"/>
      <c r="B395" s="112"/>
      <c r="C395" s="112"/>
      <c r="D395" s="112"/>
      <c r="E395" s="112"/>
      <c r="F395" s="112"/>
      <c r="G395" s="112"/>
      <c r="H395" s="112"/>
      <c r="I395" s="112"/>
      <c r="J395" s="112"/>
      <c r="K395" s="112"/>
      <c r="L395" s="112"/>
      <c r="M395" s="112"/>
      <c r="N395" s="112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  <c r="Y395" s="112"/>
      <c r="Z395" s="112"/>
    </row>
    <row r="396" spans="1:26">
      <c r="A396" s="112"/>
      <c r="B396" s="112"/>
      <c r="C396" s="112"/>
      <c r="D396" s="112"/>
      <c r="E396" s="112"/>
      <c r="F396" s="112"/>
      <c r="G396" s="112"/>
      <c r="H396" s="112"/>
      <c r="I396" s="112"/>
      <c r="J396" s="112"/>
      <c r="K396" s="112"/>
      <c r="L396" s="112"/>
      <c r="M396" s="112"/>
      <c r="N396" s="112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  <c r="Y396" s="112"/>
      <c r="Z396" s="112"/>
    </row>
    <row r="397" spans="1:26">
      <c r="A397" s="112"/>
      <c r="B397" s="112"/>
      <c r="C397" s="112"/>
      <c r="D397" s="112"/>
      <c r="E397" s="112"/>
      <c r="F397" s="112"/>
      <c r="G397" s="112"/>
      <c r="H397" s="112"/>
      <c r="I397" s="112"/>
      <c r="J397" s="112"/>
      <c r="K397" s="112"/>
      <c r="L397" s="112"/>
      <c r="M397" s="112"/>
      <c r="N397" s="112"/>
      <c r="O397" s="112"/>
      <c r="P397" s="112"/>
      <c r="Q397" s="112"/>
      <c r="R397" s="112"/>
      <c r="S397" s="112"/>
      <c r="T397" s="112"/>
      <c r="U397" s="112"/>
      <c r="V397" s="112"/>
      <c r="W397" s="112"/>
      <c r="X397" s="112"/>
      <c r="Y397" s="112"/>
      <c r="Z397" s="112"/>
    </row>
    <row r="398" spans="1:26">
      <c r="A398" s="112"/>
      <c r="B398" s="112"/>
      <c r="C398" s="112"/>
      <c r="D398" s="112"/>
      <c r="E398" s="112"/>
      <c r="F398" s="112"/>
      <c r="G398" s="112"/>
      <c r="H398" s="112"/>
      <c r="I398" s="112"/>
      <c r="J398" s="112"/>
      <c r="K398" s="112"/>
      <c r="L398" s="112"/>
      <c r="M398" s="112"/>
      <c r="N398" s="112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  <c r="Y398" s="112"/>
      <c r="Z398" s="112"/>
    </row>
    <row r="399" spans="1:26">
      <c r="A399" s="112"/>
      <c r="B399" s="112"/>
      <c r="C399" s="112"/>
      <c r="D399" s="112"/>
      <c r="E399" s="112"/>
      <c r="F399" s="112"/>
      <c r="G399" s="112"/>
      <c r="H399" s="112"/>
      <c r="I399" s="112"/>
      <c r="J399" s="112"/>
      <c r="K399" s="112"/>
      <c r="L399" s="112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  <c r="Z399" s="112"/>
    </row>
    <row r="400" spans="1:26">
      <c r="A400" s="112"/>
      <c r="B400" s="112"/>
      <c r="C400" s="112"/>
      <c r="D400" s="112"/>
      <c r="E400" s="112"/>
      <c r="F400" s="112"/>
      <c r="G400" s="112"/>
      <c r="H400" s="112"/>
      <c r="I400" s="112"/>
      <c r="J400" s="112"/>
      <c r="K400" s="112"/>
      <c r="L400" s="112"/>
      <c r="M400" s="112"/>
      <c r="N400" s="112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112"/>
      <c r="Z400" s="112"/>
    </row>
    <row r="401" spans="1:26">
      <c r="A401" s="112"/>
      <c r="B401" s="112"/>
      <c r="C401" s="112"/>
      <c r="D401" s="112"/>
      <c r="E401" s="112"/>
      <c r="F401" s="112"/>
      <c r="G401" s="112"/>
      <c r="H401" s="112"/>
      <c r="I401" s="112"/>
      <c r="J401" s="112"/>
      <c r="K401" s="112"/>
      <c r="L401" s="112"/>
      <c r="M401" s="112"/>
      <c r="N401" s="112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  <c r="Y401" s="112"/>
      <c r="Z401" s="112"/>
    </row>
    <row r="402" spans="1:26">
      <c r="A402" s="112"/>
      <c r="B402" s="112"/>
      <c r="C402" s="112"/>
      <c r="D402" s="112"/>
      <c r="E402" s="112"/>
      <c r="F402" s="112"/>
      <c r="G402" s="112"/>
      <c r="H402" s="112"/>
      <c r="I402" s="112"/>
      <c r="J402" s="112"/>
      <c r="K402" s="112"/>
      <c r="L402" s="112"/>
      <c r="M402" s="112"/>
      <c r="N402" s="112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  <c r="Y402" s="112"/>
      <c r="Z402" s="112"/>
    </row>
    <row r="403" spans="1:26">
      <c r="A403" s="112"/>
      <c r="B403" s="112"/>
      <c r="C403" s="112"/>
      <c r="D403" s="112"/>
      <c r="E403" s="112"/>
      <c r="F403" s="112"/>
      <c r="G403" s="112"/>
      <c r="H403" s="112"/>
      <c r="I403" s="112"/>
      <c r="J403" s="112"/>
      <c r="K403" s="112"/>
      <c r="L403" s="112"/>
      <c r="M403" s="112"/>
      <c r="N403" s="112"/>
      <c r="O403" s="112"/>
      <c r="P403" s="112"/>
      <c r="Q403" s="112"/>
      <c r="R403" s="112"/>
      <c r="S403" s="112"/>
      <c r="T403" s="112"/>
      <c r="U403" s="112"/>
      <c r="V403" s="112"/>
      <c r="W403" s="112"/>
      <c r="X403" s="112"/>
      <c r="Y403" s="112"/>
      <c r="Z403" s="112"/>
    </row>
    <row r="404" spans="1:26">
      <c r="A404" s="112"/>
      <c r="B404" s="112"/>
      <c r="C404" s="112"/>
      <c r="D404" s="112"/>
      <c r="E404" s="112"/>
      <c r="F404" s="112"/>
      <c r="G404" s="112"/>
      <c r="H404" s="112"/>
      <c r="I404" s="112"/>
      <c r="J404" s="112"/>
      <c r="K404" s="112"/>
      <c r="L404" s="112"/>
      <c r="M404" s="112"/>
      <c r="N404" s="112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  <c r="Y404" s="112"/>
      <c r="Z404" s="112"/>
    </row>
    <row r="405" spans="1:26">
      <c r="A405" s="112"/>
      <c r="B405" s="112"/>
      <c r="C405" s="112"/>
      <c r="D405" s="112"/>
      <c r="E405" s="112"/>
      <c r="F405" s="112"/>
      <c r="G405" s="112"/>
      <c r="H405" s="112"/>
      <c r="I405" s="112"/>
      <c r="J405" s="112"/>
      <c r="K405" s="112"/>
      <c r="L405" s="112"/>
      <c r="M405" s="112"/>
      <c r="N405" s="112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  <c r="Y405" s="112"/>
      <c r="Z405" s="112"/>
    </row>
    <row r="406" spans="1:26">
      <c r="A406" s="112"/>
      <c r="B406" s="112"/>
      <c r="C406" s="112"/>
      <c r="D406" s="112"/>
      <c r="E406" s="112"/>
      <c r="F406" s="112"/>
      <c r="G406" s="112"/>
      <c r="H406" s="112"/>
      <c r="I406" s="112"/>
      <c r="J406" s="112"/>
      <c r="K406" s="112"/>
      <c r="L406" s="112"/>
      <c r="M406" s="112"/>
      <c r="N406" s="112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  <c r="Y406" s="112"/>
      <c r="Z406" s="112"/>
    </row>
    <row r="407" spans="1:26">
      <c r="A407" s="112"/>
      <c r="B407" s="112"/>
      <c r="C407" s="112"/>
      <c r="D407" s="112"/>
      <c r="E407" s="112"/>
      <c r="F407" s="112"/>
      <c r="G407" s="112"/>
      <c r="H407" s="112"/>
      <c r="I407" s="112"/>
      <c r="J407" s="112"/>
      <c r="K407" s="112"/>
      <c r="L407" s="112"/>
      <c r="M407" s="112"/>
      <c r="N407" s="112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  <c r="Y407" s="112"/>
      <c r="Z407" s="112"/>
    </row>
    <row r="408" spans="1:26">
      <c r="A408" s="112"/>
      <c r="B408" s="112"/>
      <c r="C408" s="112"/>
      <c r="D408" s="112"/>
      <c r="E408" s="112"/>
      <c r="F408" s="112"/>
      <c r="G408" s="112"/>
      <c r="H408" s="112"/>
      <c r="I408" s="112"/>
      <c r="J408" s="112"/>
      <c r="K408" s="112"/>
      <c r="L408" s="112"/>
      <c r="M408" s="112"/>
      <c r="N408" s="112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  <c r="Y408" s="112"/>
      <c r="Z408" s="112"/>
    </row>
    <row r="409" spans="1:26">
      <c r="A409" s="112"/>
      <c r="B409" s="112"/>
      <c r="C409" s="112"/>
      <c r="D409" s="112"/>
      <c r="E409" s="112"/>
      <c r="F409" s="112"/>
      <c r="G409" s="112"/>
      <c r="H409" s="112"/>
      <c r="I409" s="112"/>
      <c r="J409" s="112"/>
      <c r="K409" s="112"/>
      <c r="L409" s="112"/>
      <c r="M409" s="112"/>
      <c r="N409" s="112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  <c r="Y409" s="112"/>
      <c r="Z409" s="112"/>
    </row>
    <row r="410" spans="1:26">
      <c r="A410" s="112"/>
      <c r="B410" s="112"/>
      <c r="C410" s="112"/>
      <c r="D410" s="112"/>
      <c r="E410" s="112"/>
      <c r="F410" s="112"/>
      <c r="G410" s="112"/>
      <c r="H410" s="112"/>
      <c r="I410" s="112"/>
      <c r="J410" s="112"/>
      <c r="K410" s="112"/>
      <c r="L410" s="112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  <c r="Z410" s="112"/>
    </row>
    <row r="411" spans="1:26">
      <c r="A411" s="112"/>
      <c r="B411" s="112"/>
      <c r="C411" s="112"/>
      <c r="D411" s="112"/>
      <c r="E411" s="112"/>
      <c r="F411" s="112"/>
      <c r="G411" s="112"/>
      <c r="H411" s="112"/>
      <c r="I411" s="112"/>
      <c r="J411" s="112"/>
      <c r="K411" s="112"/>
      <c r="L411" s="112"/>
      <c r="M411" s="112"/>
      <c r="N411" s="112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  <c r="Y411" s="112"/>
      <c r="Z411" s="112"/>
    </row>
    <row r="412" spans="1:26">
      <c r="A412" s="112"/>
      <c r="B412" s="112"/>
      <c r="C412" s="112"/>
      <c r="D412" s="112"/>
      <c r="E412" s="112"/>
      <c r="F412" s="112"/>
      <c r="G412" s="112"/>
      <c r="H412" s="112"/>
      <c r="I412" s="112"/>
      <c r="J412" s="112"/>
      <c r="K412" s="112"/>
      <c r="L412" s="112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  <c r="Z412" s="112"/>
    </row>
    <row r="413" spans="1:26">
      <c r="A413" s="112"/>
      <c r="B413" s="112"/>
      <c r="C413" s="112"/>
      <c r="D413" s="112"/>
      <c r="E413" s="112"/>
      <c r="F413" s="112"/>
      <c r="G413" s="112"/>
      <c r="H413" s="112"/>
      <c r="I413" s="112"/>
      <c r="J413" s="112"/>
      <c r="K413" s="112"/>
      <c r="L413" s="112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  <c r="Z413" s="112"/>
    </row>
    <row r="414" spans="1:26">
      <c r="A414" s="112"/>
      <c r="B414" s="112"/>
      <c r="C414" s="112"/>
      <c r="D414" s="112"/>
      <c r="E414" s="112"/>
      <c r="F414" s="112"/>
      <c r="G414" s="112"/>
      <c r="H414" s="112"/>
      <c r="I414" s="112"/>
      <c r="J414" s="112"/>
      <c r="K414" s="112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  <c r="Z414" s="112"/>
    </row>
    <row r="415" spans="1:26">
      <c r="A415" s="112"/>
      <c r="B415" s="112"/>
      <c r="C415" s="112"/>
      <c r="D415" s="112"/>
      <c r="E415" s="112"/>
      <c r="F415" s="112"/>
      <c r="G415" s="112"/>
      <c r="H415" s="112"/>
      <c r="I415" s="112"/>
      <c r="J415" s="112"/>
      <c r="K415" s="112"/>
      <c r="L415" s="112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  <c r="Z415" s="112"/>
    </row>
    <row r="416" spans="1:26">
      <c r="A416" s="112"/>
      <c r="B416" s="112"/>
      <c r="C416" s="112"/>
      <c r="D416" s="112"/>
      <c r="E416" s="112"/>
      <c r="F416" s="112"/>
      <c r="G416" s="112"/>
      <c r="H416" s="112"/>
      <c r="I416" s="112"/>
      <c r="J416" s="112"/>
      <c r="K416" s="112"/>
      <c r="L416" s="112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  <c r="Z416" s="112"/>
    </row>
    <row r="417" spans="1:26">
      <c r="A417" s="112"/>
      <c r="B417" s="112"/>
      <c r="C417" s="112"/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  <c r="Y417" s="112"/>
      <c r="Z417" s="112"/>
    </row>
    <row r="418" spans="1:26">
      <c r="A418" s="112"/>
      <c r="B418" s="112"/>
      <c r="C418" s="112"/>
      <c r="D418" s="112"/>
      <c r="E418" s="112"/>
      <c r="F418" s="112"/>
      <c r="G418" s="112"/>
      <c r="H418" s="112"/>
      <c r="I418" s="112"/>
      <c r="J418" s="112"/>
      <c r="K418" s="112"/>
      <c r="L418" s="112"/>
      <c r="M418" s="112"/>
      <c r="N418" s="112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112"/>
      <c r="Z418" s="112"/>
    </row>
    <row r="419" spans="1:26">
      <c r="A419" s="112"/>
      <c r="B419" s="112"/>
      <c r="C419" s="112"/>
      <c r="D419" s="112"/>
      <c r="E419" s="112"/>
      <c r="F419" s="112"/>
      <c r="G419" s="112"/>
      <c r="H419" s="112"/>
      <c r="I419" s="112"/>
      <c r="J419" s="112"/>
      <c r="K419" s="112"/>
      <c r="L419" s="112"/>
      <c r="M419" s="112"/>
      <c r="N419" s="112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112"/>
      <c r="Z419" s="112"/>
    </row>
    <row r="420" spans="1:26">
      <c r="A420" s="112"/>
      <c r="B420" s="112"/>
      <c r="C420" s="112"/>
      <c r="D420" s="112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</row>
    <row r="421" spans="1:26">
      <c r="A421" s="112"/>
      <c r="B421" s="112"/>
      <c r="C421" s="112"/>
      <c r="D421" s="112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</row>
    <row r="422" spans="1:26">
      <c r="A422" s="112"/>
      <c r="B422" s="112"/>
      <c r="C422" s="112"/>
      <c r="D422" s="112"/>
      <c r="E422" s="112"/>
      <c r="F422" s="112"/>
      <c r="G422" s="112"/>
      <c r="H422" s="112"/>
      <c r="I422" s="112"/>
      <c r="J422" s="112"/>
      <c r="K422" s="112"/>
      <c r="L422" s="112"/>
      <c r="M422" s="112"/>
      <c r="N422" s="112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112"/>
      <c r="Z422" s="112"/>
    </row>
    <row r="423" spans="1:26">
      <c r="A423" s="112"/>
      <c r="B423" s="112"/>
      <c r="C423" s="112"/>
      <c r="D423" s="112"/>
      <c r="E423" s="112"/>
      <c r="F423" s="112"/>
      <c r="G423" s="112"/>
      <c r="H423" s="112"/>
      <c r="I423" s="112"/>
      <c r="J423" s="112"/>
      <c r="K423" s="112"/>
      <c r="L423" s="112"/>
      <c r="M423" s="112"/>
      <c r="N423" s="112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  <c r="Y423" s="112"/>
      <c r="Z423" s="112"/>
    </row>
    <row r="424" spans="1:26">
      <c r="A424" s="112"/>
      <c r="B424" s="112"/>
      <c r="C424" s="112"/>
      <c r="D424" s="112"/>
      <c r="E424" s="112"/>
      <c r="F424" s="112"/>
      <c r="G424" s="112"/>
      <c r="H424" s="112"/>
      <c r="I424" s="112"/>
      <c r="J424" s="112"/>
      <c r="K424" s="112"/>
      <c r="L424" s="112"/>
      <c r="M424" s="112"/>
      <c r="N424" s="112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  <c r="Y424" s="112"/>
      <c r="Z424" s="112"/>
    </row>
    <row r="425" spans="1:26">
      <c r="A425" s="112"/>
      <c r="B425" s="112"/>
      <c r="C425" s="112"/>
      <c r="D425" s="112"/>
      <c r="E425" s="112"/>
      <c r="F425" s="112"/>
      <c r="G425" s="112"/>
      <c r="H425" s="112"/>
      <c r="I425" s="112"/>
      <c r="J425" s="112"/>
      <c r="K425" s="112"/>
      <c r="L425" s="112"/>
      <c r="M425" s="112"/>
      <c r="N425" s="112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  <c r="Z425" s="112"/>
    </row>
    <row r="426" spans="1:26">
      <c r="A426" s="112"/>
      <c r="B426" s="112"/>
      <c r="C426" s="112"/>
      <c r="D426" s="112"/>
      <c r="E426" s="112"/>
      <c r="F426" s="112"/>
      <c r="G426" s="112"/>
      <c r="H426" s="112"/>
      <c r="I426" s="112"/>
      <c r="J426" s="112"/>
      <c r="K426" s="112"/>
      <c r="L426" s="112"/>
      <c r="M426" s="112"/>
      <c r="N426" s="112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  <c r="Y426" s="112"/>
      <c r="Z426" s="112"/>
    </row>
    <row r="427" spans="1:26">
      <c r="A427" s="112"/>
      <c r="B427" s="112"/>
      <c r="C427" s="112"/>
      <c r="D427" s="112"/>
      <c r="E427" s="112"/>
      <c r="F427" s="112"/>
      <c r="G427" s="112"/>
      <c r="H427" s="112"/>
      <c r="I427" s="112"/>
      <c r="J427" s="112"/>
      <c r="K427" s="112"/>
      <c r="L427" s="112"/>
      <c r="M427" s="112"/>
      <c r="N427" s="112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112"/>
      <c r="Z427" s="112"/>
    </row>
    <row r="428" spans="1:26">
      <c r="A428" s="112"/>
      <c r="B428" s="112"/>
      <c r="C428" s="112"/>
      <c r="D428" s="112"/>
      <c r="E428" s="112"/>
      <c r="F428" s="112"/>
      <c r="G428" s="112"/>
      <c r="H428" s="112"/>
      <c r="I428" s="112"/>
      <c r="J428" s="112"/>
      <c r="K428" s="112"/>
      <c r="L428" s="112"/>
      <c r="M428" s="112"/>
      <c r="N428" s="112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  <c r="Y428" s="112"/>
      <c r="Z428" s="112"/>
    </row>
    <row r="429" spans="1:26">
      <c r="A429" s="112"/>
      <c r="B429" s="112"/>
      <c r="C429" s="112"/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  <c r="Y429" s="112"/>
      <c r="Z429" s="112"/>
    </row>
    <row r="430" spans="1:26">
      <c r="A430" s="112"/>
      <c r="B430" s="112"/>
      <c r="C430" s="112"/>
      <c r="D430" s="112"/>
      <c r="E430" s="112"/>
      <c r="F430" s="112"/>
      <c r="G430" s="112"/>
      <c r="H430" s="112"/>
      <c r="I430" s="112"/>
      <c r="J430" s="112"/>
      <c r="K430" s="112"/>
      <c r="L430" s="112"/>
      <c r="M430" s="112"/>
      <c r="N430" s="112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112"/>
      <c r="Z430" s="112"/>
    </row>
    <row r="431" spans="1:26">
      <c r="A431" s="112"/>
      <c r="B431" s="112"/>
      <c r="C431" s="112"/>
      <c r="D431" s="112"/>
      <c r="E431" s="112"/>
      <c r="F431" s="112"/>
      <c r="G431" s="112"/>
      <c r="H431" s="112"/>
      <c r="I431" s="112"/>
      <c r="J431" s="112"/>
      <c r="K431" s="112"/>
      <c r="L431" s="112"/>
      <c r="M431" s="112"/>
      <c r="N431" s="112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  <c r="Y431" s="112"/>
      <c r="Z431" s="112"/>
    </row>
    <row r="432" spans="1:26">
      <c r="A432" s="112"/>
      <c r="B432" s="112"/>
      <c r="C432" s="112"/>
      <c r="D432" s="112"/>
      <c r="E432" s="112"/>
      <c r="F432" s="112"/>
      <c r="G432" s="112"/>
      <c r="H432" s="112"/>
      <c r="I432" s="112"/>
      <c r="J432" s="112"/>
      <c r="K432" s="112"/>
      <c r="L432" s="112"/>
      <c r="M432" s="112"/>
      <c r="N432" s="112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  <c r="Y432" s="112"/>
      <c r="Z432" s="112"/>
    </row>
    <row r="433" spans="1:26">
      <c r="A433" s="112"/>
      <c r="B433" s="112"/>
      <c r="C433" s="112"/>
      <c r="D433" s="112"/>
      <c r="E433" s="112"/>
      <c r="F433" s="112"/>
      <c r="G433" s="112"/>
      <c r="H433" s="112"/>
      <c r="I433" s="112"/>
      <c r="J433" s="112"/>
      <c r="K433" s="112"/>
      <c r="L433" s="112"/>
      <c r="M433" s="112"/>
      <c r="N433" s="112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  <c r="Y433" s="112"/>
      <c r="Z433" s="112"/>
    </row>
    <row r="434" spans="1:26">
      <c r="A434" s="112"/>
      <c r="B434" s="112"/>
      <c r="C434" s="112"/>
      <c r="D434" s="112"/>
      <c r="E434" s="112"/>
      <c r="F434" s="112"/>
      <c r="G434" s="112"/>
      <c r="H434" s="112"/>
      <c r="I434" s="112"/>
      <c r="J434" s="112"/>
      <c r="K434" s="112"/>
      <c r="L434" s="112"/>
      <c r="M434" s="112"/>
      <c r="N434" s="112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112"/>
      <c r="Z434" s="112"/>
    </row>
    <row r="435" spans="1:26">
      <c r="A435" s="112"/>
      <c r="B435" s="112"/>
      <c r="C435" s="112"/>
      <c r="D435" s="112"/>
      <c r="E435" s="112"/>
      <c r="F435" s="112"/>
      <c r="G435" s="112"/>
      <c r="H435" s="112"/>
      <c r="I435" s="112"/>
      <c r="J435" s="112"/>
      <c r="K435" s="112"/>
      <c r="L435" s="112"/>
      <c r="M435" s="112"/>
      <c r="N435" s="112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  <c r="Y435" s="112"/>
      <c r="Z435" s="112"/>
    </row>
    <row r="436" spans="1:26">
      <c r="A436" s="112"/>
      <c r="B436" s="112"/>
      <c r="C436" s="112"/>
      <c r="D436" s="112"/>
      <c r="E436" s="112"/>
      <c r="F436" s="112"/>
      <c r="G436" s="112"/>
      <c r="H436" s="112"/>
      <c r="I436" s="112"/>
      <c r="J436" s="112"/>
      <c r="K436" s="112"/>
      <c r="L436" s="112"/>
      <c r="M436" s="112"/>
      <c r="N436" s="112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  <c r="Y436" s="112"/>
      <c r="Z436" s="112"/>
    </row>
    <row r="437" spans="1:26">
      <c r="A437" s="112"/>
      <c r="B437" s="112"/>
      <c r="C437" s="112"/>
      <c r="D437" s="112"/>
      <c r="E437" s="112"/>
      <c r="F437" s="112"/>
      <c r="G437" s="112"/>
      <c r="H437" s="112"/>
      <c r="I437" s="112"/>
      <c r="J437" s="112"/>
      <c r="K437" s="112"/>
      <c r="L437" s="112"/>
      <c r="M437" s="112"/>
      <c r="N437" s="112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  <c r="Y437" s="112"/>
      <c r="Z437" s="112"/>
    </row>
    <row r="438" spans="1:26">
      <c r="A438" s="112"/>
      <c r="B438" s="112"/>
      <c r="C438" s="112"/>
      <c r="D438" s="112"/>
      <c r="E438" s="112"/>
      <c r="F438" s="112"/>
      <c r="G438" s="112"/>
      <c r="H438" s="112"/>
      <c r="I438" s="112"/>
      <c r="J438" s="112"/>
      <c r="K438" s="112"/>
      <c r="L438" s="112"/>
      <c r="M438" s="112"/>
      <c r="N438" s="112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  <c r="Y438" s="112"/>
      <c r="Z438" s="112"/>
    </row>
    <row r="439" spans="1:26">
      <c r="A439" s="112"/>
      <c r="B439" s="112"/>
      <c r="C439" s="112"/>
      <c r="D439" s="112"/>
      <c r="E439" s="112"/>
      <c r="F439" s="112"/>
      <c r="G439" s="112"/>
      <c r="H439" s="112"/>
      <c r="I439" s="112"/>
      <c r="J439" s="112"/>
      <c r="K439" s="112"/>
      <c r="L439" s="112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  <c r="Z439" s="112"/>
    </row>
    <row r="440" spans="1:26">
      <c r="A440" s="112"/>
      <c r="B440" s="112"/>
      <c r="C440" s="112"/>
      <c r="D440" s="112"/>
      <c r="E440" s="112"/>
      <c r="F440" s="112"/>
      <c r="G440" s="112"/>
      <c r="H440" s="112"/>
      <c r="I440" s="112"/>
      <c r="J440" s="112"/>
      <c r="K440" s="112"/>
      <c r="L440" s="112"/>
      <c r="M440" s="112"/>
      <c r="N440" s="112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  <c r="Y440" s="112"/>
      <c r="Z440" s="112"/>
    </row>
    <row r="441" spans="1:26">
      <c r="A441" s="112"/>
      <c r="B441" s="112"/>
      <c r="C441" s="112"/>
      <c r="D441" s="112"/>
      <c r="E441" s="112"/>
      <c r="F441" s="112"/>
      <c r="G441" s="112"/>
      <c r="H441" s="112"/>
      <c r="I441" s="112"/>
      <c r="J441" s="112"/>
      <c r="K441" s="112"/>
      <c r="L441" s="112"/>
      <c r="M441" s="112"/>
      <c r="N441" s="112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112"/>
      <c r="Z441" s="112"/>
    </row>
    <row r="442" spans="1:26">
      <c r="A442" s="112"/>
      <c r="B442" s="112"/>
      <c r="C442" s="112"/>
      <c r="D442" s="112"/>
      <c r="E442" s="112"/>
      <c r="F442" s="112"/>
      <c r="G442" s="112"/>
      <c r="H442" s="112"/>
      <c r="I442" s="112"/>
      <c r="J442" s="112"/>
      <c r="K442" s="112"/>
      <c r="L442" s="112"/>
      <c r="M442" s="112"/>
      <c r="N442" s="112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  <c r="Y442" s="112"/>
      <c r="Z442" s="112"/>
    </row>
    <row r="443" spans="1:26">
      <c r="A443" s="112"/>
      <c r="B443" s="112"/>
      <c r="C443" s="112"/>
      <c r="D443" s="112"/>
      <c r="E443" s="112"/>
      <c r="F443" s="112"/>
      <c r="G443" s="112"/>
      <c r="H443" s="112"/>
      <c r="I443" s="112"/>
      <c r="J443" s="112"/>
      <c r="K443" s="112"/>
      <c r="L443" s="112"/>
      <c r="M443" s="112"/>
      <c r="N443" s="112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  <c r="Y443" s="112"/>
      <c r="Z443" s="112"/>
    </row>
    <row r="444" spans="1:26">
      <c r="A444" s="112"/>
      <c r="B444" s="112"/>
      <c r="C444" s="112"/>
      <c r="D444" s="112"/>
      <c r="E444" s="112"/>
      <c r="F444" s="112"/>
      <c r="G444" s="112"/>
      <c r="H444" s="112"/>
      <c r="I444" s="112"/>
      <c r="J444" s="112"/>
      <c r="K444" s="112"/>
      <c r="L444" s="112"/>
      <c r="M444" s="112"/>
      <c r="N444" s="112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112"/>
      <c r="Z444" s="112"/>
    </row>
    <row r="445" spans="1:26">
      <c r="A445" s="112"/>
      <c r="B445" s="112"/>
      <c r="C445" s="112"/>
      <c r="D445" s="112"/>
      <c r="E445" s="112"/>
      <c r="F445" s="112"/>
      <c r="G445" s="112"/>
      <c r="H445" s="112"/>
      <c r="I445" s="112"/>
      <c r="J445" s="112"/>
      <c r="K445" s="112"/>
      <c r="L445" s="112"/>
      <c r="M445" s="112"/>
      <c r="N445" s="112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  <c r="Y445" s="112"/>
      <c r="Z445" s="112"/>
    </row>
    <row r="446" spans="1:26">
      <c r="A446" s="112"/>
      <c r="B446" s="112"/>
      <c r="C446" s="112"/>
      <c r="D446" s="112"/>
      <c r="E446" s="112"/>
      <c r="F446" s="112"/>
      <c r="G446" s="112"/>
      <c r="H446" s="112"/>
      <c r="I446" s="112"/>
      <c r="J446" s="112"/>
      <c r="K446" s="112"/>
      <c r="L446" s="112"/>
      <c r="M446" s="112"/>
      <c r="N446" s="112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  <c r="Y446" s="112"/>
      <c r="Z446" s="112"/>
    </row>
    <row r="447" spans="1:26">
      <c r="A447" s="112"/>
      <c r="B447" s="112"/>
      <c r="C447" s="112"/>
      <c r="D447" s="112"/>
      <c r="E447" s="112"/>
      <c r="F447" s="112"/>
      <c r="G447" s="112"/>
      <c r="H447" s="112"/>
      <c r="I447" s="112"/>
      <c r="J447" s="112"/>
      <c r="K447" s="112"/>
      <c r="L447" s="112"/>
      <c r="M447" s="112"/>
      <c r="N447" s="112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112"/>
      <c r="Z447" s="112"/>
    </row>
    <row r="448" spans="1:26">
      <c r="A448" s="112"/>
      <c r="B448" s="112"/>
      <c r="C448" s="112"/>
      <c r="D448" s="112"/>
      <c r="E448" s="112"/>
      <c r="F448" s="112"/>
      <c r="G448" s="112"/>
      <c r="H448" s="112"/>
      <c r="I448" s="112"/>
      <c r="J448" s="112"/>
      <c r="K448" s="112"/>
      <c r="L448" s="112"/>
      <c r="M448" s="112"/>
      <c r="N448" s="112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  <c r="Y448" s="112"/>
      <c r="Z448" s="112"/>
    </row>
    <row r="449" spans="1:26">
      <c r="A449" s="112"/>
      <c r="B449" s="112"/>
      <c r="C449" s="112"/>
      <c r="D449" s="112"/>
      <c r="E449" s="112"/>
      <c r="F449" s="112"/>
      <c r="G449" s="112"/>
      <c r="H449" s="112"/>
      <c r="I449" s="112"/>
      <c r="J449" s="112"/>
      <c r="K449" s="112"/>
      <c r="L449" s="112"/>
      <c r="M449" s="112"/>
      <c r="N449" s="112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  <c r="Y449" s="112"/>
      <c r="Z449" s="112"/>
    </row>
    <row r="450" spans="1:26">
      <c r="A450" s="112"/>
      <c r="B450" s="112"/>
      <c r="C450" s="112"/>
      <c r="D450" s="112"/>
      <c r="E450" s="112"/>
      <c r="F450" s="112"/>
      <c r="G450" s="112"/>
      <c r="H450" s="112"/>
      <c r="I450" s="112"/>
      <c r="J450" s="112"/>
      <c r="K450" s="112"/>
      <c r="L450" s="112"/>
      <c r="M450" s="112"/>
      <c r="N450" s="112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112"/>
      <c r="Z450" s="112"/>
    </row>
    <row r="451" spans="1:26">
      <c r="A451" s="112"/>
      <c r="B451" s="112"/>
      <c r="C451" s="112"/>
      <c r="D451" s="112"/>
      <c r="E451" s="112"/>
      <c r="F451" s="112"/>
      <c r="G451" s="112"/>
      <c r="H451" s="112"/>
      <c r="I451" s="112"/>
      <c r="J451" s="112"/>
      <c r="K451" s="112"/>
      <c r="L451" s="112"/>
      <c r="M451" s="112"/>
      <c r="N451" s="112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  <c r="Y451" s="112"/>
      <c r="Z451" s="112"/>
    </row>
    <row r="452" spans="1:26">
      <c r="A452" s="112"/>
      <c r="B452" s="112"/>
      <c r="C452" s="112"/>
      <c r="D452" s="112"/>
      <c r="E452" s="112"/>
      <c r="F452" s="112"/>
      <c r="G452" s="112"/>
      <c r="H452" s="112"/>
      <c r="I452" s="112"/>
      <c r="J452" s="112"/>
      <c r="K452" s="112"/>
      <c r="L452" s="112"/>
      <c r="M452" s="112"/>
      <c r="N452" s="112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112"/>
      <c r="Z452" s="112"/>
    </row>
    <row r="453" spans="1:26">
      <c r="A453" s="112"/>
      <c r="B453" s="112"/>
      <c r="C453" s="112"/>
      <c r="D453" s="112"/>
      <c r="E453" s="112"/>
      <c r="F453" s="112"/>
      <c r="G453" s="112"/>
      <c r="H453" s="112"/>
      <c r="I453" s="112"/>
      <c r="J453" s="112"/>
      <c r="K453" s="112"/>
      <c r="L453" s="112"/>
      <c r="M453" s="112"/>
      <c r="N453" s="112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112"/>
      <c r="Z453" s="112"/>
    </row>
    <row r="454" spans="1:26">
      <c r="A454" s="112"/>
      <c r="B454" s="112"/>
      <c r="C454" s="112"/>
      <c r="D454" s="112"/>
      <c r="E454" s="112"/>
      <c r="F454" s="112"/>
      <c r="G454" s="112"/>
      <c r="H454" s="112"/>
      <c r="I454" s="112"/>
      <c r="J454" s="112"/>
      <c r="K454" s="112"/>
      <c r="L454" s="112"/>
      <c r="M454" s="112"/>
      <c r="N454" s="112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  <c r="Y454" s="112"/>
      <c r="Z454" s="112"/>
    </row>
    <row r="455" spans="1:26">
      <c r="A455" s="112"/>
      <c r="B455" s="112"/>
      <c r="C455" s="112"/>
      <c r="D455" s="112"/>
      <c r="E455" s="112"/>
      <c r="F455" s="112"/>
      <c r="G455" s="112"/>
      <c r="H455" s="112"/>
      <c r="I455" s="112"/>
      <c r="J455" s="112"/>
      <c r="K455" s="112"/>
      <c r="L455" s="112"/>
      <c r="M455" s="112"/>
      <c r="N455" s="112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  <c r="Y455" s="112"/>
      <c r="Z455" s="112"/>
    </row>
    <row r="456" spans="1:26">
      <c r="A456" s="112"/>
      <c r="B456" s="112"/>
      <c r="C456" s="112"/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  <c r="Y456" s="112"/>
      <c r="Z456" s="112"/>
    </row>
    <row r="457" spans="1:26">
      <c r="A457" s="112"/>
      <c r="B457" s="112"/>
      <c r="C457" s="112"/>
      <c r="D457" s="112"/>
      <c r="E457" s="112"/>
      <c r="F457" s="112"/>
      <c r="G457" s="112"/>
      <c r="H457" s="112"/>
      <c r="I457" s="112"/>
      <c r="J457" s="112"/>
      <c r="K457" s="112"/>
      <c r="L457" s="112"/>
      <c r="M457" s="112"/>
      <c r="N457" s="112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112"/>
      <c r="Z457" s="112"/>
    </row>
    <row r="458" spans="1:26">
      <c r="A458" s="112"/>
      <c r="B458" s="112"/>
      <c r="C458" s="112"/>
      <c r="D458" s="112"/>
      <c r="E458" s="112"/>
      <c r="F458" s="112"/>
      <c r="G458" s="112"/>
      <c r="H458" s="112"/>
      <c r="I458" s="112"/>
      <c r="J458" s="112"/>
      <c r="K458" s="112"/>
      <c r="L458" s="112"/>
      <c r="M458" s="112"/>
      <c r="N458" s="112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  <c r="Y458" s="112"/>
      <c r="Z458" s="112"/>
    </row>
    <row r="459" spans="1:26">
      <c r="A459" s="112"/>
      <c r="B459" s="112"/>
      <c r="C459" s="112"/>
      <c r="D459" s="112"/>
      <c r="E459" s="112"/>
      <c r="F459" s="112"/>
      <c r="G459" s="112"/>
      <c r="H459" s="112"/>
      <c r="I459" s="112"/>
      <c r="J459" s="112"/>
      <c r="K459" s="112"/>
      <c r="L459" s="112"/>
      <c r="M459" s="112"/>
      <c r="N459" s="112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112"/>
      <c r="Z459" s="112"/>
    </row>
    <row r="460" spans="1:26">
      <c r="A460" s="112"/>
      <c r="B460" s="112"/>
      <c r="C460" s="112"/>
      <c r="D460" s="112"/>
      <c r="E460" s="112"/>
      <c r="F460" s="112"/>
      <c r="G460" s="112"/>
      <c r="H460" s="112"/>
      <c r="I460" s="112"/>
      <c r="J460" s="112"/>
      <c r="K460" s="112"/>
      <c r="L460" s="112"/>
      <c r="M460" s="112"/>
      <c r="N460" s="112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  <c r="Y460" s="112"/>
      <c r="Z460" s="112"/>
    </row>
    <row r="461" spans="1:26">
      <c r="A461" s="112"/>
      <c r="B461" s="112"/>
      <c r="C461" s="112"/>
      <c r="D461" s="112"/>
      <c r="E461" s="112"/>
      <c r="F461" s="112"/>
      <c r="G461" s="112"/>
      <c r="H461" s="112"/>
      <c r="I461" s="112"/>
      <c r="J461" s="112"/>
      <c r="K461" s="112"/>
      <c r="L461" s="112"/>
      <c r="M461" s="112"/>
      <c r="N461" s="112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112"/>
      <c r="Z461" s="112"/>
    </row>
    <row r="462" spans="1:26">
      <c r="A462" s="112"/>
      <c r="B462" s="112"/>
      <c r="C462" s="112"/>
      <c r="D462" s="112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</row>
    <row r="463" spans="1:26">
      <c r="A463" s="112"/>
      <c r="B463" s="112"/>
      <c r="C463" s="112"/>
      <c r="D463" s="112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</row>
    <row r="464" spans="1:26">
      <c r="A464" s="112"/>
      <c r="B464" s="112"/>
      <c r="C464" s="112"/>
      <c r="D464" s="112"/>
      <c r="E464" s="112"/>
      <c r="F464" s="112"/>
      <c r="G464" s="112"/>
      <c r="H464" s="112"/>
      <c r="I464" s="112"/>
      <c r="J464" s="112"/>
      <c r="K464" s="112"/>
      <c r="L464" s="112"/>
      <c r="M464" s="112"/>
      <c r="N464" s="112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  <c r="Y464" s="112"/>
      <c r="Z464" s="112"/>
    </row>
    <row r="465" spans="1:26">
      <c r="A465" s="112"/>
      <c r="B465" s="112"/>
      <c r="C465" s="112"/>
      <c r="D465" s="112"/>
      <c r="E465" s="112"/>
      <c r="F465" s="112"/>
      <c r="G465" s="112"/>
      <c r="H465" s="112"/>
      <c r="I465" s="112"/>
      <c r="J465" s="112"/>
      <c r="K465" s="112"/>
      <c r="L465" s="112"/>
      <c r="M465" s="112"/>
      <c r="N465" s="112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  <c r="Y465" s="112"/>
      <c r="Z465" s="112"/>
    </row>
    <row r="466" spans="1:26">
      <c r="A466" s="112"/>
      <c r="B466" s="112"/>
      <c r="C466" s="112"/>
      <c r="D466" s="112"/>
      <c r="E466" s="112"/>
      <c r="F466" s="112"/>
      <c r="G466" s="112"/>
      <c r="H466" s="112"/>
      <c r="I466" s="112"/>
      <c r="J466" s="112"/>
      <c r="K466" s="112"/>
      <c r="L466" s="112"/>
      <c r="M466" s="112"/>
      <c r="N466" s="112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  <c r="Y466" s="112"/>
      <c r="Z466" s="112"/>
    </row>
    <row r="467" spans="1:26">
      <c r="A467" s="112"/>
      <c r="B467" s="112"/>
      <c r="C467" s="112"/>
      <c r="D467" s="112"/>
      <c r="E467" s="112"/>
      <c r="F467" s="112"/>
      <c r="G467" s="112"/>
      <c r="H467" s="112"/>
      <c r="I467" s="112"/>
      <c r="J467" s="112"/>
      <c r="K467" s="112"/>
      <c r="L467" s="112"/>
      <c r="M467" s="112"/>
      <c r="N467" s="112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  <c r="Y467" s="112"/>
      <c r="Z467" s="112"/>
    </row>
    <row r="468" spans="1:26">
      <c r="A468" s="112"/>
      <c r="B468" s="112"/>
      <c r="C468" s="112"/>
      <c r="D468" s="112"/>
      <c r="E468" s="112"/>
      <c r="F468" s="112"/>
      <c r="G468" s="112"/>
      <c r="H468" s="112"/>
      <c r="I468" s="112"/>
      <c r="J468" s="112"/>
      <c r="K468" s="112"/>
      <c r="L468" s="112"/>
      <c r="M468" s="112"/>
      <c r="N468" s="112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112"/>
      <c r="Z468" s="112"/>
    </row>
    <row r="469" spans="1:26">
      <c r="A469" s="112"/>
      <c r="B469" s="112"/>
      <c r="C469" s="112"/>
      <c r="D469" s="112"/>
      <c r="E469" s="112"/>
      <c r="F469" s="112"/>
      <c r="G469" s="112"/>
      <c r="H469" s="112"/>
      <c r="I469" s="112"/>
      <c r="J469" s="112"/>
      <c r="K469" s="112"/>
      <c r="L469" s="112"/>
      <c r="M469" s="112"/>
      <c r="N469" s="112"/>
      <c r="O469" s="112"/>
      <c r="P469" s="112"/>
      <c r="Q469" s="112"/>
      <c r="R469" s="112"/>
      <c r="S469" s="112"/>
      <c r="T469" s="112"/>
      <c r="U469" s="112"/>
      <c r="V469" s="112"/>
      <c r="W469" s="112"/>
      <c r="X469" s="112"/>
      <c r="Y469" s="112"/>
      <c r="Z469" s="112"/>
    </row>
    <row r="470" spans="1:26">
      <c r="A470" s="112"/>
      <c r="B470" s="112"/>
      <c r="C470" s="112"/>
      <c r="D470" s="112"/>
      <c r="E470" s="112"/>
      <c r="F470" s="112"/>
      <c r="G470" s="112"/>
      <c r="H470" s="112"/>
      <c r="I470" s="112"/>
      <c r="J470" s="112"/>
      <c r="K470" s="112"/>
      <c r="L470" s="112"/>
      <c r="M470" s="112"/>
      <c r="N470" s="112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  <c r="Y470" s="112"/>
      <c r="Z470" s="112"/>
    </row>
    <row r="471" spans="1:26">
      <c r="A471" s="112"/>
      <c r="B471" s="112"/>
      <c r="C471" s="112"/>
      <c r="D471" s="112"/>
      <c r="E471" s="112"/>
      <c r="F471" s="112"/>
      <c r="G471" s="112"/>
      <c r="H471" s="112"/>
      <c r="I471" s="112"/>
      <c r="J471" s="112"/>
      <c r="K471" s="112"/>
      <c r="L471" s="112"/>
      <c r="M471" s="112"/>
      <c r="N471" s="112"/>
      <c r="O471" s="112"/>
      <c r="P471" s="112"/>
      <c r="Q471" s="112"/>
      <c r="R471" s="112"/>
      <c r="S471" s="112"/>
      <c r="T471" s="112"/>
      <c r="U471" s="112"/>
      <c r="V471" s="112"/>
      <c r="W471" s="112"/>
      <c r="X471" s="112"/>
      <c r="Y471" s="112"/>
      <c r="Z471" s="112"/>
    </row>
    <row r="472" spans="1:26">
      <c r="A472" s="112"/>
      <c r="B472" s="112"/>
      <c r="C472" s="112"/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  <c r="Q472" s="112"/>
      <c r="R472" s="112"/>
      <c r="S472" s="112"/>
      <c r="T472" s="112"/>
      <c r="U472" s="112"/>
      <c r="V472" s="112"/>
      <c r="W472" s="112"/>
      <c r="X472" s="112"/>
      <c r="Y472" s="112"/>
      <c r="Z472" s="112"/>
    </row>
    <row r="473" spans="1:26">
      <c r="A473" s="112"/>
      <c r="B473" s="112"/>
      <c r="C473" s="112"/>
      <c r="D473" s="112"/>
      <c r="E473" s="112"/>
      <c r="F473" s="112"/>
      <c r="G473" s="112"/>
      <c r="H473" s="112"/>
      <c r="I473" s="112"/>
      <c r="J473" s="112"/>
      <c r="K473" s="112"/>
      <c r="L473" s="112"/>
      <c r="M473" s="112"/>
      <c r="N473" s="112"/>
      <c r="O473" s="112"/>
      <c r="P473" s="112"/>
      <c r="Q473" s="112"/>
      <c r="R473" s="112"/>
      <c r="S473" s="112"/>
      <c r="T473" s="112"/>
      <c r="U473" s="112"/>
      <c r="V473" s="112"/>
      <c r="W473" s="112"/>
      <c r="X473" s="112"/>
      <c r="Y473" s="112"/>
      <c r="Z473" s="112"/>
    </row>
    <row r="474" spans="1:26">
      <c r="A474" s="112"/>
      <c r="B474" s="112"/>
      <c r="C474" s="112"/>
      <c r="D474" s="112"/>
      <c r="E474" s="112"/>
      <c r="F474" s="112"/>
      <c r="G474" s="112"/>
      <c r="H474" s="112"/>
      <c r="I474" s="112"/>
      <c r="J474" s="112"/>
      <c r="K474" s="112"/>
      <c r="L474" s="112"/>
      <c r="M474" s="112"/>
      <c r="N474" s="112"/>
      <c r="O474" s="112"/>
      <c r="P474" s="112"/>
      <c r="Q474" s="112"/>
      <c r="R474" s="112"/>
      <c r="S474" s="112"/>
      <c r="T474" s="112"/>
      <c r="U474" s="112"/>
      <c r="V474" s="112"/>
      <c r="W474" s="112"/>
      <c r="X474" s="112"/>
      <c r="Y474" s="112"/>
      <c r="Z474" s="112"/>
    </row>
    <row r="475" spans="1:26">
      <c r="A475" s="112"/>
      <c r="B475" s="112"/>
      <c r="C475" s="112"/>
      <c r="D475" s="112"/>
      <c r="E475" s="112"/>
      <c r="F475" s="112"/>
      <c r="G475" s="112"/>
      <c r="H475" s="112"/>
      <c r="I475" s="112"/>
      <c r="J475" s="112"/>
      <c r="K475" s="112"/>
      <c r="L475" s="112"/>
      <c r="M475" s="112"/>
      <c r="N475" s="112"/>
      <c r="O475" s="112"/>
      <c r="P475" s="112"/>
      <c r="Q475" s="112"/>
      <c r="R475" s="112"/>
      <c r="S475" s="112"/>
      <c r="T475" s="112"/>
      <c r="U475" s="112"/>
      <c r="V475" s="112"/>
      <c r="W475" s="112"/>
      <c r="X475" s="112"/>
      <c r="Y475" s="112"/>
      <c r="Z475" s="112"/>
    </row>
    <row r="476" spans="1:26">
      <c r="A476" s="112"/>
      <c r="B476" s="112"/>
      <c r="C476" s="112"/>
      <c r="D476" s="112"/>
      <c r="E476" s="112"/>
      <c r="F476" s="112"/>
      <c r="G476" s="112"/>
      <c r="H476" s="112"/>
      <c r="I476" s="112"/>
      <c r="J476" s="112"/>
      <c r="K476" s="112"/>
      <c r="L476" s="112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  <c r="Z476" s="112"/>
    </row>
    <row r="477" spans="1:26">
      <c r="A477" s="112"/>
      <c r="B477" s="112"/>
      <c r="C477" s="112"/>
      <c r="D477" s="112"/>
      <c r="E477" s="112"/>
      <c r="F477" s="112"/>
      <c r="G477" s="112"/>
      <c r="H477" s="112"/>
      <c r="I477" s="112"/>
      <c r="J477" s="112"/>
      <c r="K477" s="112"/>
      <c r="L477" s="112"/>
      <c r="M477" s="112"/>
      <c r="N477" s="112"/>
      <c r="O477" s="112"/>
      <c r="P477" s="112"/>
      <c r="Q477" s="112"/>
      <c r="R477" s="112"/>
      <c r="S477" s="112"/>
      <c r="T477" s="112"/>
      <c r="U477" s="112"/>
      <c r="V477" s="112"/>
      <c r="W477" s="112"/>
      <c r="X477" s="112"/>
      <c r="Y477" s="112"/>
      <c r="Z477" s="112"/>
    </row>
    <row r="478" spans="1:26">
      <c r="A478" s="112"/>
      <c r="B478" s="112"/>
      <c r="C478" s="112"/>
      <c r="D478" s="112"/>
      <c r="E478" s="112"/>
      <c r="F478" s="112"/>
      <c r="G478" s="112"/>
      <c r="H478" s="112"/>
      <c r="I478" s="112"/>
      <c r="J478" s="112"/>
      <c r="K478" s="112"/>
      <c r="L478" s="112"/>
      <c r="M478" s="112"/>
      <c r="N478" s="112"/>
      <c r="O478" s="112"/>
      <c r="P478" s="112"/>
      <c r="Q478" s="112"/>
      <c r="R478" s="112"/>
      <c r="S478" s="112"/>
      <c r="T478" s="112"/>
      <c r="U478" s="112"/>
      <c r="V478" s="112"/>
      <c r="W478" s="112"/>
      <c r="X478" s="112"/>
      <c r="Y478" s="112"/>
      <c r="Z478" s="112"/>
    </row>
    <row r="479" spans="1:26">
      <c r="A479" s="112"/>
      <c r="B479" s="112"/>
      <c r="C479" s="112"/>
      <c r="D479" s="112"/>
      <c r="E479" s="112"/>
      <c r="F479" s="112"/>
      <c r="G479" s="112"/>
      <c r="H479" s="112"/>
      <c r="I479" s="112"/>
      <c r="J479" s="112"/>
      <c r="K479" s="112"/>
      <c r="L479" s="112"/>
      <c r="M479" s="112"/>
      <c r="N479" s="112"/>
      <c r="O479" s="112"/>
      <c r="P479" s="112"/>
      <c r="Q479" s="112"/>
      <c r="R479" s="112"/>
      <c r="S479" s="112"/>
      <c r="T479" s="112"/>
      <c r="U479" s="112"/>
      <c r="V479" s="112"/>
      <c r="W479" s="112"/>
      <c r="X479" s="112"/>
      <c r="Y479" s="112"/>
      <c r="Z479" s="112"/>
    </row>
    <row r="480" spans="1:26">
      <c r="A480" s="112"/>
      <c r="B480" s="112"/>
      <c r="C480" s="112"/>
      <c r="D480" s="112"/>
      <c r="E480" s="112"/>
      <c r="F480" s="112"/>
      <c r="G480" s="112"/>
      <c r="H480" s="112"/>
      <c r="I480" s="112"/>
      <c r="J480" s="112"/>
      <c r="K480" s="112"/>
      <c r="L480" s="112"/>
      <c r="M480" s="112"/>
      <c r="N480" s="112"/>
      <c r="O480" s="112"/>
      <c r="P480" s="112"/>
      <c r="Q480" s="112"/>
      <c r="R480" s="112"/>
      <c r="S480" s="112"/>
      <c r="T480" s="112"/>
      <c r="U480" s="112"/>
      <c r="V480" s="112"/>
      <c r="W480" s="112"/>
      <c r="X480" s="112"/>
      <c r="Y480" s="112"/>
      <c r="Z480" s="112"/>
    </row>
    <row r="481" spans="1:26">
      <c r="A481" s="112"/>
      <c r="B481" s="112"/>
      <c r="C481" s="112"/>
      <c r="D481" s="112"/>
      <c r="E481" s="112"/>
      <c r="F481" s="112"/>
      <c r="G481" s="112"/>
      <c r="H481" s="112"/>
      <c r="I481" s="112"/>
      <c r="J481" s="112"/>
      <c r="K481" s="112"/>
      <c r="L481" s="112"/>
      <c r="M481" s="112"/>
      <c r="N481" s="112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  <c r="Y481" s="112"/>
      <c r="Z481" s="112"/>
    </row>
    <row r="482" spans="1:26">
      <c r="A482" s="112"/>
      <c r="B482" s="112"/>
      <c r="C482" s="112"/>
      <c r="D482" s="112"/>
      <c r="E482" s="112"/>
      <c r="F482" s="112"/>
      <c r="G482" s="112"/>
      <c r="H482" s="112"/>
      <c r="I482" s="112"/>
      <c r="J482" s="112"/>
      <c r="K482" s="112"/>
      <c r="L482" s="112"/>
      <c r="M482" s="112"/>
      <c r="N482" s="112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  <c r="Y482" s="112"/>
      <c r="Z482" s="112"/>
    </row>
    <row r="483" spans="1:26">
      <c r="A483" s="112"/>
      <c r="B483" s="112"/>
      <c r="C483" s="112"/>
      <c r="D483" s="112"/>
      <c r="E483" s="112"/>
      <c r="F483" s="112"/>
      <c r="G483" s="112"/>
      <c r="H483" s="112"/>
      <c r="I483" s="112"/>
      <c r="J483" s="112"/>
      <c r="K483" s="112"/>
      <c r="L483" s="112"/>
      <c r="M483" s="112"/>
      <c r="N483" s="112"/>
      <c r="O483" s="112"/>
      <c r="P483" s="112"/>
      <c r="Q483" s="112"/>
      <c r="R483" s="112"/>
      <c r="S483" s="112"/>
      <c r="T483" s="112"/>
      <c r="U483" s="112"/>
      <c r="V483" s="112"/>
      <c r="W483" s="112"/>
      <c r="X483" s="112"/>
      <c r="Y483" s="112"/>
      <c r="Z483" s="112"/>
    </row>
    <row r="484" spans="1:26">
      <c r="A484" s="112"/>
      <c r="B484" s="112"/>
      <c r="C484" s="112"/>
      <c r="D484" s="112"/>
      <c r="E484" s="112"/>
      <c r="F484" s="112"/>
      <c r="G484" s="112"/>
      <c r="H484" s="112"/>
      <c r="I484" s="112"/>
      <c r="J484" s="112"/>
      <c r="K484" s="112"/>
      <c r="L484" s="112"/>
      <c r="M484" s="112"/>
      <c r="N484" s="112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  <c r="Y484" s="112"/>
      <c r="Z484" s="112"/>
    </row>
    <row r="485" spans="1:26">
      <c r="A485" s="112"/>
      <c r="B485" s="112"/>
      <c r="C485" s="112"/>
      <c r="D485" s="112"/>
      <c r="E485" s="112"/>
      <c r="F485" s="112"/>
      <c r="G485" s="112"/>
      <c r="H485" s="112"/>
      <c r="I485" s="112"/>
      <c r="J485" s="112"/>
      <c r="K485" s="112"/>
      <c r="L485" s="112"/>
      <c r="M485" s="112"/>
      <c r="N485" s="112"/>
      <c r="O485" s="112"/>
      <c r="P485" s="112"/>
      <c r="Q485" s="112"/>
      <c r="R485" s="112"/>
      <c r="S485" s="112"/>
      <c r="T485" s="112"/>
      <c r="U485" s="112"/>
      <c r="V485" s="112"/>
      <c r="W485" s="112"/>
      <c r="X485" s="112"/>
      <c r="Y485" s="112"/>
      <c r="Z485" s="112"/>
    </row>
    <row r="486" spans="1:26">
      <c r="A486" s="112"/>
      <c r="B486" s="112"/>
      <c r="C486" s="112"/>
      <c r="D486" s="112"/>
      <c r="E486" s="112"/>
      <c r="F486" s="112"/>
      <c r="G486" s="112"/>
      <c r="H486" s="112"/>
      <c r="I486" s="112"/>
      <c r="J486" s="112"/>
      <c r="K486" s="112"/>
      <c r="L486" s="112"/>
      <c r="M486" s="112"/>
      <c r="N486" s="112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  <c r="Y486" s="112"/>
      <c r="Z486" s="112"/>
    </row>
    <row r="487" spans="1:26">
      <c r="A487" s="112"/>
      <c r="B487" s="112"/>
      <c r="C487" s="112"/>
      <c r="D487" s="112"/>
      <c r="E487" s="112"/>
      <c r="F487" s="112"/>
      <c r="G487" s="112"/>
      <c r="H487" s="112"/>
      <c r="I487" s="112"/>
      <c r="J487" s="112"/>
      <c r="K487" s="112"/>
      <c r="L487" s="112"/>
      <c r="M487" s="112"/>
      <c r="N487" s="112"/>
      <c r="O487" s="112"/>
      <c r="P487" s="112"/>
      <c r="Q487" s="112"/>
      <c r="R487" s="112"/>
      <c r="S487" s="112"/>
      <c r="T487" s="112"/>
      <c r="U487" s="112"/>
      <c r="V487" s="112"/>
      <c r="W487" s="112"/>
      <c r="X487" s="112"/>
      <c r="Y487" s="112"/>
      <c r="Z487" s="112"/>
    </row>
    <row r="488" spans="1:26">
      <c r="A488" s="112"/>
      <c r="B488" s="112"/>
      <c r="C488" s="112"/>
      <c r="D488" s="112"/>
      <c r="E488" s="112"/>
      <c r="F488" s="112"/>
      <c r="G488" s="112"/>
      <c r="H488" s="112"/>
      <c r="I488" s="112"/>
      <c r="J488" s="112"/>
      <c r="K488" s="112"/>
      <c r="L488" s="112"/>
      <c r="M488" s="112"/>
      <c r="N488" s="112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  <c r="Y488" s="112"/>
      <c r="Z488" s="112"/>
    </row>
    <row r="489" spans="1:26">
      <c r="A489" s="112"/>
      <c r="B489" s="112"/>
      <c r="C489" s="112"/>
      <c r="D489" s="112"/>
      <c r="E489" s="112"/>
      <c r="F489" s="112"/>
      <c r="G489" s="112"/>
      <c r="H489" s="112"/>
      <c r="I489" s="112"/>
      <c r="J489" s="112"/>
      <c r="K489" s="112"/>
      <c r="L489" s="112"/>
      <c r="M489" s="112"/>
      <c r="N489" s="112"/>
      <c r="O489" s="112"/>
      <c r="P489" s="112"/>
      <c r="Q489" s="112"/>
      <c r="R489" s="112"/>
      <c r="S489" s="112"/>
      <c r="T489" s="112"/>
      <c r="U489" s="112"/>
      <c r="V489" s="112"/>
      <c r="W489" s="112"/>
      <c r="X489" s="112"/>
      <c r="Y489" s="112"/>
      <c r="Z489" s="112"/>
    </row>
    <row r="490" spans="1:26">
      <c r="A490" s="112"/>
      <c r="B490" s="112"/>
      <c r="C490" s="112"/>
      <c r="D490" s="112"/>
      <c r="E490" s="112"/>
      <c r="F490" s="112"/>
      <c r="G490" s="112"/>
      <c r="H490" s="112"/>
      <c r="I490" s="112"/>
      <c r="J490" s="112"/>
      <c r="K490" s="112"/>
      <c r="L490" s="112"/>
      <c r="M490" s="112"/>
      <c r="N490" s="112"/>
      <c r="O490" s="112"/>
      <c r="P490" s="112"/>
      <c r="Q490" s="112"/>
      <c r="R490" s="112"/>
      <c r="S490" s="112"/>
      <c r="T490" s="112"/>
      <c r="U490" s="112"/>
      <c r="V490" s="112"/>
      <c r="W490" s="112"/>
      <c r="X490" s="112"/>
      <c r="Y490" s="112"/>
      <c r="Z490" s="112"/>
    </row>
    <row r="491" spans="1:26">
      <c r="A491" s="112"/>
      <c r="B491" s="112"/>
      <c r="C491" s="112"/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  <c r="Z491" s="112"/>
    </row>
    <row r="492" spans="1:26">
      <c r="A492" s="112"/>
      <c r="B492" s="112"/>
      <c r="C492" s="112"/>
      <c r="D492" s="112"/>
      <c r="E492" s="112"/>
      <c r="F492" s="112"/>
      <c r="G492" s="112"/>
      <c r="H492" s="112"/>
      <c r="I492" s="112"/>
      <c r="J492" s="112"/>
      <c r="K492" s="112"/>
      <c r="L492" s="112"/>
      <c r="M492" s="112"/>
      <c r="N492" s="112"/>
      <c r="O492" s="112"/>
      <c r="P492" s="112"/>
      <c r="Q492" s="112"/>
      <c r="R492" s="112"/>
      <c r="S492" s="112"/>
      <c r="T492" s="112"/>
      <c r="U492" s="112"/>
      <c r="V492" s="112"/>
      <c r="W492" s="112"/>
      <c r="X492" s="112"/>
      <c r="Y492" s="112"/>
      <c r="Z492" s="112"/>
    </row>
    <row r="493" spans="1:26">
      <c r="A493" s="112"/>
      <c r="B493" s="112"/>
      <c r="C493" s="112"/>
      <c r="D493" s="112"/>
      <c r="E493" s="112"/>
      <c r="F493" s="112"/>
      <c r="G493" s="112"/>
      <c r="H493" s="112"/>
      <c r="I493" s="112"/>
      <c r="J493" s="112"/>
      <c r="K493" s="112"/>
      <c r="L493" s="112"/>
      <c r="M493" s="112"/>
      <c r="N493" s="112"/>
      <c r="O493" s="112"/>
      <c r="P493" s="112"/>
      <c r="Q493" s="112"/>
      <c r="R493" s="112"/>
      <c r="S493" s="112"/>
      <c r="T493" s="112"/>
      <c r="U493" s="112"/>
      <c r="V493" s="112"/>
      <c r="W493" s="112"/>
      <c r="X493" s="112"/>
      <c r="Y493" s="112"/>
      <c r="Z493" s="112"/>
    </row>
    <row r="494" spans="1:26">
      <c r="A494" s="112"/>
      <c r="B494" s="112"/>
      <c r="C494" s="112"/>
      <c r="D494" s="112"/>
      <c r="E494" s="112"/>
      <c r="F494" s="112"/>
      <c r="G494" s="112"/>
      <c r="H494" s="112"/>
      <c r="I494" s="112"/>
      <c r="J494" s="112"/>
      <c r="K494" s="112"/>
      <c r="L494" s="112"/>
      <c r="M494" s="112"/>
      <c r="N494" s="112"/>
      <c r="O494" s="112"/>
      <c r="P494" s="112"/>
      <c r="Q494" s="112"/>
      <c r="R494" s="112"/>
      <c r="S494" s="112"/>
      <c r="T494" s="112"/>
      <c r="U494" s="112"/>
      <c r="V494" s="112"/>
      <c r="W494" s="112"/>
      <c r="X494" s="112"/>
      <c r="Y494" s="112"/>
      <c r="Z494" s="112"/>
    </row>
    <row r="495" spans="1:26">
      <c r="A495" s="112"/>
      <c r="B495" s="112"/>
      <c r="C495" s="112"/>
      <c r="D495" s="112"/>
      <c r="E495" s="112"/>
      <c r="F495" s="112"/>
      <c r="G495" s="112"/>
      <c r="H495" s="112"/>
      <c r="I495" s="112"/>
      <c r="J495" s="112"/>
      <c r="K495" s="112"/>
      <c r="L495" s="112"/>
      <c r="M495" s="112"/>
      <c r="N495" s="112"/>
      <c r="O495" s="112"/>
      <c r="P495" s="112"/>
      <c r="Q495" s="112"/>
      <c r="R495" s="112"/>
      <c r="S495" s="112"/>
      <c r="T495" s="112"/>
      <c r="U495" s="112"/>
      <c r="V495" s="112"/>
      <c r="W495" s="112"/>
      <c r="X495" s="112"/>
      <c r="Y495" s="112"/>
      <c r="Z495" s="112"/>
    </row>
    <row r="496" spans="1:26">
      <c r="A496" s="112"/>
      <c r="B496" s="112"/>
      <c r="C496" s="112"/>
      <c r="D496" s="112"/>
      <c r="E496" s="112"/>
      <c r="F496" s="112"/>
      <c r="G496" s="112"/>
      <c r="H496" s="112"/>
      <c r="I496" s="112"/>
      <c r="J496" s="112"/>
      <c r="K496" s="112"/>
      <c r="L496" s="112"/>
      <c r="M496" s="112"/>
      <c r="N496" s="112"/>
      <c r="O496" s="112"/>
      <c r="P496" s="112"/>
      <c r="Q496" s="112"/>
      <c r="R496" s="112"/>
      <c r="S496" s="112"/>
      <c r="T496" s="112"/>
      <c r="U496" s="112"/>
      <c r="V496" s="112"/>
      <c r="W496" s="112"/>
      <c r="X496" s="112"/>
      <c r="Y496" s="112"/>
      <c r="Z496" s="112"/>
    </row>
    <row r="497" spans="1:26">
      <c r="A497" s="112"/>
      <c r="B497" s="112"/>
      <c r="C497" s="112"/>
      <c r="D497" s="112"/>
      <c r="E497" s="112"/>
      <c r="F497" s="112"/>
      <c r="G497" s="112"/>
      <c r="H497" s="112"/>
      <c r="I497" s="112"/>
      <c r="J497" s="112"/>
      <c r="K497" s="112"/>
      <c r="L497" s="112"/>
      <c r="M497" s="112"/>
      <c r="N497" s="112"/>
      <c r="O497" s="112"/>
      <c r="P497" s="112"/>
      <c r="Q497" s="112"/>
      <c r="R497" s="112"/>
      <c r="S497" s="112"/>
      <c r="T497" s="112"/>
      <c r="U497" s="112"/>
      <c r="V497" s="112"/>
      <c r="W497" s="112"/>
      <c r="X497" s="112"/>
      <c r="Y497" s="112"/>
      <c r="Z497" s="112"/>
    </row>
    <row r="498" spans="1:26">
      <c r="A498" s="112"/>
      <c r="B498" s="112"/>
      <c r="C498" s="112"/>
      <c r="D498" s="112"/>
      <c r="E498" s="112"/>
      <c r="F498" s="112"/>
      <c r="G498" s="112"/>
      <c r="H498" s="112"/>
      <c r="I498" s="112"/>
      <c r="J498" s="112"/>
      <c r="K498" s="112"/>
      <c r="L498" s="112"/>
      <c r="M498" s="112"/>
      <c r="N498" s="112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  <c r="Y498" s="112"/>
      <c r="Z498" s="112"/>
    </row>
    <row r="499" spans="1:26">
      <c r="A499" s="112"/>
      <c r="B499" s="112"/>
      <c r="C499" s="112"/>
      <c r="D499" s="112"/>
      <c r="E499" s="112"/>
      <c r="F499" s="112"/>
      <c r="G499" s="112"/>
      <c r="H499" s="112"/>
      <c r="I499" s="112"/>
      <c r="J499" s="112"/>
      <c r="K499" s="112"/>
      <c r="L499" s="112"/>
      <c r="M499" s="112"/>
      <c r="N499" s="112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  <c r="Y499" s="112"/>
      <c r="Z499" s="112"/>
    </row>
    <row r="500" spans="1:26">
      <c r="A500" s="112"/>
      <c r="B500" s="112"/>
      <c r="C500" s="112"/>
      <c r="D500" s="112"/>
      <c r="E500" s="112"/>
      <c r="F500" s="112"/>
      <c r="G500" s="112"/>
      <c r="H500" s="112"/>
      <c r="I500" s="112"/>
      <c r="J500" s="112"/>
      <c r="K500" s="112"/>
      <c r="L500" s="112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  <c r="Z500" s="112"/>
    </row>
    <row r="501" spans="1:26">
      <c r="A501" s="11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  <c r="Z501" s="112"/>
    </row>
    <row r="502" spans="1:26">
      <c r="A502" s="112"/>
      <c r="B502" s="112"/>
      <c r="C502" s="112"/>
      <c r="D502" s="112"/>
      <c r="E502" s="112"/>
      <c r="F502" s="112"/>
      <c r="G502" s="112"/>
      <c r="H502" s="112"/>
      <c r="I502" s="112"/>
      <c r="J502" s="112"/>
      <c r="K502" s="112"/>
      <c r="L502" s="112"/>
      <c r="M502" s="112"/>
      <c r="N502" s="112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  <c r="Y502" s="112"/>
      <c r="Z502" s="112"/>
    </row>
    <row r="503" spans="1:26">
      <c r="A503" s="112"/>
      <c r="B503" s="112"/>
      <c r="C503" s="112"/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  <c r="Q503" s="112"/>
      <c r="R503" s="112"/>
      <c r="S503" s="112"/>
      <c r="T503" s="112"/>
      <c r="U503" s="112"/>
      <c r="V503" s="112"/>
      <c r="W503" s="112"/>
      <c r="X503" s="112"/>
      <c r="Y503" s="112"/>
      <c r="Z503" s="112"/>
    </row>
    <row r="504" spans="1:26">
      <c r="A504" s="112"/>
      <c r="B504" s="112"/>
      <c r="C504" s="112"/>
      <c r="D504" s="112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</row>
    <row r="505" spans="1:26">
      <c r="A505" s="112"/>
      <c r="B505" s="112"/>
      <c r="C505" s="112"/>
      <c r="D505" s="112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</row>
    <row r="506" spans="1:26">
      <c r="A506" s="112"/>
      <c r="B506" s="112"/>
      <c r="C506" s="112"/>
      <c r="D506" s="112"/>
      <c r="E506" s="112"/>
      <c r="F506" s="112"/>
      <c r="G506" s="112"/>
      <c r="H506" s="112"/>
      <c r="I506" s="112"/>
      <c r="J506" s="112"/>
      <c r="K506" s="112"/>
      <c r="L506" s="112"/>
      <c r="M506" s="112"/>
      <c r="N506" s="112"/>
      <c r="O506" s="112"/>
      <c r="P506" s="112"/>
      <c r="Q506" s="112"/>
      <c r="R506" s="112"/>
      <c r="S506" s="112"/>
      <c r="T506" s="112"/>
      <c r="U506" s="112"/>
      <c r="V506" s="112"/>
      <c r="W506" s="112"/>
      <c r="X506" s="112"/>
      <c r="Y506" s="112"/>
      <c r="Z506" s="112"/>
    </row>
    <row r="507" spans="1:26">
      <c r="A507" s="112"/>
      <c r="B507" s="112"/>
      <c r="C507" s="112"/>
      <c r="D507" s="112"/>
      <c r="E507" s="112"/>
      <c r="F507" s="112"/>
      <c r="G507" s="112"/>
      <c r="H507" s="112"/>
      <c r="I507" s="112"/>
      <c r="J507" s="112"/>
      <c r="K507" s="112"/>
      <c r="L507" s="112"/>
      <c r="M507" s="112"/>
      <c r="N507" s="112"/>
      <c r="O507" s="112"/>
      <c r="P507" s="112"/>
      <c r="Q507" s="112"/>
      <c r="R507" s="112"/>
      <c r="S507" s="112"/>
      <c r="T507" s="112"/>
      <c r="U507" s="112"/>
      <c r="V507" s="112"/>
      <c r="W507" s="112"/>
      <c r="X507" s="112"/>
      <c r="Y507" s="112"/>
      <c r="Z507" s="112"/>
    </row>
    <row r="508" spans="1:26">
      <c r="A508" s="112"/>
      <c r="B508" s="112"/>
      <c r="C508" s="112"/>
      <c r="D508" s="112"/>
      <c r="E508" s="112"/>
      <c r="F508" s="112"/>
      <c r="G508" s="112"/>
      <c r="H508" s="112"/>
      <c r="I508" s="112"/>
      <c r="J508" s="112"/>
      <c r="K508" s="112"/>
      <c r="L508" s="112"/>
      <c r="M508" s="112"/>
      <c r="N508" s="112"/>
      <c r="O508" s="112"/>
      <c r="P508" s="112"/>
      <c r="Q508" s="112"/>
      <c r="R508" s="112"/>
      <c r="S508" s="112"/>
      <c r="T508" s="112"/>
      <c r="U508" s="112"/>
      <c r="V508" s="112"/>
      <c r="W508" s="112"/>
      <c r="X508" s="112"/>
      <c r="Y508" s="112"/>
      <c r="Z508" s="112"/>
    </row>
    <row r="509" spans="1:26">
      <c r="A509" s="112"/>
      <c r="B509" s="112"/>
      <c r="C509" s="112"/>
      <c r="D509" s="112"/>
      <c r="E509" s="112"/>
      <c r="F509" s="112"/>
      <c r="G509" s="112"/>
      <c r="H509" s="112"/>
      <c r="I509" s="112"/>
      <c r="J509" s="112"/>
      <c r="K509" s="112"/>
      <c r="L509" s="112"/>
      <c r="M509" s="112"/>
      <c r="N509" s="112"/>
      <c r="O509" s="112"/>
      <c r="P509" s="112"/>
      <c r="Q509" s="112"/>
      <c r="R509" s="112"/>
      <c r="S509" s="112"/>
      <c r="T509" s="112"/>
      <c r="U509" s="112"/>
      <c r="V509" s="112"/>
      <c r="W509" s="112"/>
      <c r="X509" s="112"/>
      <c r="Y509" s="112"/>
      <c r="Z509" s="112"/>
    </row>
    <row r="510" spans="1:26">
      <c r="A510" s="112"/>
      <c r="B510" s="112"/>
      <c r="C510" s="112"/>
      <c r="D510" s="112"/>
      <c r="E510" s="112"/>
      <c r="F510" s="112"/>
      <c r="G510" s="112"/>
      <c r="H510" s="112"/>
      <c r="I510" s="112"/>
      <c r="J510" s="112"/>
      <c r="K510" s="112"/>
      <c r="L510" s="112"/>
      <c r="M510" s="112"/>
      <c r="N510" s="112"/>
      <c r="O510" s="112"/>
      <c r="P510" s="112"/>
      <c r="Q510" s="112"/>
      <c r="R510" s="112"/>
      <c r="S510" s="112"/>
      <c r="T510" s="112"/>
      <c r="U510" s="112"/>
      <c r="V510" s="112"/>
      <c r="W510" s="112"/>
      <c r="X510" s="112"/>
      <c r="Y510" s="112"/>
      <c r="Z510" s="112"/>
    </row>
    <row r="511" spans="1:26">
      <c r="A511" s="112"/>
      <c r="B511" s="112"/>
      <c r="C511" s="112"/>
      <c r="D511" s="112"/>
      <c r="E511" s="112"/>
      <c r="F511" s="112"/>
      <c r="G511" s="112"/>
      <c r="H511" s="112"/>
      <c r="I511" s="112"/>
      <c r="J511" s="112"/>
      <c r="K511" s="112"/>
      <c r="L511" s="112"/>
      <c r="M511" s="112"/>
      <c r="N511" s="112"/>
      <c r="O511" s="112"/>
      <c r="P511" s="112"/>
      <c r="Q511" s="112"/>
      <c r="R511" s="112"/>
      <c r="S511" s="112"/>
      <c r="T511" s="112"/>
      <c r="U511" s="112"/>
      <c r="V511" s="112"/>
      <c r="W511" s="112"/>
      <c r="X511" s="112"/>
      <c r="Y511" s="112"/>
      <c r="Z511" s="112"/>
    </row>
    <row r="512" spans="1:26">
      <c r="A512" s="112"/>
      <c r="B512" s="112"/>
      <c r="C512" s="112"/>
      <c r="D512" s="112"/>
      <c r="E512" s="112"/>
      <c r="F512" s="112"/>
      <c r="G512" s="112"/>
      <c r="H512" s="112"/>
      <c r="I512" s="112"/>
      <c r="J512" s="112"/>
      <c r="K512" s="112"/>
      <c r="L512" s="112"/>
      <c r="M512" s="112"/>
      <c r="N512" s="112"/>
      <c r="O512" s="112"/>
      <c r="P512" s="112"/>
      <c r="Q512" s="112"/>
      <c r="R512" s="112"/>
      <c r="S512" s="112"/>
      <c r="T512" s="112"/>
      <c r="U512" s="112"/>
      <c r="V512" s="112"/>
      <c r="W512" s="112"/>
      <c r="X512" s="112"/>
      <c r="Y512" s="112"/>
      <c r="Z512" s="112"/>
    </row>
    <row r="513" spans="1:26">
      <c r="A513" s="112"/>
      <c r="B513" s="112"/>
      <c r="C513" s="112"/>
      <c r="D513" s="112"/>
      <c r="E513" s="112"/>
      <c r="F513" s="112"/>
      <c r="G513" s="112"/>
      <c r="H513" s="112"/>
      <c r="I513" s="112"/>
      <c r="J513" s="112"/>
      <c r="K513" s="112"/>
      <c r="L513" s="112"/>
      <c r="M513" s="112"/>
      <c r="N513" s="112"/>
      <c r="O513" s="112"/>
      <c r="P513" s="112"/>
      <c r="Q513" s="112"/>
      <c r="R513" s="112"/>
      <c r="S513" s="112"/>
      <c r="T513" s="112"/>
      <c r="U513" s="112"/>
      <c r="V513" s="112"/>
      <c r="W513" s="112"/>
      <c r="X513" s="112"/>
      <c r="Y513" s="112"/>
      <c r="Z513" s="112"/>
    </row>
    <row r="514" spans="1:26">
      <c r="A514" s="112"/>
      <c r="B514" s="112"/>
      <c r="C514" s="112"/>
      <c r="D514" s="112"/>
      <c r="E514" s="112"/>
      <c r="F514" s="112"/>
      <c r="G514" s="112"/>
      <c r="H514" s="112"/>
      <c r="I514" s="112"/>
      <c r="J514" s="112"/>
      <c r="K514" s="112"/>
      <c r="L514" s="112"/>
      <c r="M514" s="112"/>
      <c r="N514" s="112"/>
      <c r="O514" s="112"/>
      <c r="P514" s="112"/>
      <c r="Q514" s="112"/>
      <c r="R514" s="112"/>
      <c r="S514" s="112"/>
      <c r="T514" s="112"/>
      <c r="U514" s="112"/>
      <c r="V514" s="112"/>
      <c r="W514" s="112"/>
      <c r="X514" s="112"/>
      <c r="Y514" s="112"/>
      <c r="Z514" s="112"/>
    </row>
    <row r="515" spans="1:26">
      <c r="A515" s="112"/>
      <c r="B515" s="112"/>
      <c r="C515" s="112"/>
      <c r="D515" s="112"/>
      <c r="E515" s="112"/>
      <c r="F515" s="112"/>
      <c r="G515" s="112"/>
      <c r="H515" s="112"/>
      <c r="I515" s="112"/>
      <c r="J515" s="112"/>
      <c r="K515" s="112"/>
      <c r="L515" s="112"/>
      <c r="M515" s="112"/>
      <c r="N515" s="112"/>
      <c r="O515" s="112"/>
      <c r="P515" s="112"/>
      <c r="Q515" s="112"/>
      <c r="R515" s="112"/>
      <c r="S515" s="112"/>
      <c r="T515" s="112"/>
      <c r="U515" s="112"/>
      <c r="V515" s="112"/>
      <c r="W515" s="112"/>
      <c r="X515" s="112"/>
      <c r="Y515" s="112"/>
      <c r="Z515" s="112"/>
    </row>
    <row r="516" spans="1:26">
      <c r="A516" s="112"/>
      <c r="B516" s="112"/>
      <c r="C516" s="112"/>
      <c r="D516" s="112"/>
      <c r="E516" s="112"/>
      <c r="F516" s="112"/>
      <c r="G516" s="112"/>
      <c r="H516" s="112"/>
      <c r="I516" s="112"/>
      <c r="J516" s="112"/>
      <c r="K516" s="112"/>
      <c r="L516" s="112"/>
      <c r="M516" s="112"/>
      <c r="N516" s="112"/>
      <c r="O516" s="112"/>
      <c r="P516" s="112"/>
      <c r="Q516" s="112"/>
      <c r="R516" s="112"/>
      <c r="S516" s="112"/>
      <c r="T516" s="112"/>
      <c r="U516" s="112"/>
      <c r="V516" s="112"/>
      <c r="W516" s="112"/>
      <c r="X516" s="112"/>
      <c r="Y516" s="112"/>
      <c r="Z516" s="112"/>
    </row>
    <row r="517" spans="1:26">
      <c r="A517" s="112"/>
      <c r="B517" s="112"/>
      <c r="C517" s="112"/>
      <c r="D517" s="112"/>
      <c r="E517" s="112"/>
      <c r="F517" s="112"/>
      <c r="G517" s="112"/>
      <c r="H517" s="112"/>
      <c r="I517" s="112"/>
      <c r="J517" s="112"/>
      <c r="K517" s="112"/>
      <c r="L517" s="112"/>
      <c r="M517" s="112"/>
      <c r="N517" s="112"/>
      <c r="O517" s="112"/>
      <c r="P517" s="112"/>
      <c r="Q517" s="112"/>
      <c r="R517" s="112"/>
      <c r="S517" s="112"/>
      <c r="T517" s="112"/>
      <c r="U517" s="112"/>
      <c r="V517" s="112"/>
      <c r="W517" s="112"/>
      <c r="X517" s="112"/>
      <c r="Y517" s="112"/>
      <c r="Z517" s="112"/>
    </row>
    <row r="518" spans="1:26">
      <c r="A518" s="112"/>
      <c r="B518" s="112"/>
      <c r="C518" s="112"/>
      <c r="D518" s="112"/>
      <c r="E518" s="112"/>
      <c r="F518" s="112"/>
      <c r="G518" s="112"/>
      <c r="H518" s="112"/>
      <c r="I518" s="112"/>
      <c r="J518" s="112"/>
      <c r="K518" s="112"/>
      <c r="L518" s="112"/>
      <c r="M518" s="112"/>
      <c r="N518" s="112"/>
      <c r="O518" s="112"/>
      <c r="P518" s="112"/>
      <c r="Q518" s="112"/>
      <c r="R518" s="112"/>
      <c r="S518" s="112"/>
      <c r="T518" s="112"/>
      <c r="U518" s="112"/>
      <c r="V518" s="112"/>
      <c r="W518" s="112"/>
      <c r="X518" s="112"/>
      <c r="Y518" s="112"/>
      <c r="Z518" s="112"/>
    </row>
    <row r="519" spans="1:26">
      <c r="A519" s="112"/>
      <c r="B519" s="112"/>
      <c r="C519" s="112"/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  <c r="Q519" s="112"/>
      <c r="R519" s="112"/>
      <c r="S519" s="112"/>
      <c r="T519" s="112"/>
      <c r="U519" s="112"/>
      <c r="V519" s="112"/>
      <c r="W519" s="112"/>
      <c r="X519" s="112"/>
      <c r="Y519" s="112"/>
      <c r="Z519" s="112"/>
    </row>
    <row r="520" spans="1:26">
      <c r="A520" s="112"/>
      <c r="B520" s="112"/>
      <c r="C520" s="112"/>
      <c r="D520" s="112"/>
      <c r="E520" s="112"/>
      <c r="F520" s="112"/>
      <c r="G520" s="112"/>
      <c r="H520" s="112"/>
      <c r="I520" s="112"/>
      <c r="J520" s="112"/>
      <c r="K520" s="112"/>
      <c r="L520" s="112"/>
      <c r="M520" s="112"/>
      <c r="N520" s="112"/>
      <c r="O520" s="112"/>
      <c r="P520" s="112"/>
      <c r="Q520" s="112"/>
      <c r="R520" s="112"/>
      <c r="S520" s="112"/>
      <c r="T520" s="112"/>
      <c r="U520" s="112"/>
      <c r="V520" s="112"/>
      <c r="W520" s="112"/>
      <c r="X520" s="112"/>
      <c r="Y520" s="112"/>
      <c r="Z520" s="112"/>
    </row>
    <row r="521" spans="1:26">
      <c r="A521" s="112"/>
      <c r="B521" s="112"/>
      <c r="C521" s="112"/>
      <c r="D521" s="112"/>
      <c r="E521" s="112"/>
      <c r="F521" s="112"/>
      <c r="G521" s="112"/>
      <c r="H521" s="112"/>
      <c r="I521" s="112"/>
      <c r="J521" s="112"/>
      <c r="K521" s="112"/>
      <c r="L521" s="112"/>
      <c r="M521" s="112"/>
      <c r="N521" s="112"/>
      <c r="O521" s="112"/>
      <c r="P521" s="112"/>
      <c r="Q521" s="112"/>
      <c r="R521" s="112"/>
      <c r="S521" s="112"/>
      <c r="T521" s="112"/>
      <c r="U521" s="112"/>
      <c r="V521" s="112"/>
      <c r="W521" s="112"/>
      <c r="X521" s="112"/>
      <c r="Y521" s="112"/>
      <c r="Z521" s="112"/>
    </row>
    <row r="522" spans="1:26">
      <c r="A522" s="112"/>
      <c r="B522" s="112"/>
      <c r="C522" s="112"/>
      <c r="D522" s="112"/>
      <c r="E522" s="112"/>
      <c r="F522" s="112"/>
      <c r="G522" s="112"/>
      <c r="H522" s="112"/>
      <c r="I522" s="112"/>
      <c r="J522" s="112"/>
      <c r="K522" s="112"/>
      <c r="L522" s="112"/>
      <c r="M522" s="112"/>
      <c r="N522" s="112"/>
      <c r="O522" s="112"/>
      <c r="P522" s="112"/>
      <c r="Q522" s="112"/>
      <c r="R522" s="112"/>
      <c r="S522" s="112"/>
      <c r="T522" s="112"/>
      <c r="U522" s="112"/>
      <c r="V522" s="112"/>
      <c r="W522" s="112"/>
      <c r="X522" s="112"/>
      <c r="Y522" s="112"/>
      <c r="Z522" s="112"/>
    </row>
    <row r="523" spans="1:26">
      <c r="A523" s="112"/>
      <c r="B523" s="112"/>
      <c r="C523" s="112"/>
      <c r="D523" s="112"/>
      <c r="E523" s="112"/>
      <c r="F523" s="112"/>
      <c r="G523" s="112"/>
      <c r="H523" s="112"/>
      <c r="I523" s="112"/>
      <c r="J523" s="112"/>
      <c r="K523" s="112"/>
      <c r="L523" s="112"/>
      <c r="M523" s="112"/>
      <c r="N523" s="112"/>
      <c r="O523" s="112"/>
      <c r="P523" s="112"/>
      <c r="Q523" s="112"/>
      <c r="R523" s="112"/>
      <c r="S523" s="112"/>
      <c r="T523" s="112"/>
      <c r="U523" s="112"/>
      <c r="V523" s="112"/>
      <c r="W523" s="112"/>
      <c r="X523" s="112"/>
      <c r="Y523" s="112"/>
      <c r="Z523" s="112"/>
    </row>
    <row r="524" spans="1:26">
      <c r="A524" s="112"/>
      <c r="B524" s="112"/>
      <c r="C524" s="112"/>
      <c r="D524" s="112"/>
      <c r="E524" s="112"/>
      <c r="F524" s="112"/>
      <c r="G524" s="112"/>
      <c r="H524" s="112"/>
      <c r="I524" s="112"/>
      <c r="J524" s="112"/>
      <c r="K524" s="112"/>
      <c r="L524" s="112"/>
      <c r="M524" s="112"/>
      <c r="N524" s="112"/>
      <c r="O524" s="112"/>
      <c r="P524" s="112"/>
      <c r="Q524" s="112"/>
      <c r="R524" s="112"/>
      <c r="S524" s="112"/>
      <c r="T524" s="112"/>
      <c r="U524" s="112"/>
      <c r="V524" s="112"/>
      <c r="W524" s="112"/>
      <c r="X524" s="112"/>
      <c r="Y524" s="112"/>
      <c r="Z524" s="112"/>
    </row>
    <row r="525" spans="1:26">
      <c r="A525" s="112"/>
      <c r="B525" s="112"/>
      <c r="C525" s="112"/>
      <c r="D525" s="112"/>
      <c r="E525" s="112"/>
      <c r="F525" s="112"/>
      <c r="G525" s="112"/>
      <c r="H525" s="112"/>
      <c r="I525" s="112"/>
      <c r="J525" s="112"/>
      <c r="K525" s="112"/>
      <c r="L525" s="112"/>
      <c r="M525" s="112"/>
      <c r="N525" s="112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  <c r="Y525" s="112"/>
      <c r="Z525" s="112"/>
    </row>
    <row r="526" spans="1:26">
      <c r="A526" s="112"/>
      <c r="B526" s="112"/>
      <c r="C526" s="112"/>
      <c r="D526" s="112"/>
      <c r="E526" s="112"/>
      <c r="F526" s="112"/>
      <c r="G526" s="112"/>
      <c r="H526" s="112"/>
      <c r="I526" s="112"/>
      <c r="J526" s="112"/>
      <c r="K526" s="112"/>
      <c r="L526" s="112"/>
      <c r="M526" s="112"/>
      <c r="N526" s="112"/>
      <c r="O526" s="112"/>
      <c r="P526" s="112"/>
      <c r="Q526" s="112"/>
      <c r="R526" s="112"/>
      <c r="S526" s="112"/>
      <c r="T526" s="112"/>
      <c r="U526" s="112"/>
      <c r="V526" s="112"/>
      <c r="W526" s="112"/>
      <c r="X526" s="112"/>
      <c r="Y526" s="112"/>
      <c r="Z526" s="112"/>
    </row>
    <row r="527" spans="1:26">
      <c r="A527" s="112"/>
      <c r="B527" s="112"/>
      <c r="C527" s="112"/>
      <c r="D527" s="112"/>
      <c r="E527" s="112"/>
      <c r="F527" s="112"/>
      <c r="G527" s="112"/>
      <c r="H527" s="112"/>
      <c r="I527" s="112"/>
      <c r="J527" s="112"/>
      <c r="K527" s="112"/>
      <c r="L527" s="112"/>
      <c r="M527" s="112"/>
      <c r="N527" s="112"/>
      <c r="O527" s="112"/>
      <c r="P527" s="112"/>
      <c r="Q527" s="112"/>
      <c r="R527" s="112"/>
      <c r="S527" s="112"/>
      <c r="T527" s="112"/>
      <c r="U527" s="112"/>
      <c r="V527" s="112"/>
      <c r="W527" s="112"/>
      <c r="X527" s="112"/>
      <c r="Y527" s="112"/>
      <c r="Z527" s="112"/>
    </row>
    <row r="528" spans="1:26">
      <c r="A528" s="112"/>
      <c r="B528" s="112"/>
      <c r="C528" s="112"/>
      <c r="D528" s="112"/>
      <c r="E528" s="112"/>
      <c r="F528" s="112"/>
      <c r="G528" s="112"/>
      <c r="H528" s="112"/>
      <c r="I528" s="112"/>
      <c r="J528" s="112"/>
      <c r="K528" s="112"/>
      <c r="L528" s="112"/>
      <c r="M528" s="112"/>
      <c r="N528" s="112"/>
      <c r="O528" s="112"/>
      <c r="P528" s="112"/>
      <c r="Q528" s="112"/>
      <c r="R528" s="112"/>
      <c r="S528" s="112"/>
      <c r="T528" s="112"/>
      <c r="U528" s="112"/>
      <c r="V528" s="112"/>
      <c r="W528" s="112"/>
      <c r="X528" s="112"/>
      <c r="Y528" s="112"/>
      <c r="Z528" s="112"/>
    </row>
    <row r="529" spans="1:26">
      <c r="A529" s="112"/>
      <c r="B529" s="112"/>
      <c r="C529" s="112"/>
      <c r="D529" s="112"/>
      <c r="E529" s="112"/>
      <c r="F529" s="112"/>
      <c r="G529" s="112"/>
      <c r="H529" s="112"/>
      <c r="I529" s="112"/>
      <c r="J529" s="112"/>
      <c r="K529" s="112"/>
      <c r="L529" s="112"/>
      <c r="M529" s="112"/>
      <c r="N529" s="112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  <c r="Y529" s="112"/>
      <c r="Z529" s="112"/>
    </row>
    <row r="530" spans="1:26">
      <c r="A530" s="112"/>
      <c r="B530" s="112"/>
      <c r="C530" s="112"/>
      <c r="D530" s="112"/>
      <c r="E530" s="112"/>
      <c r="F530" s="112"/>
      <c r="G530" s="112"/>
      <c r="H530" s="112"/>
      <c r="I530" s="112"/>
      <c r="J530" s="112"/>
      <c r="K530" s="112"/>
      <c r="L530" s="112"/>
      <c r="M530" s="112"/>
      <c r="N530" s="112"/>
      <c r="O530" s="112"/>
      <c r="P530" s="112"/>
      <c r="Q530" s="112"/>
      <c r="R530" s="112"/>
      <c r="S530" s="112"/>
      <c r="T530" s="112"/>
      <c r="U530" s="112"/>
      <c r="V530" s="112"/>
      <c r="W530" s="112"/>
      <c r="X530" s="112"/>
      <c r="Y530" s="112"/>
      <c r="Z530" s="112"/>
    </row>
    <row r="531" spans="1:26">
      <c r="A531" s="112"/>
      <c r="B531" s="112"/>
      <c r="C531" s="112"/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  <c r="Q531" s="112"/>
      <c r="R531" s="112"/>
      <c r="S531" s="112"/>
      <c r="T531" s="112"/>
      <c r="U531" s="112"/>
      <c r="V531" s="112"/>
      <c r="W531" s="112"/>
      <c r="X531" s="112"/>
      <c r="Y531" s="112"/>
      <c r="Z531" s="112"/>
    </row>
    <row r="532" spans="1:26">
      <c r="A532" s="112"/>
      <c r="B532" s="112"/>
      <c r="C532" s="112"/>
      <c r="D532" s="112"/>
      <c r="E532" s="112"/>
      <c r="F532" s="112"/>
      <c r="G532" s="112"/>
      <c r="H532" s="112"/>
      <c r="I532" s="112"/>
      <c r="J532" s="112"/>
      <c r="K532" s="112"/>
      <c r="L532" s="112"/>
      <c r="M532" s="112"/>
      <c r="N532" s="112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112"/>
      <c r="Z532" s="112"/>
    </row>
    <row r="533" spans="1:26">
      <c r="A533" s="112"/>
      <c r="B533" s="112"/>
      <c r="C533" s="112"/>
      <c r="D533" s="112"/>
      <c r="E533" s="112"/>
      <c r="F533" s="112"/>
      <c r="G533" s="112"/>
      <c r="H533" s="112"/>
      <c r="I533" s="112"/>
      <c r="J533" s="112"/>
      <c r="K533" s="112"/>
      <c r="L533" s="112"/>
      <c r="M533" s="112"/>
      <c r="N533" s="112"/>
      <c r="O533" s="112"/>
      <c r="P533" s="112"/>
      <c r="Q533" s="112"/>
      <c r="R533" s="112"/>
      <c r="S533" s="112"/>
      <c r="T533" s="112"/>
      <c r="U533" s="112"/>
      <c r="V533" s="112"/>
      <c r="W533" s="112"/>
      <c r="X533" s="112"/>
      <c r="Y533" s="112"/>
      <c r="Z533" s="112"/>
    </row>
    <row r="534" spans="1:26">
      <c r="A534" s="112"/>
      <c r="B534" s="112"/>
      <c r="C534" s="112"/>
      <c r="D534" s="112"/>
      <c r="E534" s="112"/>
      <c r="F534" s="112"/>
      <c r="G534" s="112"/>
      <c r="H534" s="112"/>
      <c r="I534" s="112"/>
      <c r="J534" s="112"/>
      <c r="K534" s="112"/>
      <c r="L534" s="112"/>
      <c r="M534" s="112"/>
      <c r="N534" s="112"/>
      <c r="O534" s="112"/>
      <c r="P534" s="112"/>
      <c r="Q534" s="112"/>
      <c r="R534" s="112"/>
      <c r="S534" s="112"/>
      <c r="T534" s="112"/>
      <c r="U534" s="112"/>
      <c r="V534" s="112"/>
      <c r="W534" s="112"/>
      <c r="X534" s="112"/>
      <c r="Y534" s="112"/>
      <c r="Z534" s="112"/>
    </row>
    <row r="535" spans="1:26">
      <c r="A535" s="11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  <c r="Z535" s="112"/>
    </row>
    <row r="536" spans="1:26">
      <c r="A536" s="112"/>
      <c r="B536" s="112"/>
      <c r="C536" s="112"/>
      <c r="D536" s="112"/>
      <c r="E536" s="112"/>
      <c r="F536" s="112"/>
      <c r="G536" s="112"/>
      <c r="H536" s="112"/>
      <c r="I536" s="112"/>
      <c r="J536" s="112"/>
      <c r="K536" s="112"/>
      <c r="L536" s="112"/>
      <c r="M536" s="112"/>
      <c r="N536" s="112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  <c r="Y536" s="112"/>
      <c r="Z536" s="112"/>
    </row>
    <row r="537" spans="1:26">
      <c r="A537" s="112"/>
      <c r="B537" s="112"/>
      <c r="C537" s="112"/>
      <c r="D537" s="112"/>
      <c r="E537" s="112"/>
      <c r="F537" s="112"/>
      <c r="G537" s="112"/>
      <c r="H537" s="112"/>
      <c r="I537" s="112"/>
      <c r="J537" s="112"/>
      <c r="K537" s="112"/>
      <c r="L537" s="112"/>
      <c r="M537" s="112"/>
      <c r="N537" s="112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  <c r="Y537" s="112"/>
      <c r="Z537" s="112"/>
    </row>
    <row r="538" spans="1:26">
      <c r="A538" s="112"/>
      <c r="B538" s="112"/>
      <c r="C538" s="112"/>
      <c r="D538" s="112"/>
      <c r="E538" s="112"/>
      <c r="F538" s="112"/>
      <c r="G538" s="112"/>
      <c r="H538" s="112"/>
      <c r="I538" s="112"/>
      <c r="J538" s="112"/>
      <c r="K538" s="112"/>
      <c r="L538" s="112"/>
      <c r="M538" s="112"/>
      <c r="N538" s="112"/>
      <c r="O538" s="112"/>
      <c r="P538" s="112"/>
      <c r="Q538" s="112"/>
      <c r="R538" s="112"/>
      <c r="S538" s="112"/>
      <c r="T538" s="112"/>
      <c r="U538" s="112"/>
      <c r="V538" s="112"/>
      <c r="W538" s="112"/>
      <c r="X538" s="112"/>
      <c r="Y538" s="112"/>
      <c r="Z538" s="112"/>
    </row>
    <row r="539" spans="1:26">
      <c r="A539" s="112"/>
      <c r="B539" s="112"/>
      <c r="C539" s="112"/>
      <c r="D539" s="112"/>
      <c r="E539" s="112"/>
      <c r="F539" s="112"/>
      <c r="G539" s="112"/>
      <c r="H539" s="112"/>
      <c r="I539" s="112"/>
      <c r="J539" s="112"/>
      <c r="K539" s="112"/>
      <c r="L539" s="112"/>
      <c r="M539" s="112"/>
      <c r="N539" s="112"/>
      <c r="O539" s="112"/>
      <c r="P539" s="112"/>
      <c r="Q539" s="112"/>
      <c r="R539" s="112"/>
      <c r="S539" s="112"/>
      <c r="T539" s="112"/>
      <c r="U539" s="112"/>
      <c r="V539" s="112"/>
      <c r="W539" s="112"/>
      <c r="X539" s="112"/>
      <c r="Y539" s="112"/>
      <c r="Z539" s="112"/>
    </row>
    <row r="540" spans="1:26">
      <c r="A540" s="112"/>
      <c r="B540" s="112"/>
      <c r="C540" s="112"/>
      <c r="D540" s="112"/>
      <c r="E540" s="112"/>
      <c r="F540" s="112"/>
      <c r="G540" s="112"/>
      <c r="H540" s="112"/>
      <c r="I540" s="112"/>
      <c r="J540" s="112"/>
      <c r="K540" s="112"/>
      <c r="L540" s="112"/>
      <c r="M540" s="112"/>
      <c r="N540" s="112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  <c r="Y540" s="112"/>
      <c r="Z540" s="112"/>
    </row>
    <row r="541" spans="1:26">
      <c r="A541" s="112"/>
      <c r="B541" s="112"/>
      <c r="C541" s="112"/>
      <c r="D541" s="112"/>
      <c r="E541" s="112"/>
      <c r="F541" s="112"/>
      <c r="G541" s="112"/>
      <c r="H541" s="112"/>
      <c r="I541" s="112"/>
      <c r="J541" s="112"/>
      <c r="K541" s="112"/>
      <c r="L541" s="112"/>
      <c r="M541" s="112"/>
      <c r="N541" s="112"/>
      <c r="O541" s="112"/>
      <c r="P541" s="112"/>
      <c r="Q541" s="112"/>
      <c r="R541" s="112"/>
      <c r="S541" s="112"/>
      <c r="T541" s="112"/>
      <c r="U541" s="112"/>
      <c r="V541" s="112"/>
      <c r="W541" s="112"/>
      <c r="X541" s="112"/>
      <c r="Y541" s="112"/>
      <c r="Z541" s="112"/>
    </row>
    <row r="542" spans="1:26">
      <c r="A542" s="112"/>
      <c r="B542" s="112"/>
      <c r="C542" s="112"/>
      <c r="D542" s="112"/>
      <c r="E542" s="112"/>
      <c r="F542" s="112"/>
      <c r="G542" s="112"/>
      <c r="H542" s="112"/>
      <c r="I542" s="112"/>
      <c r="J542" s="112"/>
      <c r="K542" s="112"/>
      <c r="L542" s="112"/>
      <c r="M542" s="112"/>
      <c r="N542" s="112"/>
      <c r="O542" s="112"/>
      <c r="P542" s="112"/>
      <c r="Q542" s="112"/>
      <c r="R542" s="112"/>
      <c r="S542" s="112"/>
      <c r="T542" s="112"/>
      <c r="U542" s="112"/>
      <c r="V542" s="112"/>
      <c r="W542" s="112"/>
      <c r="X542" s="112"/>
      <c r="Y542" s="112"/>
      <c r="Z542" s="112"/>
    </row>
    <row r="543" spans="1:26">
      <c r="A543" s="112"/>
      <c r="B543" s="112"/>
      <c r="C543" s="112"/>
      <c r="D543" s="112"/>
      <c r="E543" s="112"/>
      <c r="F543" s="112"/>
      <c r="G543" s="112"/>
      <c r="H543" s="112"/>
      <c r="I543" s="112"/>
      <c r="J543" s="112"/>
      <c r="K543" s="112"/>
      <c r="L543" s="112"/>
      <c r="M543" s="112"/>
      <c r="N543" s="112"/>
      <c r="O543" s="112"/>
      <c r="P543" s="112"/>
      <c r="Q543" s="112"/>
      <c r="R543" s="112"/>
      <c r="S543" s="112"/>
      <c r="T543" s="112"/>
      <c r="U543" s="112"/>
      <c r="V543" s="112"/>
      <c r="W543" s="112"/>
      <c r="X543" s="112"/>
      <c r="Y543" s="112"/>
      <c r="Z543" s="112"/>
    </row>
    <row r="544" spans="1:26">
      <c r="A544" s="112"/>
      <c r="B544" s="112"/>
      <c r="C544" s="112"/>
      <c r="D544" s="112"/>
      <c r="E544" s="112"/>
      <c r="F544" s="112"/>
      <c r="G544" s="112"/>
      <c r="H544" s="112"/>
      <c r="I544" s="112"/>
      <c r="J544" s="112"/>
      <c r="K544" s="112"/>
      <c r="L544" s="112"/>
      <c r="M544" s="112"/>
      <c r="N544" s="112"/>
      <c r="O544" s="112"/>
      <c r="P544" s="112"/>
      <c r="Q544" s="112"/>
      <c r="R544" s="112"/>
      <c r="S544" s="112"/>
      <c r="T544" s="112"/>
      <c r="U544" s="112"/>
      <c r="V544" s="112"/>
      <c r="W544" s="112"/>
      <c r="X544" s="112"/>
      <c r="Y544" s="112"/>
      <c r="Z544" s="112"/>
    </row>
    <row r="545" spans="1:26">
      <c r="A545" s="112"/>
      <c r="B545" s="112"/>
      <c r="C545" s="112"/>
      <c r="D545" s="112"/>
      <c r="E545" s="112"/>
      <c r="F545" s="112"/>
      <c r="G545" s="112"/>
      <c r="H545" s="112"/>
      <c r="I545" s="112"/>
      <c r="J545" s="112"/>
      <c r="K545" s="112"/>
      <c r="L545" s="112"/>
      <c r="M545" s="112"/>
      <c r="N545" s="112"/>
      <c r="O545" s="112"/>
      <c r="P545" s="112"/>
      <c r="Q545" s="112"/>
      <c r="R545" s="112"/>
      <c r="S545" s="112"/>
      <c r="T545" s="112"/>
      <c r="U545" s="112"/>
      <c r="V545" s="112"/>
      <c r="W545" s="112"/>
      <c r="X545" s="112"/>
      <c r="Y545" s="112"/>
      <c r="Z545" s="112"/>
    </row>
    <row r="546" spans="1:26">
      <c r="A546" s="112"/>
      <c r="B546" s="112"/>
      <c r="C546" s="112"/>
      <c r="D546" s="112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</row>
    <row r="547" spans="1:26">
      <c r="A547" s="112"/>
      <c r="B547" s="112"/>
      <c r="C547" s="112"/>
      <c r="D547" s="112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</row>
    <row r="548" spans="1:26">
      <c r="A548" s="112"/>
      <c r="B548" s="112"/>
      <c r="C548" s="112"/>
      <c r="D548" s="112"/>
      <c r="E548" s="112"/>
      <c r="F548" s="112"/>
      <c r="G548" s="112"/>
      <c r="H548" s="112"/>
      <c r="I548" s="112"/>
      <c r="J548" s="112"/>
      <c r="K548" s="112"/>
      <c r="L548" s="112"/>
      <c r="M548" s="112"/>
      <c r="N548" s="112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  <c r="Y548" s="112"/>
      <c r="Z548" s="112"/>
    </row>
    <row r="549" spans="1:26">
      <c r="A549" s="112"/>
      <c r="B549" s="112"/>
      <c r="C549" s="112"/>
      <c r="D549" s="112"/>
      <c r="E549" s="112"/>
      <c r="F549" s="112"/>
      <c r="G549" s="112"/>
      <c r="H549" s="112"/>
      <c r="I549" s="112"/>
      <c r="J549" s="112"/>
      <c r="K549" s="112"/>
      <c r="L549" s="112"/>
      <c r="M549" s="112"/>
      <c r="N549" s="112"/>
      <c r="O549" s="112"/>
      <c r="P549" s="112"/>
      <c r="Q549" s="112"/>
      <c r="R549" s="112"/>
      <c r="S549" s="112"/>
      <c r="T549" s="112"/>
      <c r="U549" s="112"/>
      <c r="V549" s="112"/>
      <c r="W549" s="112"/>
      <c r="X549" s="112"/>
      <c r="Y549" s="112"/>
      <c r="Z549" s="112"/>
    </row>
    <row r="550" spans="1:26">
      <c r="A550" s="112"/>
      <c r="B550" s="112"/>
      <c r="C550" s="112"/>
      <c r="D550" s="112"/>
      <c r="E550" s="112"/>
      <c r="F550" s="112"/>
      <c r="G550" s="112"/>
      <c r="H550" s="112"/>
      <c r="I550" s="112"/>
      <c r="J550" s="112"/>
      <c r="K550" s="112"/>
      <c r="L550" s="112"/>
      <c r="M550" s="112"/>
      <c r="N550" s="112"/>
      <c r="O550" s="112"/>
      <c r="P550" s="112"/>
      <c r="Q550" s="112"/>
      <c r="R550" s="112"/>
      <c r="S550" s="112"/>
      <c r="T550" s="112"/>
      <c r="U550" s="112"/>
      <c r="V550" s="112"/>
      <c r="W550" s="112"/>
      <c r="X550" s="112"/>
      <c r="Y550" s="112"/>
      <c r="Z550" s="112"/>
    </row>
    <row r="551" spans="1:26">
      <c r="A551" s="112"/>
      <c r="B551" s="112"/>
      <c r="C551" s="112"/>
      <c r="D551" s="112"/>
      <c r="E551" s="112"/>
      <c r="F551" s="112"/>
      <c r="G551" s="112"/>
      <c r="H551" s="112"/>
      <c r="I551" s="112"/>
      <c r="J551" s="112"/>
      <c r="K551" s="112"/>
      <c r="L551" s="112"/>
      <c r="M551" s="112"/>
      <c r="N551" s="112"/>
      <c r="O551" s="112"/>
      <c r="P551" s="112"/>
      <c r="Q551" s="112"/>
      <c r="R551" s="112"/>
      <c r="S551" s="112"/>
      <c r="T551" s="112"/>
      <c r="U551" s="112"/>
      <c r="V551" s="112"/>
      <c r="W551" s="112"/>
      <c r="X551" s="112"/>
      <c r="Y551" s="112"/>
      <c r="Z551" s="112"/>
    </row>
    <row r="552" spans="1:26">
      <c r="A552" s="112"/>
      <c r="B552" s="112"/>
      <c r="C552" s="112"/>
      <c r="D552" s="112"/>
      <c r="E552" s="112"/>
      <c r="F552" s="112"/>
      <c r="G552" s="112"/>
      <c r="H552" s="112"/>
      <c r="I552" s="112"/>
      <c r="J552" s="112"/>
      <c r="K552" s="112"/>
      <c r="L552" s="112"/>
      <c r="M552" s="112"/>
      <c r="N552" s="112"/>
      <c r="O552" s="112"/>
      <c r="P552" s="112"/>
      <c r="Q552" s="112"/>
      <c r="R552" s="112"/>
      <c r="S552" s="112"/>
      <c r="T552" s="112"/>
      <c r="U552" s="112"/>
      <c r="V552" s="112"/>
      <c r="W552" s="112"/>
      <c r="X552" s="112"/>
      <c r="Y552" s="112"/>
      <c r="Z552" s="112"/>
    </row>
    <row r="553" spans="1:26">
      <c r="A553" s="112"/>
      <c r="B553" s="112"/>
      <c r="C553" s="112"/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  <c r="Y553" s="112"/>
      <c r="Z553" s="112"/>
    </row>
    <row r="554" spans="1:26">
      <c r="A554" s="112"/>
      <c r="B554" s="112"/>
      <c r="C554" s="112"/>
      <c r="D554" s="112"/>
      <c r="E554" s="112"/>
      <c r="F554" s="112"/>
      <c r="G554" s="112"/>
      <c r="H554" s="112"/>
      <c r="I554" s="112"/>
      <c r="J554" s="112"/>
      <c r="K554" s="112"/>
      <c r="L554" s="112"/>
      <c r="M554" s="112"/>
      <c r="N554" s="112"/>
      <c r="O554" s="112"/>
      <c r="P554" s="112"/>
      <c r="Q554" s="112"/>
      <c r="R554" s="112"/>
      <c r="S554" s="112"/>
      <c r="T554" s="112"/>
      <c r="U554" s="112"/>
      <c r="V554" s="112"/>
      <c r="W554" s="112"/>
      <c r="X554" s="112"/>
      <c r="Y554" s="112"/>
      <c r="Z554" s="112"/>
    </row>
    <row r="555" spans="1:26">
      <c r="A555" s="112"/>
      <c r="B555" s="112"/>
      <c r="C555" s="112"/>
      <c r="D555" s="112"/>
      <c r="E555" s="112"/>
      <c r="F555" s="112"/>
      <c r="G555" s="112"/>
      <c r="H555" s="112"/>
      <c r="I555" s="112"/>
      <c r="J555" s="112"/>
      <c r="K555" s="112"/>
      <c r="L555" s="112"/>
      <c r="M555" s="112"/>
      <c r="N555" s="112"/>
      <c r="O555" s="112"/>
      <c r="P555" s="112"/>
      <c r="Q555" s="112"/>
      <c r="R555" s="112"/>
      <c r="S555" s="112"/>
      <c r="T555" s="112"/>
      <c r="U555" s="112"/>
      <c r="V555" s="112"/>
      <c r="W555" s="112"/>
      <c r="X555" s="112"/>
      <c r="Y555" s="112"/>
      <c r="Z555" s="112"/>
    </row>
    <row r="556" spans="1:26">
      <c r="A556" s="112"/>
      <c r="B556" s="112"/>
      <c r="C556" s="112"/>
      <c r="D556" s="112"/>
      <c r="E556" s="112"/>
      <c r="F556" s="112"/>
      <c r="G556" s="112"/>
      <c r="H556" s="112"/>
      <c r="I556" s="112"/>
      <c r="J556" s="112"/>
      <c r="K556" s="112"/>
      <c r="L556" s="112"/>
      <c r="M556" s="112"/>
      <c r="N556" s="112"/>
      <c r="O556" s="112"/>
      <c r="P556" s="112"/>
      <c r="Q556" s="112"/>
      <c r="R556" s="112"/>
      <c r="S556" s="112"/>
      <c r="T556" s="112"/>
      <c r="U556" s="112"/>
      <c r="V556" s="112"/>
      <c r="W556" s="112"/>
      <c r="X556" s="112"/>
      <c r="Y556" s="112"/>
      <c r="Z556" s="112"/>
    </row>
    <row r="557" spans="1:26">
      <c r="A557" s="112"/>
      <c r="B557" s="112"/>
      <c r="C557" s="112"/>
      <c r="D557" s="112"/>
      <c r="E557" s="112"/>
      <c r="F557" s="112"/>
      <c r="G557" s="112"/>
      <c r="H557" s="112"/>
      <c r="I557" s="112"/>
      <c r="J557" s="112"/>
      <c r="K557" s="112"/>
      <c r="L557" s="112"/>
      <c r="M557" s="112"/>
      <c r="N557" s="112"/>
      <c r="O557" s="112"/>
      <c r="P557" s="112"/>
      <c r="Q557" s="112"/>
      <c r="R557" s="112"/>
      <c r="S557" s="112"/>
      <c r="T557" s="112"/>
      <c r="U557" s="112"/>
      <c r="V557" s="112"/>
      <c r="W557" s="112"/>
      <c r="X557" s="112"/>
      <c r="Y557" s="112"/>
      <c r="Z557" s="112"/>
    </row>
    <row r="558" spans="1:26">
      <c r="A558" s="112"/>
      <c r="B558" s="112"/>
      <c r="C558" s="112"/>
      <c r="D558" s="112"/>
      <c r="E558" s="112"/>
      <c r="F558" s="112"/>
      <c r="G558" s="112"/>
      <c r="H558" s="112"/>
      <c r="I558" s="112"/>
      <c r="J558" s="112"/>
      <c r="K558" s="112"/>
      <c r="L558" s="112"/>
      <c r="M558" s="112"/>
      <c r="N558" s="112"/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  <c r="Y558" s="112"/>
      <c r="Z558" s="112"/>
    </row>
    <row r="559" spans="1:26">
      <c r="A559" s="112"/>
      <c r="B559" s="112"/>
      <c r="C559" s="112"/>
      <c r="D559" s="112"/>
      <c r="E559" s="112"/>
      <c r="F559" s="112"/>
      <c r="G559" s="112"/>
      <c r="H559" s="112"/>
      <c r="I559" s="112"/>
      <c r="J559" s="112"/>
      <c r="K559" s="112"/>
      <c r="L559" s="112"/>
      <c r="M559" s="112"/>
      <c r="N559" s="112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  <c r="Y559" s="112"/>
      <c r="Z559" s="112"/>
    </row>
    <row r="560" spans="1:26">
      <c r="A560" s="112"/>
      <c r="B560" s="112"/>
      <c r="C560" s="112"/>
      <c r="D560" s="112"/>
      <c r="E560" s="112"/>
      <c r="F560" s="112"/>
      <c r="G560" s="112"/>
      <c r="H560" s="112"/>
      <c r="I560" s="112"/>
      <c r="J560" s="112"/>
      <c r="K560" s="112"/>
      <c r="L560" s="112"/>
      <c r="M560" s="112"/>
      <c r="N560" s="112"/>
      <c r="O560" s="112"/>
      <c r="P560" s="112"/>
      <c r="Q560" s="112"/>
      <c r="R560" s="112"/>
      <c r="S560" s="112"/>
      <c r="T560" s="112"/>
      <c r="U560" s="112"/>
      <c r="V560" s="112"/>
      <c r="W560" s="112"/>
      <c r="X560" s="112"/>
      <c r="Y560" s="112"/>
      <c r="Z560" s="112"/>
    </row>
    <row r="561" spans="1:26">
      <c r="A561" s="112"/>
      <c r="B561" s="112"/>
      <c r="C561" s="112"/>
      <c r="D561" s="112"/>
      <c r="E561" s="112"/>
      <c r="F561" s="112"/>
      <c r="G561" s="112"/>
      <c r="H561" s="112"/>
      <c r="I561" s="112"/>
      <c r="J561" s="112"/>
      <c r="K561" s="112"/>
      <c r="L561" s="112"/>
      <c r="M561" s="112"/>
      <c r="N561" s="112"/>
      <c r="O561" s="112"/>
      <c r="P561" s="112"/>
      <c r="Q561" s="112"/>
      <c r="R561" s="112"/>
      <c r="S561" s="112"/>
      <c r="T561" s="112"/>
      <c r="U561" s="112"/>
      <c r="V561" s="112"/>
      <c r="W561" s="112"/>
      <c r="X561" s="112"/>
      <c r="Y561" s="112"/>
      <c r="Z561" s="112"/>
    </row>
    <row r="562" spans="1:26">
      <c r="A562" s="112"/>
      <c r="B562" s="112"/>
      <c r="C562" s="112"/>
      <c r="D562" s="112"/>
      <c r="E562" s="112"/>
      <c r="F562" s="112"/>
      <c r="G562" s="112"/>
      <c r="H562" s="112"/>
      <c r="I562" s="112"/>
      <c r="J562" s="112"/>
      <c r="K562" s="112"/>
      <c r="L562" s="112"/>
      <c r="M562" s="112"/>
      <c r="N562" s="112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112"/>
      <c r="Z562" s="112"/>
    </row>
    <row r="563" spans="1:26">
      <c r="A563" s="112"/>
      <c r="B563" s="112"/>
      <c r="C563" s="112"/>
      <c r="D563" s="112"/>
      <c r="E563" s="112"/>
      <c r="F563" s="112"/>
      <c r="G563" s="112"/>
      <c r="H563" s="112"/>
      <c r="I563" s="112"/>
      <c r="J563" s="112"/>
      <c r="K563" s="112"/>
      <c r="L563" s="112"/>
      <c r="M563" s="112"/>
      <c r="N563" s="112"/>
      <c r="O563" s="112"/>
      <c r="P563" s="112"/>
      <c r="Q563" s="112"/>
      <c r="R563" s="112"/>
      <c r="S563" s="112"/>
      <c r="T563" s="112"/>
      <c r="U563" s="112"/>
      <c r="V563" s="112"/>
      <c r="W563" s="112"/>
      <c r="X563" s="112"/>
      <c r="Y563" s="112"/>
      <c r="Z563" s="112"/>
    </row>
    <row r="564" spans="1:26">
      <c r="A564" s="112"/>
      <c r="B564" s="112"/>
      <c r="C564" s="112"/>
      <c r="D564" s="112"/>
      <c r="E564" s="112"/>
      <c r="F564" s="112"/>
      <c r="G564" s="112"/>
      <c r="H564" s="112"/>
      <c r="I564" s="112"/>
      <c r="J564" s="112"/>
      <c r="K564" s="112"/>
      <c r="L564" s="112"/>
      <c r="M564" s="112"/>
      <c r="N564" s="112"/>
      <c r="O564" s="112"/>
      <c r="P564" s="112"/>
      <c r="Q564" s="112"/>
      <c r="R564" s="112"/>
      <c r="S564" s="112"/>
      <c r="T564" s="112"/>
      <c r="U564" s="112"/>
      <c r="V564" s="112"/>
      <c r="W564" s="112"/>
      <c r="X564" s="112"/>
      <c r="Y564" s="112"/>
      <c r="Z564" s="112"/>
    </row>
    <row r="565" spans="1:26">
      <c r="A565" s="112"/>
      <c r="B565" s="112"/>
      <c r="C565" s="112"/>
      <c r="D565" s="112"/>
      <c r="E565" s="112"/>
      <c r="F565" s="112"/>
      <c r="G565" s="112"/>
      <c r="H565" s="112"/>
      <c r="I565" s="112"/>
      <c r="J565" s="112"/>
      <c r="K565" s="112"/>
      <c r="L565" s="112"/>
      <c r="M565" s="112"/>
      <c r="N565" s="112"/>
      <c r="O565" s="112"/>
      <c r="P565" s="112"/>
      <c r="Q565" s="112"/>
      <c r="R565" s="112"/>
      <c r="S565" s="112"/>
      <c r="T565" s="112"/>
      <c r="U565" s="112"/>
      <c r="V565" s="112"/>
      <c r="W565" s="112"/>
      <c r="X565" s="112"/>
      <c r="Y565" s="112"/>
      <c r="Z565" s="112"/>
    </row>
    <row r="566" spans="1:26">
      <c r="A566" s="112"/>
      <c r="B566" s="112"/>
      <c r="C566" s="112"/>
      <c r="D566" s="112"/>
      <c r="E566" s="112"/>
      <c r="F566" s="112"/>
      <c r="G566" s="112"/>
      <c r="H566" s="112"/>
      <c r="I566" s="112"/>
      <c r="J566" s="112"/>
      <c r="K566" s="112"/>
      <c r="L566" s="112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  <c r="Z566" s="112"/>
    </row>
    <row r="567" spans="1:26">
      <c r="A567" s="112"/>
      <c r="B567" s="112"/>
      <c r="C567" s="112"/>
      <c r="D567" s="112"/>
      <c r="E567" s="112"/>
      <c r="F567" s="112"/>
      <c r="G567" s="112"/>
      <c r="H567" s="112"/>
      <c r="I567" s="112"/>
      <c r="J567" s="112"/>
      <c r="K567" s="112"/>
      <c r="L567" s="112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  <c r="Z567" s="112"/>
    </row>
    <row r="568" spans="1:26">
      <c r="A568" s="112"/>
      <c r="B568" s="112"/>
      <c r="C568" s="112"/>
      <c r="D568" s="112"/>
      <c r="E568" s="112"/>
      <c r="F568" s="112"/>
      <c r="G568" s="112"/>
      <c r="H568" s="112"/>
      <c r="I568" s="112"/>
      <c r="J568" s="112"/>
      <c r="K568" s="112"/>
      <c r="L568" s="112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  <c r="Z568" s="112"/>
    </row>
    <row r="569" spans="1:26">
      <c r="A569" s="112"/>
      <c r="B569" s="112"/>
      <c r="C569" s="112"/>
      <c r="D569" s="112"/>
      <c r="E569" s="112"/>
      <c r="F569" s="112"/>
      <c r="G569" s="112"/>
      <c r="H569" s="112"/>
      <c r="I569" s="112"/>
      <c r="J569" s="112"/>
      <c r="K569" s="112"/>
      <c r="L569" s="112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  <c r="Z569" s="112"/>
    </row>
    <row r="570" spans="1:26">
      <c r="A570" s="112"/>
      <c r="B570" s="112"/>
      <c r="C570" s="112"/>
      <c r="D570" s="112"/>
      <c r="E570" s="112"/>
      <c r="F570" s="112"/>
      <c r="G570" s="112"/>
      <c r="H570" s="112"/>
      <c r="I570" s="112"/>
      <c r="J570" s="112"/>
      <c r="K570" s="112"/>
      <c r="L570" s="112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  <c r="Z570" s="112"/>
    </row>
    <row r="571" spans="1:26">
      <c r="A571" s="112"/>
      <c r="B571" s="112"/>
      <c r="C571" s="112"/>
      <c r="D571" s="112"/>
      <c r="E571" s="112"/>
      <c r="F571" s="112"/>
      <c r="G571" s="112"/>
      <c r="H571" s="112"/>
      <c r="I571" s="112"/>
      <c r="J571" s="112"/>
      <c r="K571" s="112"/>
      <c r="L571" s="112"/>
      <c r="M571" s="112"/>
      <c r="N571" s="112"/>
      <c r="O571" s="112"/>
      <c r="P571" s="112"/>
      <c r="Q571" s="112"/>
      <c r="R571" s="112"/>
      <c r="S571" s="112"/>
      <c r="T571" s="112"/>
      <c r="U571" s="112"/>
      <c r="V571" s="112"/>
      <c r="W571" s="112"/>
      <c r="X571" s="112"/>
      <c r="Y571" s="112"/>
      <c r="Z571" s="112"/>
    </row>
    <row r="572" spans="1:26">
      <c r="A572" s="112"/>
      <c r="B572" s="112"/>
      <c r="C572" s="112"/>
      <c r="D572" s="112"/>
      <c r="E572" s="112"/>
      <c r="F572" s="112"/>
      <c r="G572" s="112"/>
      <c r="H572" s="112"/>
      <c r="I572" s="112"/>
      <c r="J572" s="112"/>
      <c r="K572" s="112"/>
      <c r="L572" s="112"/>
      <c r="M572" s="112"/>
      <c r="N572" s="112"/>
      <c r="O572" s="112"/>
      <c r="P572" s="112"/>
      <c r="Q572" s="112"/>
      <c r="R572" s="112"/>
      <c r="S572" s="112"/>
      <c r="T572" s="112"/>
      <c r="U572" s="112"/>
      <c r="V572" s="112"/>
      <c r="W572" s="112"/>
      <c r="X572" s="112"/>
      <c r="Y572" s="112"/>
      <c r="Z572" s="112"/>
    </row>
    <row r="573" spans="1:26">
      <c r="A573" s="112"/>
      <c r="B573" s="112"/>
      <c r="C573" s="112"/>
      <c r="D573" s="112"/>
      <c r="E573" s="112"/>
      <c r="F573" s="112"/>
      <c r="G573" s="112"/>
      <c r="H573" s="112"/>
      <c r="I573" s="112"/>
      <c r="J573" s="112"/>
      <c r="K573" s="112"/>
      <c r="L573" s="112"/>
      <c r="M573" s="112"/>
      <c r="N573" s="112"/>
      <c r="O573" s="112"/>
      <c r="P573" s="112"/>
      <c r="Q573" s="112"/>
      <c r="R573" s="112"/>
      <c r="S573" s="112"/>
      <c r="T573" s="112"/>
      <c r="U573" s="112"/>
      <c r="V573" s="112"/>
      <c r="W573" s="112"/>
      <c r="X573" s="112"/>
      <c r="Y573" s="112"/>
      <c r="Z573" s="112"/>
    </row>
    <row r="574" spans="1:26">
      <c r="A574" s="112"/>
      <c r="B574" s="112"/>
      <c r="C574" s="112"/>
      <c r="D574" s="112"/>
      <c r="E574" s="112"/>
      <c r="F574" s="112"/>
      <c r="G574" s="112"/>
      <c r="H574" s="112"/>
      <c r="I574" s="112"/>
      <c r="J574" s="112"/>
      <c r="K574" s="112"/>
      <c r="L574" s="112"/>
      <c r="M574" s="112"/>
      <c r="N574" s="112"/>
      <c r="O574" s="112"/>
      <c r="P574" s="112"/>
      <c r="Q574" s="112"/>
      <c r="R574" s="112"/>
      <c r="S574" s="112"/>
      <c r="T574" s="112"/>
      <c r="U574" s="112"/>
      <c r="V574" s="112"/>
      <c r="W574" s="112"/>
      <c r="X574" s="112"/>
      <c r="Y574" s="112"/>
      <c r="Z574" s="112"/>
    </row>
    <row r="575" spans="1:26">
      <c r="A575" s="112"/>
      <c r="B575" s="112"/>
      <c r="C575" s="112"/>
      <c r="D575" s="112"/>
      <c r="E575" s="112"/>
      <c r="F575" s="112"/>
      <c r="G575" s="112"/>
      <c r="H575" s="112"/>
      <c r="I575" s="112"/>
      <c r="J575" s="112"/>
      <c r="K575" s="112"/>
      <c r="L575" s="112"/>
      <c r="M575" s="112"/>
      <c r="N575" s="112"/>
      <c r="O575" s="112"/>
      <c r="P575" s="112"/>
      <c r="Q575" s="112"/>
      <c r="R575" s="112"/>
      <c r="S575" s="112"/>
      <c r="T575" s="112"/>
      <c r="U575" s="112"/>
      <c r="V575" s="112"/>
      <c r="W575" s="112"/>
      <c r="X575" s="112"/>
      <c r="Y575" s="112"/>
      <c r="Z575" s="112"/>
    </row>
    <row r="576" spans="1:26">
      <c r="A576" s="112"/>
      <c r="B576" s="112"/>
      <c r="C576" s="112"/>
      <c r="D576" s="112"/>
      <c r="E576" s="112"/>
      <c r="F576" s="112"/>
      <c r="G576" s="112"/>
      <c r="H576" s="112"/>
      <c r="I576" s="112"/>
      <c r="J576" s="112"/>
      <c r="K576" s="112"/>
      <c r="L576" s="112"/>
      <c r="M576" s="112"/>
      <c r="N576" s="112"/>
      <c r="O576" s="112"/>
      <c r="P576" s="112"/>
      <c r="Q576" s="112"/>
      <c r="R576" s="112"/>
      <c r="S576" s="112"/>
      <c r="T576" s="112"/>
      <c r="U576" s="112"/>
      <c r="V576" s="112"/>
      <c r="W576" s="112"/>
      <c r="X576" s="112"/>
      <c r="Y576" s="112"/>
      <c r="Z576" s="112"/>
    </row>
    <row r="577" spans="1:26">
      <c r="A577" s="112"/>
      <c r="B577" s="112"/>
      <c r="C577" s="112"/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  <c r="Q577" s="112"/>
      <c r="R577" s="112"/>
      <c r="S577" s="112"/>
      <c r="T577" s="112"/>
      <c r="U577" s="112"/>
      <c r="V577" s="112"/>
      <c r="W577" s="112"/>
      <c r="X577" s="112"/>
      <c r="Y577" s="112"/>
      <c r="Z577" s="112"/>
    </row>
    <row r="578" spans="1:26">
      <c r="A578" s="112"/>
      <c r="B578" s="112"/>
      <c r="C578" s="112"/>
      <c r="D578" s="112"/>
      <c r="E578" s="112"/>
      <c r="F578" s="112"/>
      <c r="G578" s="112"/>
      <c r="H578" s="112"/>
      <c r="I578" s="112"/>
      <c r="J578" s="112"/>
      <c r="K578" s="112"/>
      <c r="L578" s="112"/>
      <c r="M578" s="112"/>
      <c r="N578" s="112"/>
      <c r="O578" s="112"/>
      <c r="P578" s="112"/>
      <c r="Q578" s="112"/>
      <c r="R578" s="112"/>
      <c r="S578" s="112"/>
      <c r="T578" s="112"/>
      <c r="U578" s="112"/>
      <c r="V578" s="112"/>
      <c r="W578" s="112"/>
      <c r="X578" s="112"/>
      <c r="Y578" s="112"/>
      <c r="Z578" s="112"/>
    </row>
    <row r="579" spans="1:26">
      <c r="A579" s="112"/>
      <c r="B579" s="112"/>
      <c r="C579" s="112"/>
      <c r="D579" s="112"/>
      <c r="E579" s="112"/>
      <c r="F579" s="112"/>
      <c r="G579" s="112"/>
      <c r="H579" s="112"/>
      <c r="I579" s="112"/>
      <c r="J579" s="112"/>
      <c r="K579" s="112"/>
      <c r="L579" s="112"/>
      <c r="M579" s="112"/>
      <c r="N579" s="112"/>
      <c r="O579" s="112"/>
      <c r="P579" s="112"/>
      <c r="Q579" s="112"/>
      <c r="R579" s="112"/>
      <c r="S579" s="112"/>
      <c r="T579" s="112"/>
      <c r="U579" s="112"/>
      <c r="V579" s="112"/>
      <c r="W579" s="112"/>
      <c r="X579" s="112"/>
      <c r="Y579" s="112"/>
      <c r="Z579" s="112"/>
    </row>
    <row r="580" spans="1:26">
      <c r="A580" s="112"/>
      <c r="B580" s="112"/>
      <c r="C580" s="112"/>
      <c r="D580" s="112"/>
      <c r="E580" s="112"/>
      <c r="F580" s="112"/>
      <c r="G580" s="112"/>
      <c r="H580" s="112"/>
      <c r="I580" s="112"/>
      <c r="J580" s="112"/>
      <c r="K580" s="112"/>
      <c r="L580" s="112"/>
      <c r="M580" s="112"/>
      <c r="N580" s="112"/>
      <c r="O580" s="112"/>
      <c r="P580" s="112"/>
      <c r="Q580" s="112"/>
      <c r="R580" s="112"/>
      <c r="S580" s="112"/>
      <c r="T580" s="112"/>
      <c r="U580" s="112"/>
      <c r="V580" s="112"/>
      <c r="W580" s="112"/>
      <c r="X580" s="112"/>
      <c r="Y580" s="112"/>
      <c r="Z580" s="112"/>
    </row>
    <row r="581" spans="1:26">
      <c r="A581" s="112"/>
      <c r="B581" s="112"/>
      <c r="C581" s="112"/>
      <c r="D581" s="112"/>
      <c r="E581" s="112"/>
      <c r="F581" s="112"/>
      <c r="G581" s="112"/>
      <c r="H581" s="112"/>
      <c r="I581" s="112"/>
      <c r="J581" s="112"/>
      <c r="K581" s="112"/>
      <c r="L581" s="112"/>
      <c r="M581" s="112"/>
      <c r="N581" s="112"/>
      <c r="O581" s="112"/>
      <c r="P581" s="112"/>
      <c r="Q581" s="112"/>
      <c r="R581" s="112"/>
      <c r="S581" s="112"/>
      <c r="T581" s="112"/>
      <c r="U581" s="112"/>
      <c r="V581" s="112"/>
      <c r="W581" s="112"/>
      <c r="X581" s="112"/>
      <c r="Y581" s="112"/>
      <c r="Z581" s="112"/>
    </row>
    <row r="582" spans="1:26">
      <c r="A582" s="112"/>
      <c r="B582" s="112"/>
      <c r="C582" s="112"/>
      <c r="D582" s="112"/>
      <c r="E582" s="112"/>
      <c r="F582" s="112"/>
      <c r="G582" s="112"/>
      <c r="H582" s="112"/>
      <c r="I582" s="112"/>
      <c r="J582" s="112"/>
      <c r="K582" s="112"/>
      <c r="L582" s="112"/>
      <c r="M582" s="112"/>
      <c r="N582" s="112"/>
      <c r="O582" s="112"/>
      <c r="P582" s="112"/>
      <c r="Q582" s="112"/>
      <c r="R582" s="112"/>
      <c r="S582" s="112"/>
      <c r="T582" s="112"/>
      <c r="U582" s="112"/>
      <c r="V582" s="112"/>
      <c r="W582" s="112"/>
      <c r="X582" s="112"/>
      <c r="Y582" s="112"/>
      <c r="Z582" s="112"/>
    </row>
    <row r="583" spans="1:26">
      <c r="A583" s="112"/>
      <c r="B583" s="112"/>
      <c r="C583" s="112"/>
      <c r="D583" s="112"/>
      <c r="E583" s="112"/>
      <c r="F583" s="112"/>
      <c r="G583" s="112"/>
      <c r="H583" s="112"/>
      <c r="I583" s="112"/>
      <c r="J583" s="112"/>
      <c r="K583" s="112"/>
      <c r="L583" s="112"/>
      <c r="M583" s="112"/>
      <c r="N583" s="112"/>
      <c r="O583" s="112"/>
      <c r="P583" s="112"/>
      <c r="Q583" s="112"/>
      <c r="R583" s="112"/>
      <c r="S583" s="112"/>
      <c r="T583" s="112"/>
      <c r="U583" s="112"/>
      <c r="V583" s="112"/>
      <c r="W583" s="112"/>
      <c r="X583" s="112"/>
      <c r="Y583" s="112"/>
      <c r="Z583" s="112"/>
    </row>
    <row r="584" spans="1:26">
      <c r="A584" s="112"/>
      <c r="B584" s="112"/>
      <c r="C584" s="112"/>
      <c r="D584" s="112"/>
      <c r="E584" s="112"/>
      <c r="F584" s="112"/>
      <c r="G584" s="112"/>
      <c r="H584" s="112"/>
      <c r="I584" s="112"/>
      <c r="J584" s="112"/>
      <c r="K584" s="112"/>
      <c r="L584" s="112"/>
      <c r="M584" s="112"/>
      <c r="N584" s="112"/>
      <c r="O584" s="112"/>
      <c r="P584" s="112"/>
      <c r="Q584" s="112"/>
      <c r="R584" s="112"/>
      <c r="S584" s="112"/>
      <c r="T584" s="112"/>
      <c r="U584" s="112"/>
      <c r="V584" s="112"/>
      <c r="W584" s="112"/>
      <c r="X584" s="112"/>
      <c r="Y584" s="112"/>
      <c r="Z584" s="112"/>
    </row>
    <row r="585" spans="1:26">
      <c r="A585" s="112"/>
      <c r="B585" s="112"/>
      <c r="C585" s="112"/>
      <c r="D585" s="112"/>
      <c r="E585" s="112"/>
      <c r="F585" s="112"/>
      <c r="G585" s="112"/>
      <c r="H585" s="112"/>
      <c r="I585" s="112"/>
      <c r="J585" s="112"/>
      <c r="K585" s="112"/>
      <c r="L585" s="112"/>
      <c r="M585" s="112"/>
      <c r="N585" s="112"/>
      <c r="O585" s="112"/>
      <c r="P585" s="112"/>
      <c r="Q585" s="112"/>
      <c r="R585" s="112"/>
      <c r="S585" s="112"/>
      <c r="T585" s="112"/>
      <c r="U585" s="112"/>
      <c r="V585" s="112"/>
      <c r="W585" s="112"/>
      <c r="X585" s="112"/>
      <c r="Y585" s="112"/>
      <c r="Z585" s="112"/>
    </row>
    <row r="586" spans="1:26">
      <c r="A586" s="112"/>
      <c r="B586" s="112"/>
      <c r="C586" s="112"/>
      <c r="D586" s="112"/>
      <c r="E586" s="112"/>
      <c r="F586" s="112"/>
      <c r="G586" s="112"/>
      <c r="H586" s="112"/>
      <c r="I586" s="112"/>
      <c r="J586" s="112"/>
      <c r="K586" s="112"/>
      <c r="L586" s="112"/>
      <c r="M586" s="112"/>
      <c r="N586" s="112"/>
      <c r="O586" s="112"/>
      <c r="P586" s="112"/>
      <c r="Q586" s="112"/>
      <c r="R586" s="112"/>
      <c r="S586" s="112"/>
      <c r="T586" s="112"/>
      <c r="U586" s="112"/>
      <c r="V586" s="112"/>
      <c r="W586" s="112"/>
      <c r="X586" s="112"/>
      <c r="Y586" s="112"/>
      <c r="Z586" s="112"/>
    </row>
    <row r="587" spans="1:26">
      <c r="A587" s="112"/>
      <c r="B587" s="112"/>
      <c r="C587" s="112"/>
      <c r="D587" s="112"/>
      <c r="E587" s="112"/>
      <c r="F587" s="112"/>
      <c r="G587" s="112"/>
      <c r="H587" s="112"/>
      <c r="I587" s="112"/>
      <c r="J587" s="112"/>
      <c r="K587" s="112"/>
      <c r="L587" s="112"/>
      <c r="M587" s="112"/>
      <c r="N587" s="112"/>
      <c r="O587" s="112"/>
      <c r="P587" s="112"/>
      <c r="Q587" s="112"/>
      <c r="R587" s="112"/>
      <c r="S587" s="112"/>
      <c r="T587" s="112"/>
      <c r="U587" s="112"/>
      <c r="V587" s="112"/>
      <c r="W587" s="112"/>
      <c r="X587" s="112"/>
      <c r="Y587" s="112"/>
      <c r="Z587" s="112"/>
    </row>
    <row r="588" spans="1:26">
      <c r="A588" s="112"/>
      <c r="B588" s="112"/>
      <c r="C588" s="112"/>
      <c r="D588" s="112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</row>
    <row r="589" spans="1:26">
      <c r="A589" s="112"/>
      <c r="B589" s="112"/>
      <c r="C589" s="112"/>
      <c r="D589" s="112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</row>
    <row r="590" spans="1:26">
      <c r="A590" s="112"/>
      <c r="B590" s="112"/>
      <c r="C590" s="112"/>
      <c r="D590" s="112"/>
      <c r="E590" s="112"/>
      <c r="F590" s="112"/>
      <c r="G590" s="112"/>
      <c r="H590" s="112"/>
      <c r="I590" s="112"/>
      <c r="J590" s="112"/>
      <c r="K590" s="112"/>
      <c r="L590" s="112"/>
      <c r="M590" s="112"/>
      <c r="N590" s="112"/>
      <c r="O590" s="112"/>
      <c r="P590" s="112"/>
      <c r="Q590" s="112"/>
      <c r="R590" s="112"/>
      <c r="S590" s="112"/>
      <c r="T590" s="112"/>
      <c r="U590" s="112"/>
      <c r="V590" s="112"/>
      <c r="W590" s="112"/>
      <c r="X590" s="112"/>
      <c r="Y590" s="112"/>
      <c r="Z590" s="112"/>
    </row>
    <row r="591" spans="1:26">
      <c r="A591" s="112"/>
      <c r="B591" s="112"/>
      <c r="C591" s="112"/>
      <c r="D591" s="112"/>
      <c r="E591" s="112"/>
      <c r="F591" s="112"/>
      <c r="G591" s="112"/>
      <c r="H591" s="112"/>
      <c r="I591" s="112"/>
      <c r="J591" s="112"/>
      <c r="K591" s="112"/>
      <c r="L591" s="112"/>
      <c r="M591" s="112"/>
      <c r="N591" s="112"/>
      <c r="O591" s="112"/>
      <c r="P591" s="112"/>
      <c r="Q591" s="112"/>
      <c r="R591" s="112"/>
      <c r="S591" s="112"/>
      <c r="T591" s="112"/>
      <c r="U591" s="112"/>
      <c r="V591" s="112"/>
      <c r="W591" s="112"/>
      <c r="X591" s="112"/>
      <c r="Y591" s="112"/>
      <c r="Z591" s="112"/>
    </row>
    <row r="592" spans="1:26">
      <c r="A592" s="112"/>
      <c r="B592" s="112"/>
      <c r="C592" s="112"/>
      <c r="D592" s="112"/>
      <c r="E592" s="112"/>
      <c r="F592" s="112"/>
      <c r="G592" s="112"/>
      <c r="H592" s="112"/>
      <c r="I592" s="112"/>
      <c r="J592" s="112"/>
      <c r="K592" s="112"/>
      <c r="L592" s="112"/>
      <c r="M592" s="112"/>
      <c r="N592" s="112"/>
      <c r="O592" s="112"/>
      <c r="P592" s="112"/>
      <c r="Q592" s="112"/>
      <c r="R592" s="112"/>
      <c r="S592" s="112"/>
      <c r="T592" s="112"/>
      <c r="U592" s="112"/>
      <c r="V592" s="112"/>
      <c r="W592" s="112"/>
      <c r="X592" s="112"/>
      <c r="Y592" s="112"/>
      <c r="Z592" s="112"/>
    </row>
    <row r="593" spans="1:26">
      <c r="A593" s="112"/>
      <c r="B593" s="112"/>
      <c r="C593" s="112"/>
      <c r="D593" s="112"/>
      <c r="E593" s="112"/>
      <c r="F593" s="112"/>
      <c r="G593" s="112"/>
      <c r="H593" s="112"/>
      <c r="I593" s="112"/>
      <c r="J593" s="112"/>
      <c r="K593" s="112"/>
      <c r="L593" s="112"/>
      <c r="M593" s="112"/>
      <c r="N593" s="112"/>
      <c r="O593" s="112"/>
      <c r="P593" s="112"/>
      <c r="Q593" s="112"/>
      <c r="R593" s="112"/>
      <c r="S593" s="112"/>
      <c r="T593" s="112"/>
      <c r="U593" s="112"/>
      <c r="V593" s="112"/>
      <c r="W593" s="112"/>
      <c r="X593" s="112"/>
      <c r="Y593" s="112"/>
      <c r="Z593" s="112"/>
    </row>
    <row r="594" spans="1:26">
      <c r="A594" s="112"/>
      <c r="B594" s="112"/>
      <c r="C594" s="112"/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  <c r="Q594" s="112"/>
      <c r="R594" s="112"/>
      <c r="S594" s="112"/>
      <c r="T594" s="112"/>
      <c r="U594" s="112"/>
      <c r="V594" s="112"/>
      <c r="W594" s="112"/>
      <c r="X594" s="112"/>
      <c r="Y594" s="112"/>
      <c r="Z594" s="112"/>
    </row>
    <row r="595" spans="1:26">
      <c r="A595" s="112"/>
      <c r="B595" s="112"/>
      <c r="C595" s="112"/>
      <c r="D595" s="112"/>
      <c r="E595" s="112"/>
      <c r="F595" s="112"/>
      <c r="G595" s="112"/>
      <c r="H595" s="112"/>
      <c r="I595" s="112"/>
      <c r="J595" s="112"/>
      <c r="K595" s="112"/>
      <c r="L595" s="112"/>
      <c r="M595" s="112"/>
      <c r="N595" s="112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  <c r="Y595" s="112"/>
      <c r="Z595" s="112"/>
    </row>
    <row r="596" spans="1:26">
      <c r="A596" s="112"/>
      <c r="B596" s="112"/>
      <c r="C596" s="112"/>
      <c r="D596" s="112"/>
      <c r="E596" s="112"/>
      <c r="F596" s="112"/>
      <c r="G596" s="112"/>
      <c r="H596" s="112"/>
      <c r="I596" s="112"/>
      <c r="J596" s="112"/>
      <c r="K596" s="112"/>
      <c r="L596" s="112"/>
      <c r="M596" s="112"/>
      <c r="N596" s="112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  <c r="Y596" s="112"/>
      <c r="Z596" s="112"/>
    </row>
    <row r="597" spans="1:26">
      <c r="A597" s="112"/>
      <c r="B597" s="112"/>
      <c r="C597" s="112"/>
      <c r="D597" s="112"/>
      <c r="E597" s="112"/>
      <c r="F597" s="112"/>
      <c r="G597" s="112"/>
      <c r="H597" s="112"/>
      <c r="I597" s="112"/>
      <c r="J597" s="112"/>
      <c r="K597" s="112"/>
      <c r="L597" s="112"/>
      <c r="M597" s="112"/>
      <c r="N597" s="112"/>
      <c r="O597" s="112"/>
      <c r="P597" s="112"/>
      <c r="Q597" s="112"/>
      <c r="R597" s="112"/>
      <c r="S597" s="112"/>
      <c r="T597" s="112"/>
      <c r="U597" s="112"/>
      <c r="V597" s="112"/>
      <c r="W597" s="112"/>
      <c r="X597" s="112"/>
      <c r="Y597" s="112"/>
      <c r="Z597" s="112"/>
    </row>
    <row r="598" spans="1:26">
      <c r="A598" s="112"/>
      <c r="B598" s="112"/>
      <c r="C598" s="112"/>
      <c r="D598" s="112"/>
      <c r="E598" s="112"/>
      <c r="F598" s="112"/>
      <c r="G598" s="112"/>
      <c r="H598" s="112"/>
      <c r="I598" s="112"/>
      <c r="J598" s="112"/>
      <c r="K598" s="112"/>
      <c r="L598" s="112"/>
      <c r="M598" s="112"/>
      <c r="N598" s="112"/>
      <c r="O598" s="112"/>
      <c r="P598" s="112"/>
      <c r="Q598" s="112"/>
      <c r="R598" s="112"/>
      <c r="S598" s="112"/>
      <c r="T598" s="112"/>
      <c r="U598" s="112"/>
      <c r="V598" s="112"/>
      <c r="W598" s="112"/>
      <c r="X598" s="112"/>
      <c r="Y598" s="112"/>
      <c r="Z598" s="112"/>
    </row>
    <row r="599" spans="1:26">
      <c r="A599" s="112"/>
      <c r="B599" s="112"/>
      <c r="C599" s="112"/>
      <c r="D599" s="112"/>
      <c r="E599" s="112"/>
      <c r="F599" s="112"/>
      <c r="G599" s="112"/>
      <c r="H599" s="112"/>
      <c r="I599" s="112"/>
      <c r="J599" s="112"/>
      <c r="K599" s="112"/>
      <c r="L599" s="112"/>
      <c r="M599" s="112"/>
      <c r="N599" s="112"/>
      <c r="O599" s="112"/>
      <c r="P599" s="112"/>
      <c r="Q599" s="112"/>
      <c r="R599" s="112"/>
      <c r="S599" s="112"/>
      <c r="T599" s="112"/>
      <c r="U599" s="112"/>
      <c r="V599" s="112"/>
      <c r="W599" s="112"/>
      <c r="X599" s="112"/>
      <c r="Y599" s="112"/>
      <c r="Z599" s="112"/>
    </row>
    <row r="600" spans="1:26">
      <c r="A600" s="112"/>
      <c r="B600" s="112"/>
      <c r="C600" s="112"/>
      <c r="D600" s="112"/>
      <c r="E600" s="112"/>
      <c r="F600" s="112"/>
      <c r="G600" s="112"/>
      <c r="H600" s="112"/>
      <c r="I600" s="112"/>
      <c r="J600" s="112"/>
      <c r="K600" s="112"/>
      <c r="L600" s="112"/>
      <c r="M600" s="112"/>
      <c r="N600" s="112"/>
      <c r="O600" s="112"/>
      <c r="P600" s="112"/>
      <c r="Q600" s="112"/>
      <c r="R600" s="112"/>
      <c r="S600" s="112"/>
      <c r="T600" s="112"/>
      <c r="U600" s="112"/>
      <c r="V600" s="112"/>
      <c r="W600" s="112"/>
      <c r="X600" s="112"/>
      <c r="Y600" s="112"/>
      <c r="Z600" s="112"/>
    </row>
    <row r="601" spans="1:26">
      <c r="A601" s="112"/>
      <c r="B601" s="112"/>
      <c r="C601" s="112"/>
      <c r="D601" s="112"/>
      <c r="E601" s="112"/>
      <c r="F601" s="112"/>
      <c r="G601" s="112"/>
      <c r="H601" s="112"/>
      <c r="I601" s="112"/>
      <c r="J601" s="112"/>
      <c r="K601" s="112"/>
      <c r="L601" s="112"/>
      <c r="M601" s="112"/>
      <c r="N601" s="112"/>
      <c r="O601" s="112"/>
      <c r="P601" s="112"/>
      <c r="Q601" s="112"/>
      <c r="R601" s="112"/>
      <c r="S601" s="112"/>
      <c r="T601" s="112"/>
      <c r="U601" s="112"/>
      <c r="V601" s="112"/>
      <c r="W601" s="112"/>
      <c r="X601" s="112"/>
      <c r="Y601" s="112"/>
      <c r="Z601" s="112"/>
    </row>
    <row r="602" spans="1:26">
      <c r="A602" s="112"/>
      <c r="B602" s="112"/>
      <c r="C602" s="112"/>
      <c r="D602" s="112"/>
      <c r="E602" s="112"/>
      <c r="F602" s="112"/>
      <c r="G602" s="112"/>
      <c r="H602" s="112"/>
      <c r="I602" s="112"/>
      <c r="J602" s="112"/>
      <c r="K602" s="112"/>
      <c r="L602" s="112"/>
      <c r="M602" s="112"/>
      <c r="N602" s="112"/>
      <c r="O602" s="112"/>
      <c r="P602" s="112"/>
      <c r="Q602" s="112"/>
      <c r="R602" s="112"/>
      <c r="S602" s="112"/>
      <c r="T602" s="112"/>
      <c r="U602" s="112"/>
      <c r="V602" s="112"/>
      <c r="W602" s="112"/>
      <c r="X602" s="112"/>
      <c r="Y602" s="112"/>
      <c r="Z602" s="112"/>
    </row>
    <row r="603" spans="1:26">
      <c r="A603" s="112"/>
      <c r="B603" s="112"/>
      <c r="C603" s="112"/>
      <c r="D603" s="112"/>
      <c r="E603" s="112"/>
      <c r="F603" s="112"/>
      <c r="G603" s="112"/>
      <c r="H603" s="112"/>
      <c r="I603" s="112"/>
      <c r="J603" s="112"/>
      <c r="K603" s="112"/>
      <c r="L603" s="112"/>
      <c r="M603" s="112"/>
      <c r="N603" s="112"/>
      <c r="O603" s="112"/>
      <c r="P603" s="112"/>
      <c r="Q603" s="112"/>
      <c r="R603" s="112"/>
      <c r="S603" s="112"/>
      <c r="T603" s="112"/>
      <c r="U603" s="112"/>
      <c r="V603" s="112"/>
      <c r="W603" s="112"/>
      <c r="X603" s="112"/>
      <c r="Y603" s="112"/>
      <c r="Z603" s="112"/>
    </row>
    <row r="604" spans="1:26">
      <c r="A604" s="112"/>
      <c r="B604" s="112"/>
      <c r="C604" s="112"/>
      <c r="D604" s="112"/>
      <c r="E604" s="112"/>
      <c r="F604" s="112"/>
      <c r="G604" s="112"/>
      <c r="H604" s="112"/>
      <c r="I604" s="112"/>
      <c r="J604" s="112"/>
      <c r="K604" s="112"/>
      <c r="L604" s="112"/>
      <c r="M604" s="112"/>
      <c r="N604" s="112"/>
      <c r="O604" s="112"/>
      <c r="P604" s="112"/>
      <c r="Q604" s="112"/>
      <c r="R604" s="112"/>
      <c r="S604" s="112"/>
      <c r="T604" s="112"/>
      <c r="U604" s="112"/>
      <c r="V604" s="112"/>
      <c r="W604" s="112"/>
      <c r="X604" s="112"/>
      <c r="Y604" s="112"/>
      <c r="Z604" s="112"/>
    </row>
    <row r="605" spans="1:26">
      <c r="A605" s="112"/>
      <c r="B605" s="112"/>
      <c r="C605" s="112"/>
      <c r="D605" s="112"/>
      <c r="E605" s="112"/>
      <c r="F605" s="112"/>
      <c r="G605" s="112"/>
      <c r="H605" s="112"/>
      <c r="I605" s="112"/>
      <c r="J605" s="112"/>
      <c r="K605" s="112"/>
      <c r="L605" s="112"/>
      <c r="M605" s="112"/>
      <c r="N605" s="112"/>
      <c r="O605" s="112"/>
      <c r="P605" s="112"/>
      <c r="Q605" s="112"/>
      <c r="R605" s="112"/>
      <c r="S605" s="112"/>
      <c r="T605" s="112"/>
      <c r="U605" s="112"/>
      <c r="V605" s="112"/>
      <c r="W605" s="112"/>
      <c r="X605" s="112"/>
      <c r="Y605" s="112"/>
      <c r="Z605" s="112"/>
    </row>
    <row r="606" spans="1:26">
      <c r="A606" s="112"/>
      <c r="B606" s="112"/>
      <c r="C606" s="112"/>
      <c r="D606" s="112"/>
      <c r="E606" s="112"/>
      <c r="F606" s="112"/>
      <c r="G606" s="112"/>
      <c r="H606" s="112"/>
      <c r="I606" s="112"/>
      <c r="J606" s="112"/>
      <c r="K606" s="112"/>
      <c r="L606" s="112"/>
      <c r="M606" s="112"/>
      <c r="N606" s="112"/>
      <c r="O606" s="112"/>
      <c r="P606" s="112"/>
      <c r="Q606" s="112"/>
      <c r="R606" s="112"/>
      <c r="S606" s="112"/>
      <c r="T606" s="112"/>
      <c r="U606" s="112"/>
      <c r="V606" s="112"/>
      <c r="W606" s="112"/>
      <c r="X606" s="112"/>
      <c r="Y606" s="112"/>
      <c r="Z606" s="112"/>
    </row>
    <row r="607" spans="1:26">
      <c r="A607" s="112"/>
      <c r="B607" s="112"/>
      <c r="C607" s="112"/>
      <c r="D607" s="112"/>
      <c r="E607" s="112"/>
      <c r="F607" s="112"/>
      <c r="G607" s="112"/>
      <c r="H607" s="112"/>
      <c r="I607" s="112"/>
      <c r="J607" s="112"/>
      <c r="K607" s="112"/>
      <c r="L607" s="112"/>
      <c r="M607" s="112"/>
      <c r="N607" s="112"/>
      <c r="O607" s="112"/>
      <c r="P607" s="112"/>
      <c r="Q607" s="112"/>
      <c r="R607" s="112"/>
      <c r="S607" s="112"/>
      <c r="T607" s="112"/>
      <c r="U607" s="112"/>
      <c r="V607" s="112"/>
      <c r="W607" s="112"/>
      <c r="X607" s="112"/>
      <c r="Y607" s="112"/>
      <c r="Z607" s="112"/>
    </row>
    <row r="608" spans="1:26">
      <c r="A608" s="112"/>
      <c r="B608" s="112"/>
      <c r="C608" s="112"/>
      <c r="D608" s="112"/>
      <c r="E608" s="112"/>
      <c r="F608" s="112"/>
      <c r="G608" s="112"/>
      <c r="H608" s="112"/>
      <c r="I608" s="112"/>
      <c r="J608" s="112"/>
      <c r="K608" s="112"/>
      <c r="L608" s="112"/>
      <c r="M608" s="112"/>
      <c r="N608" s="112"/>
      <c r="O608" s="112"/>
      <c r="P608" s="112"/>
      <c r="Q608" s="112"/>
      <c r="R608" s="112"/>
      <c r="S608" s="112"/>
      <c r="T608" s="112"/>
      <c r="U608" s="112"/>
      <c r="V608" s="112"/>
      <c r="W608" s="112"/>
      <c r="X608" s="112"/>
      <c r="Y608" s="112"/>
      <c r="Z608" s="112"/>
    </row>
    <row r="609" spans="1:26">
      <c r="A609" s="112"/>
      <c r="B609" s="112"/>
      <c r="C609" s="112"/>
      <c r="D609" s="112"/>
      <c r="E609" s="112"/>
      <c r="F609" s="112"/>
      <c r="G609" s="112"/>
      <c r="H609" s="112"/>
      <c r="I609" s="112"/>
      <c r="J609" s="112"/>
      <c r="K609" s="112"/>
      <c r="L609" s="112"/>
      <c r="M609" s="112"/>
      <c r="N609" s="112"/>
      <c r="O609" s="112"/>
      <c r="P609" s="112"/>
      <c r="Q609" s="112"/>
      <c r="R609" s="112"/>
      <c r="S609" s="112"/>
      <c r="T609" s="112"/>
      <c r="U609" s="112"/>
      <c r="V609" s="112"/>
      <c r="W609" s="112"/>
      <c r="X609" s="112"/>
      <c r="Y609" s="112"/>
      <c r="Z609" s="112"/>
    </row>
    <row r="610" spans="1:26">
      <c r="A610" s="112"/>
      <c r="B610" s="112"/>
      <c r="C610" s="112"/>
      <c r="D610" s="112"/>
      <c r="E610" s="112"/>
      <c r="F610" s="112"/>
      <c r="G610" s="112"/>
      <c r="H610" s="112"/>
      <c r="I610" s="112"/>
      <c r="J610" s="112"/>
      <c r="K610" s="112"/>
      <c r="L610" s="112"/>
      <c r="M610" s="112"/>
      <c r="N610" s="112"/>
      <c r="O610" s="112"/>
      <c r="P610" s="112"/>
      <c r="Q610" s="112"/>
      <c r="R610" s="112"/>
      <c r="S610" s="112"/>
      <c r="T610" s="112"/>
      <c r="U610" s="112"/>
      <c r="V610" s="112"/>
      <c r="W610" s="112"/>
      <c r="X610" s="112"/>
      <c r="Y610" s="112"/>
      <c r="Z610" s="112"/>
    </row>
    <row r="611" spans="1:26">
      <c r="A611" s="112"/>
      <c r="B611" s="112"/>
      <c r="C611" s="112"/>
      <c r="D611" s="112"/>
      <c r="E611" s="112"/>
      <c r="F611" s="112"/>
      <c r="G611" s="112"/>
      <c r="H611" s="112"/>
      <c r="I611" s="112"/>
      <c r="J611" s="112"/>
      <c r="K611" s="112"/>
      <c r="L611" s="112"/>
      <c r="M611" s="112"/>
      <c r="N611" s="112"/>
      <c r="O611" s="112"/>
      <c r="P611" s="112"/>
      <c r="Q611" s="112"/>
      <c r="R611" s="112"/>
      <c r="S611" s="112"/>
      <c r="T611" s="112"/>
      <c r="U611" s="112"/>
      <c r="V611" s="112"/>
      <c r="W611" s="112"/>
      <c r="X611" s="112"/>
      <c r="Y611" s="112"/>
      <c r="Z611" s="112"/>
    </row>
    <row r="612" spans="1:26">
      <c r="A612" s="112"/>
      <c r="B612" s="112"/>
      <c r="C612" s="112"/>
      <c r="D612" s="112"/>
      <c r="E612" s="112"/>
      <c r="F612" s="112"/>
      <c r="G612" s="112"/>
      <c r="H612" s="112"/>
      <c r="I612" s="112"/>
      <c r="J612" s="112"/>
      <c r="K612" s="112"/>
      <c r="L612" s="112"/>
      <c r="M612" s="112"/>
      <c r="N612" s="112"/>
      <c r="O612" s="112"/>
      <c r="P612" s="112"/>
      <c r="Q612" s="112"/>
      <c r="R612" s="112"/>
      <c r="S612" s="112"/>
      <c r="T612" s="112"/>
      <c r="U612" s="112"/>
      <c r="V612" s="112"/>
      <c r="W612" s="112"/>
      <c r="X612" s="112"/>
      <c r="Y612" s="112"/>
      <c r="Z612" s="112"/>
    </row>
    <row r="613" spans="1:26">
      <c r="A613" s="112"/>
      <c r="B613" s="112"/>
      <c r="C613" s="112"/>
      <c r="D613" s="112"/>
      <c r="E613" s="112"/>
      <c r="F613" s="112"/>
      <c r="G613" s="112"/>
      <c r="H613" s="112"/>
      <c r="I613" s="112"/>
      <c r="J613" s="112"/>
      <c r="K613" s="112"/>
      <c r="L613" s="112"/>
      <c r="M613" s="112"/>
      <c r="N613" s="112"/>
      <c r="O613" s="112"/>
      <c r="P613" s="112"/>
      <c r="Q613" s="112"/>
      <c r="R613" s="112"/>
      <c r="S613" s="112"/>
      <c r="T613" s="112"/>
      <c r="U613" s="112"/>
      <c r="V613" s="112"/>
      <c r="W613" s="112"/>
      <c r="X613" s="112"/>
      <c r="Y613" s="112"/>
      <c r="Z613" s="112"/>
    </row>
    <row r="614" spans="1:26">
      <c r="A614" s="112"/>
      <c r="B614" s="112"/>
      <c r="C614" s="112"/>
      <c r="D614" s="112"/>
      <c r="E614" s="112"/>
      <c r="F614" s="112"/>
      <c r="G614" s="112"/>
      <c r="H614" s="112"/>
      <c r="I614" s="112"/>
      <c r="J614" s="112"/>
      <c r="K614" s="112"/>
      <c r="L614" s="112"/>
      <c r="M614" s="112"/>
      <c r="N614" s="112"/>
      <c r="O614" s="112"/>
      <c r="P614" s="112"/>
      <c r="Q614" s="112"/>
      <c r="R614" s="112"/>
      <c r="S614" s="112"/>
      <c r="T614" s="112"/>
      <c r="U614" s="112"/>
      <c r="V614" s="112"/>
      <c r="W614" s="112"/>
      <c r="X614" s="112"/>
      <c r="Y614" s="112"/>
      <c r="Z614" s="112"/>
    </row>
    <row r="615" spans="1:26">
      <c r="A615" s="112"/>
      <c r="B615" s="112"/>
      <c r="C615" s="112"/>
      <c r="D615" s="112"/>
      <c r="E615" s="112"/>
      <c r="F615" s="112"/>
      <c r="G615" s="112"/>
      <c r="H615" s="112"/>
      <c r="I615" s="112"/>
      <c r="J615" s="112"/>
      <c r="K615" s="112"/>
      <c r="L615" s="112"/>
      <c r="M615" s="112"/>
      <c r="N615" s="112"/>
      <c r="O615" s="112"/>
      <c r="P615" s="112"/>
      <c r="Q615" s="112"/>
      <c r="R615" s="112"/>
      <c r="S615" s="112"/>
      <c r="T615" s="112"/>
      <c r="U615" s="112"/>
      <c r="V615" s="112"/>
      <c r="W615" s="112"/>
      <c r="X615" s="112"/>
      <c r="Y615" s="112"/>
      <c r="Z615" s="112"/>
    </row>
    <row r="616" spans="1:26">
      <c r="A616" s="112"/>
      <c r="B616" s="112"/>
      <c r="C616" s="112"/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  <c r="Q616" s="112"/>
      <c r="R616" s="112"/>
      <c r="S616" s="112"/>
      <c r="T616" s="112"/>
      <c r="U616" s="112"/>
      <c r="V616" s="112"/>
      <c r="W616" s="112"/>
      <c r="X616" s="112"/>
      <c r="Y616" s="112"/>
      <c r="Z616" s="112"/>
    </row>
    <row r="617" spans="1:26">
      <c r="A617" s="112"/>
      <c r="B617" s="112"/>
      <c r="C617" s="112"/>
      <c r="D617" s="112"/>
      <c r="E617" s="112"/>
      <c r="F617" s="112"/>
      <c r="G617" s="112"/>
      <c r="H617" s="112"/>
      <c r="I617" s="112"/>
      <c r="J617" s="112"/>
      <c r="K617" s="112"/>
      <c r="L617" s="112"/>
      <c r="M617" s="112"/>
      <c r="N617" s="112"/>
      <c r="O617" s="112"/>
      <c r="P617" s="112"/>
      <c r="Q617" s="112"/>
      <c r="R617" s="112"/>
      <c r="S617" s="112"/>
      <c r="T617" s="112"/>
      <c r="U617" s="112"/>
      <c r="V617" s="112"/>
      <c r="W617" s="112"/>
      <c r="X617" s="112"/>
      <c r="Y617" s="112"/>
      <c r="Z617" s="112"/>
    </row>
    <row r="618" spans="1:26">
      <c r="A618" s="112"/>
      <c r="B618" s="112"/>
      <c r="C618" s="112"/>
      <c r="D618" s="112"/>
      <c r="E618" s="112"/>
      <c r="F618" s="112"/>
      <c r="G618" s="112"/>
      <c r="H618" s="112"/>
      <c r="I618" s="112"/>
      <c r="J618" s="112"/>
      <c r="K618" s="112"/>
      <c r="L618" s="112"/>
      <c r="M618" s="112"/>
      <c r="N618" s="112"/>
      <c r="O618" s="112"/>
      <c r="P618" s="112"/>
      <c r="Q618" s="112"/>
      <c r="R618" s="112"/>
      <c r="S618" s="112"/>
      <c r="T618" s="112"/>
      <c r="U618" s="112"/>
      <c r="V618" s="112"/>
      <c r="W618" s="112"/>
      <c r="X618" s="112"/>
      <c r="Y618" s="112"/>
      <c r="Z618" s="112"/>
    </row>
    <row r="619" spans="1:26">
      <c r="A619" s="112"/>
      <c r="B619" s="112"/>
      <c r="C619" s="112"/>
      <c r="D619" s="112"/>
      <c r="E619" s="112"/>
      <c r="F619" s="112"/>
      <c r="G619" s="112"/>
      <c r="H619" s="112"/>
      <c r="I619" s="112"/>
      <c r="J619" s="112"/>
      <c r="K619" s="112"/>
      <c r="L619" s="112"/>
      <c r="M619" s="112"/>
      <c r="N619" s="112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  <c r="Y619" s="112"/>
      <c r="Z619" s="112"/>
    </row>
    <row r="620" spans="1:26">
      <c r="A620" s="112"/>
      <c r="B620" s="112"/>
      <c r="C620" s="112"/>
      <c r="D620" s="112"/>
      <c r="E620" s="112"/>
      <c r="F620" s="112"/>
      <c r="G620" s="112"/>
      <c r="H620" s="112"/>
      <c r="I620" s="112"/>
      <c r="J620" s="112"/>
      <c r="K620" s="112"/>
      <c r="L620" s="112"/>
      <c r="M620" s="112"/>
      <c r="N620" s="112"/>
      <c r="O620" s="112"/>
      <c r="P620" s="112"/>
      <c r="Q620" s="112"/>
      <c r="R620" s="112"/>
      <c r="S620" s="112"/>
      <c r="T620" s="112"/>
      <c r="U620" s="112"/>
      <c r="V620" s="112"/>
      <c r="W620" s="112"/>
      <c r="X620" s="112"/>
      <c r="Y620" s="112"/>
      <c r="Z620" s="112"/>
    </row>
    <row r="621" spans="1:26">
      <c r="A621" s="112"/>
      <c r="B621" s="112"/>
      <c r="C621" s="112"/>
      <c r="D621" s="112"/>
      <c r="E621" s="112"/>
      <c r="F621" s="112"/>
      <c r="G621" s="112"/>
      <c r="H621" s="112"/>
      <c r="I621" s="112"/>
      <c r="J621" s="112"/>
      <c r="K621" s="112"/>
      <c r="L621" s="112"/>
      <c r="M621" s="112"/>
      <c r="N621" s="112"/>
      <c r="O621" s="112"/>
      <c r="P621" s="112"/>
      <c r="Q621" s="112"/>
      <c r="R621" s="112"/>
      <c r="S621" s="112"/>
      <c r="T621" s="112"/>
      <c r="U621" s="112"/>
      <c r="V621" s="112"/>
      <c r="W621" s="112"/>
      <c r="X621" s="112"/>
      <c r="Y621" s="112"/>
      <c r="Z621" s="112"/>
    </row>
    <row r="622" spans="1:26">
      <c r="A622" s="112"/>
      <c r="B622" s="112"/>
      <c r="C622" s="112"/>
      <c r="D622" s="112"/>
      <c r="E622" s="112"/>
      <c r="F622" s="112"/>
      <c r="G622" s="112"/>
      <c r="H622" s="112"/>
      <c r="I622" s="112"/>
      <c r="J622" s="112"/>
      <c r="K622" s="112"/>
      <c r="L622" s="112"/>
      <c r="M622" s="112"/>
      <c r="N622" s="112"/>
      <c r="O622" s="112"/>
      <c r="P622" s="112"/>
      <c r="Q622" s="112"/>
      <c r="R622" s="112"/>
      <c r="S622" s="112"/>
      <c r="T622" s="112"/>
      <c r="U622" s="112"/>
      <c r="V622" s="112"/>
      <c r="W622" s="112"/>
      <c r="X622" s="112"/>
      <c r="Y622" s="112"/>
      <c r="Z622" s="112"/>
    </row>
    <row r="623" spans="1:26">
      <c r="A623" s="112"/>
      <c r="B623" s="112"/>
      <c r="C623" s="112"/>
      <c r="D623" s="112"/>
      <c r="E623" s="112"/>
      <c r="F623" s="112"/>
      <c r="G623" s="112"/>
      <c r="H623" s="112"/>
      <c r="I623" s="112"/>
      <c r="J623" s="112"/>
      <c r="K623" s="112"/>
      <c r="L623" s="112"/>
      <c r="M623" s="112"/>
      <c r="N623" s="112"/>
      <c r="O623" s="112"/>
      <c r="P623" s="112"/>
      <c r="Q623" s="112"/>
      <c r="R623" s="112"/>
      <c r="S623" s="112"/>
      <c r="T623" s="112"/>
      <c r="U623" s="112"/>
      <c r="V623" s="112"/>
      <c r="W623" s="112"/>
      <c r="X623" s="112"/>
      <c r="Y623" s="112"/>
      <c r="Z623" s="112"/>
    </row>
    <row r="624" spans="1:26">
      <c r="A624" s="112"/>
      <c r="B624" s="112"/>
      <c r="C624" s="112"/>
      <c r="D624" s="112"/>
      <c r="E624" s="112"/>
      <c r="F624" s="112"/>
      <c r="G624" s="112"/>
      <c r="H624" s="112"/>
      <c r="I624" s="112"/>
      <c r="J624" s="112"/>
      <c r="K624" s="112"/>
      <c r="L624" s="112"/>
      <c r="M624" s="112"/>
      <c r="N624" s="112"/>
      <c r="O624" s="112"/>
      <c r="P624" s="112"/>
      <c r="Q624" s="112"/>
      <c r="R624" s="112"/>
      <c r="S624" s="112"/>
      <c r="T624" s="112"/>
      <c r="U624" s="112"/>
      <c r="V624" s="112"/>
      <c r="W624" s="112"/>
      <c r="X624" s="112"/>
      <c r="Y624" s="112"/>
      <c r="Z624" s="112"/>
    </row>
    <row r="625" spans="1:26">
      <c r="A625" s="112"/>
      <c r="B625" s="112"/>
      <c r="C625" s="112"/>
      <c r="D625" s="112"/>
      <c r="E625" s="112"/>
      <c r="F625" s="112"/>
      <c r="G625" s="112"/>
      <c r="H625" s="112"/>
      <c r="I625" s="112"/>
      <c r="J625" s="112"/>
      <c r="K625" s="112"/>
      <c r="L625" s="112"/>
      <c r="M625" s="112"/>
      <c r="N625" s="112"/>
      <c r="O625" s="112"/>
      <c r="P625" s="112"/>
      <c r="Q625" s="112"/>
      <c r="R625" s="112"/>
      <c r="S625" s="112"/>
      <c r="T625" s="112"/>
      <c r="U625" s="112"/>
      <c r="V625" s="112"/>
      <c r="W625" s="112"/>
      <c r="X625" s="112"/>
      <c r="Y625" s="112"/>
      <c r="Z625" s="112"/>
    </row>
    <row r="626" spans="1:26">
      <c r="A626" s="112"/>
      <c r="B626" s="112"/>
      <c r="C626" s="112"/>
      <c r="D626" s="112"/>
      <c r="E626" s="112"/>
      <c r="F626" s="112"/>
      <c r="G626" s="112"/>
      <c r="H626" s="112"/>
      <c r="I626" s="112"/>
      <c r="J626" s="112"/>
      <c r="K626" s="112"/>
      <c r="L626" s="112"/>
      <c r="M626" s="112"/>
      <c r="N626" s="112"/>
      <c r="O626" s="112"/>
      <c r="P626" s="112"/>
      <c r="Q626" s="112"/>
      <c r="R626" s="112"/>
      <c r="S626" s="112"/>
      <c r="T626" s="112"/>
      <c r="U626" s="112"/>
      <c r="V626" s="112"/>
      <c r="W626" s="112"/>
      <c r="X626" s="112"/>
      <c r="Y626" s="112"/>
      <c r="Z626" s="112"/>
    </row>
    <row r="627" spans="1:26">
      <c r="A627" s="112"/>
      <c r="B627" s="112"/>
      <c r="C627" s="112"/>
      <c r="D627" s="112"/>
      <c r="E627" s="112"/>
      <c r="F627" s="112"/>
      <c r="G627" s="112"/>
      <c r="H627" s="112"/>
      <c r="I627" s="112"/>
      <c r="J627" s="112"/>
      <c r="K627" s="112"/>
      <c r="L627" s="112"/>
      <c r="M627" s="112"/>
      <c r="N627" s="112"/>
      <c r="O627" s="112"/>
      <c r="P627" s="112"/>
      <c r="Q627" s="112"/>
      <c r="R627" s="112"/>
      <c r="S627" s="112"/>
      <c r="T627" s="112"/>
      <c r="U627" s="112"/>
      <c r="V627" s="112"/>
      <c r="W627" s="112"/>
      <c r="X627" s="112"/>
      <c r="Y627" s="112"/>
      <c r="Z627" s="112"/>
    </row>
    <row r="628" spans="1:26">
      <c r="A628" s="112"/>
      <c r="B628" s="112"/>
      <c r="C628" s="112"/>
      <c r="D628" s="112"/>
      <c r="E628" s="112"/>
      <c r="F628" s="112"/>
      <c r="G628" s="112"/>
      <c r="H628" s="112"/>
      <c r="I628" s="112"/>
      <c r="J628" s="112"/>
      <c r="K628" s="112"/>
      <c r="L628" s="112"/>
      <c r="M628" s="112"/>
      <c r="N628" s="112"/>
      <c r="O628" s="112"/>
      <c r="P628" s="112"/>
      <c r="Q628" s="112"/>
      <c r="R628" s="112"/>
      <c r="S628" s="112"/>
      <c r="T628" s="112"/>
      <c r="U628" s="112"/>
      <c r="V628" s="112"/>
      <c r="W628" s="112"/>
      <c r="X628" s="112"/>
      <c r="Y628" s="112"/>
      <c r="Z628" s="112"/>
    </row>
    <row r="629" spans="1:26">
      <c r="A629" s="112"/>
      <c r="B629" s="112"/>
      <c r="C629" s="112"/>
      <c r="D629" s="112"/>
      <c r="E629" s="112"/>
      <c r="F629" s="112"/>
      <c r="G629" s="112"/>
      <c r="H629" s="112"/>
      <c r="I629" s="112"/>
      <c r="J629" s="112"/>
      <c r="K629" s="112"/>
      <c r="L629" s="112"/>
      <c r="M629" s="112"/>
      <c r="N629" s="112"/>
      <c r="O629" s="112"/>
      <c r="P629" s="112"/>
      <c r="Q629" s="112"/>
      <c r="R629" s="112"/>
      <c r="S629" s="112"/>
      <c r="T629" s="112"/>
      <c r="U629" s="112"/>
      <c r="V629" s="112"/>
      <c r="W629" s="112"/>
      <c r="X629" s="112"/>
      <c r="Y629" s="112"/>
      <c r="Z629" s="112"/>
    </row>
    <row r="630" spans="1:26">
      <c r="A630" s="112"/>
      <c r="B630" s="112"/>
      <c r="C630" s="112"/>
      <c r="D630" s="112"/>
      <c r="E630" s="112"/>
      <c r="F630" s="112"/>
      <c r="G630" s="112"/>
      <c r="H630" s="112"/>
      <c r="I630" s="112"/>
      <c r="J630" s="112"/>
      <c r="K630" s="112"/>
      <c r="L630" s="112"/>
      <c r="M630" s="112"/>
      <c r="N630" s="112"/>
      <c r="O630" s="112"/>
      <c r="P630" s="112"/>
      <c r="Q630" s="112"/>
      <c r="R630" s="112"/>
      <c r="S630" s="112"/>
      <c r="T630" s="112"/>
      <c r="U630" s="112"/>
      <c r="V630" s="112"/>
      <c r="W630" s="112"/>
      <c r="X630" s="112"/>
      <c r="Y630" s="112"/>
      <c r="Z630" s="112"/>
    </row>
    <row r="631" spans="1:26">
      <c r="A631" s="112"/>
      <c r="B631" s="112"/>
      <c r="C631" s="112"/>
      <c r="D631" s="112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</row>
    <row r="632" spans="1:26">
      <c r="A632" s="112"/>
      <c r="B632" s="112"/>
      <c r="C632" s="112"/>
      <c r="D632" s="112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</row>
    <row r="633" spans="1:26">
      <c r="A633" s="112"/>
      <c r="B633" s="112"/>
      <c r="C633" s="112"/>
      <c r="D633" s="112"/>
      <c r="E633" s="112"/>
      <c r="F633" s="112"/>
      <c r="G633" s="112"/>
      <c r="H633" s="112"/>
      <c r="I633" s="112"/>
      <c r="J633" s="112"/>
      <c r="K633" s="112"/>
      <c r="L633" s="112"/>
      <c r="M633" s="112"/>
      <c r="N633" s="112"/>
      <c r="O633" s="112"/>
      <c r="P633" s="112"/>
      <c r="Q633" s="112"/>
      <c r="R633" s="112"/>
      <c r="S633" s="112"/>
      <c r="T633" s="112"/>
      <c r="U633" s="112"/>
      <c r="V633" s="112"/>
      <c r="W633" s="112"/>
      <c r="X633" s="112"/>
      <c r="Y633" s="112"/>
      <c r="Z633" s="112"/>
    </row>
    <row r="634" spans="1:26">
      <c r="A634" s="112"/>
      <c r="B634" s="112"/>
      <c r="C634" s="112"/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  <c r="Q634" s="112"/>
      <c r="R634" s="112"/>
      <c r="S634" s="112"/>
      <c r="T634" s="112"/>
      <c r="U634" s="112"/>
      <c r="V634" s="112"/>
      <c r="W634" s="112"/>
      <c r="X634" s="112"/>
      <c r="Y634" s="112"/>
      <c r="Z634" s="112"/>
    </row>
    <row r="635" spans="1:26">
      <c r="A635" s="112"/>
      <c r="B635" s="112"/>
      <c r="C635" s="112"/>
      <c r="D635" s="112"/>
      <c r="E635" s="112"/>
      <c r="F635" s="112"/>
      <c r="G635" s="112"/>
      <c r="H635" s="112"/>
      <c r="I635" s="112"/>
      <c r="J635" s="112"/>
      <c r="K635" s="112"/>
      <c r="L635" s="112"/>
      <c r="M635" s="112"/>
      <c r="N635" s="112"/>
      <c r="O635" s="112"/>
      <c r="P635" s="112"/>
      <c r="Q635" s="112"/>
      <c r="R635" s="112"/>
      <c r="S635" s="112"/>
      <c r="T635" s="112"/>
      <c r="U635" s="112"/>
      <c r="V635" s="112"/>
      <c r="W635" s="112"/>
      <c r="X635" s="112"/>
      <c r="Y635" s="112"/>
      <c r="Z635" s="112"/>
    </row>
    <row r="636" spans="1:26">
      <c r="A636" s="112"/>
      <c r="B636" s="112"/>
      <c r="C636" s="112"/>
      <c r="D636" s="112"/>
      <c r="E636" s="112"/>
      <c r="F636" s="112"/>
      <c r="G636" s="112"/>
      <c r="H636" s="112"/>
      <c r="I636" s="112"/>
      <c r="J636" s="112"/>
      <c r="K636" s="112"/>
      <c r="L636" s="112"/>
      <c r="M636" s="112"/>
      <c r="N636" s="112"/>
      <c r="O636" s="112"/>
      <c r="P636" s="112"/>
      <c r="Q636" s="112"/>
      <c r="R636" s="112"/>
      <c r="S636" s="112"/>
      <c r="T636" s="112"/>
      <c r="U636" s="112"/>
      <c r="V636" s="112"/>
      <c r="W636" s="112"/>
      <c r="X636" s="112"/>
      <c r="Y636" s="112"/>
      <c r="Z636" s="112"/>
    </row>
    <row r="637" spans="1:26">
      <c r="A637" s="112"/>
      <c r="B637" s="112"/>
      <c r="C637" s="112"/>
      <c r="D637" s="112"/>
      <c r="E637" s="112"/>
      <c r="F637" s="112"/>
      <c r="G637" s="112"/>
      <c r="H637" s="112"/>
      <c r="I637" s="112"/>
      <c r="J637" s="112"/>
      <c r="K637" s="112"/>
      <c r="L637" s="112"/>
      <c r="M637" s="112"/>
      <c r="N637" s="112"/>
      <c r="O637" s="112"/>
      <c r="P637" s="112"/>
      <c r="Q637" s="112"/>
      <c r="R637" s="112"/>
      <c r="S637" s="112"/>
      <c r="T637" s="112"/>
      <c r="U637" s="112"/>
      <c r="V637" s="112"/>
      <c r="W637" s="112"/>
      <c r="X637" s="112"/>
      <c r="Y637" s="112"/>
      <c r="Z637" s="112"/>
    </row>
    <row r="638" spans="1:26">
      <c r="A638" s="112"/>
      <c r="B638" s="112"/>
      <c r="C638" s="112"/>
      <c r="D638" s="112"/>
      <c r="E638" s="112"/>
      <c r="F638" s="112"/>
      <c r="G638" s="112"/>
      <c r="H638" s="112"/>
      <c r="I638" s="112"/>
      <c r="J638" s="112"/>
      <c r="K638" s="112"/>
      <c r="L638" s="112"/>
      <c r="M638" s="112"/>
      <c r="N638" s="112"/>
      <c r="O638" s="112"/>
      <c r="P638" s="112"/>
      <c r="Q638" s="112"/>
      <c r="R638" s="112"/>
      <c r="S638" s="112"/>
      <c r="T638" s="112"/>
      <c r="U638" s="112"/>
      <c r="V638" s="112"/>
      <c r="W638" s="112"/>
      <c r="X638" s="112"/>
      <c r="Y638" s="112"/>
      <c r="Z638" s="112"/>
    </row>
    <row r="639" spans="1:26">
      <c r="A639" s="112"/>
      <c r="B639" s="112"/>
      <c r="C639" s="112"/>
      <c r="D639" s="112"/>
      <c r="E639" s="112"/>
      <c r="F639" s="112"/>
      <c r="G639" s="112"/>
      <c r="H639" s="112"/>
      <c r="I639" s="112"/>
      <c r="J639" s="112"/>
      <c r="K639" s="112"/>
      <c r="L639" s="112"/>
      <c r="M639" s="112"/>
      <c r="N639" s="112"/>
      <c r="O639" s="112"/>
      <c r="P639" s="112"/>
      <c r="Q639" s="112"/>
      <c r="R639" s="112"/>
      <c r="S639" s="112"/>
      <c r="T639" s="112"/>
      <c r="U639" s="112"/>
      <c r="V639" s="112"/>
      <c r="W639" s="112"/>
      <c r="X639" s="112"/>
      <c r="Y639" s="112"/>
      <c r="Z639" s="112"/>
    </row>
    <row r="640" spans="1:26">
      <c r="A640" s="112"/>
      <c r="B640" s="112"/>
      <c r="C640" s="112"/>
      <c r="D640" s="112"/>
      <c r="E640" s="112"/>
      <c r="F640" s="112"/>
      <c r="G640" s="112"/>
      <c r="H640" s="112"/>
      <c r="I640" s="112"/>
      <c r="J640" s="112"/>
      <c r="K640" s="112"/>
      <c r="L640" s="112"/>
      <c r="M640" s="112"/>
      <c r="N640" s="112"/>
      <c r="O640" s="112"/>
      <c r="P640" s="112"/>
      <c r="Q640" s="112"/>
      <c r="R640" s="112"/>
      <c r="S640" s="112"/>
      <c r="T640" s="112"/>
      <c r="U640" s="112"/>
      <c r="V640" s="112"/>
      <c r="W640" s="112"/>
      <c r="X640" s="112"/>
      <c r="Y640" s="112"/>
      <c r="Z640" s="112"/>
    </row>
    <row r="641" spans="1:26">
      <c r="A641" s="112"/>
      <c r="B641" s="112"/>
      <c r="C641" s="112"/>
      <c r="D641" s="112"/>
      <c r="E641" s="112"/>
      <c r="F641" s="112"/>
      <c r="G641" s="112"/>
      <c r="H641" s="112"/>
      <c r="I641" s="112"/>
      <c r="J641" s="112"/>
      <c r="K641" s="112"/>
      <c r="L641" s="112"/>
      <c r="M641" s="112"/>
      <c r="N641" s="112"/>
      <c r="O641" s="112"/>
      <c r="P641" s="112"/>
      <c r="Q641" s="112"/>
      <c r="R641" s="112"/>
      <c r="S641" s="112"/>
      <c r="T641" s="112"/>
      <c r="U641" s="112"/>
      <c r="V641" s="112"/>
      <c r="W641" s="112"/>
      <c r="X641" s="112"/>
      <c r="Y641" s="112"/>
      <c r="Z641" s="112"/>
    </row>
    <row r="642" spans="1:26">
      <c r="A642" s="112"/>
      <c r="B642" s="112"/>
      <c r="C642" s="112"/>
      <c r="D642" s="112"/>
      <c r="E642" s="112"/>
      <c r="F642" s="112"/>
      <c r="G642" s="112"/>
      <c r="H642" s="112"/>
      <c r="I642" s="112"/>
      <c r="J642" s="112"/>
      <c r="K642" s="112"/>
      <c r="L642" s="112"/>
      <c r="M642" s="112"/>
      <c r="N642" s="112"/>
      <c r="O642" s="112"/>
      <c r="P642" s="112"/>
      <c r="Q642" s="112"/>
      <c r="R642" s="112"/>
      <c r="S642" s="112"/>
      <c r="T642" s="112"/>
      <c r="U642" s="112"/>
      <c r="V642" s="112"/>
      <c r="W642" s="112"/>
      <c r="X642" s="112"/>
      <c r="Y642" s="112"/>
      <c r="Z642" s="112"/>
    </row>
    <row r="643" spans="1:26">
      <c r="A643" s="112"/>
      <c r="B643" s="112"/>
      <c r="C643" s="112"/>
      <c r="D643" s="112"/>
      <c r="E643" s="112"/>
      <c r="F643" s="112"/>
      <c r="G643" s="112"/>
      <c r="H643" s="112"/>
      <c r="I643" s="112"/>
      <c r="J643" s="112"/>
      <c r="K643" s="112"/>
      <c r="L643" s="112"/>
      <c r="M643" s="112"/>
      <c r="N643" s="112"/>
      <c r="O643" s="112"/>
      <c r="P643" s="112"/>
      <c r="Q643" s="112"/>
      <c r="R643" s="112"/>
      <c r="S643" s="112"/>
      <c r="T643" s="112"/>
      <c r="U643" s="112"/>
      <c r="V643" s="112"/>
      <c r="W643" s="112"/>
      <c r="X643" s="112"/>
      <c r="Y643" s="112"/>
      <c r="Z643" s="112"/>
    </row>
    <row r="644" spans="1:26">
      <c r="A644" s="112"/>
      <c r="B644" s="112"/>
      <c r="C644" s="112"/>
      <c r="D644" s="112"/>
      <c r="E644" s="112"/>
      <c r="F644" s="112"/>
      <c r="G644" s="112"/>
      <c r="H644" s="112"/>
      <c r="I644" s="112"/>
      <c r="J644" s="112"/>
      <c r="K644" s="112"/>
      <c r="L644" s="112"/>
      <c r="M644" s="112"/>
      <c r="N644" s="112"/>
      <c r="O644" s="112"/>
      <c r="P644" s="112"/>
      <c r="Q644" s="112"/>
      <c r="R644" s="112"/>
      <c r="S644" s="112"/>
      <c r="T644" s="112"/>
      <c r="U644" s="112"/>
      <c r="V644" s="112"/>
      <c r="W644" s="112"/>
      <c r="X644" s="112"/>
      <c r="Y644" s="112"/>
      <c r="Z644" s="112"/>
    </row>
    <row r="645" spans="1:26">
      <c r="A645" s="112"/>
      <c r="B645" s="112"/>
      <c r="C645" s="112"/>
      <c r="D645" s="112"/>
      <c r="E645" s="112"/>
      <c r="F645" s="112"/>
      <c r="G645" s="112"/>
      <c r="H645" s="112"/>
      <c r="I645" s="112"/>
      <c r="J645" s="112"/>
      <c r="K645" s="112"/>
      <c r="L645" s="112"/>
      <c r="M645" s="112"/>
      <c r="N645" s="112"/>
      <c r="O645" s="112"/>
      <c r="P645" s="112"/>
      <c r="Q645" s="112"/>
      <c r="R645" s="112"/>
      <c r="S645" s="112"/>
      <c r="T645" s="112"/>
      <c r="U645" s="112"/>
      <c r="V645" s="112"/>
      <c r="W645" s="112"/>
      <c r="X645" s="112"/>
      <c r="Y645" s="112"/>
      <c r="Z645" s="112"/>
    </row>
    <row r="646" spans="1:26">
      <c r="A646" s="112"/>
      <c r="B646" s="112"/>
      <c r="C646" s="112"/>
      <c r="D646" s="112"/>
      <c r="E646" s="112"/>
      <c r="F646" s="112"/>
      <c r="G646" s="112"/>
      <c r="H646" s="112"/>
      <c r="I646" s="112"/>
      <c r="J646" s="112"/>
      <c r="K646" s="112"/>
      <c r="L646" s="112"/>
      <c r="M646" s="112"/>
      <c r="N646" s="112"/>
      <c r="O646" s="112"/>
      <c r="P646" s="112"/>
      <c r="Q646" s="112"/>
      <c r="R646" s="112"/>
      <c r="S646" s="112"/>
      <c r="T646" s="112"/>
      <c r="U646" s="112"/>
      <c r="V646" s="112"/>
      <c r="W646" s="112"/>
      <c r="X646" s="112"/>
      <c r="Y646" s="112"/>
      <c r="Z646" s="112"/>
    </row>
    <row r="647" spans="1:26">
      <c r="A647" s="112"/>
      <c r="B647" s="112"/>
      <c r="C647" s="112"/>
      <c r="D647" s="112"/>
      <c r="E647" s="112"/>
      <c r="F647" s="112"/>
      <c r="G647" s="112"/>
      <c r="H647" s="112"/>
      <c r="I647" s="112"/>
      <c r="J647" s="112"/>
      <c r="K647" s="112"/>
      <c r="L647" s="112"/>
      <c r="M647" s="112"/>
      <c r="N647" s="112"/>
      <c r="O647" s="112"/>
      <c r="P647" s="112"/>
      <c r="Q647" s="112"/>
      <c r="R647" s="112"/>
      <c r="S647" s="112"/>
      <c r="T647" s="112"/>
      <c r="U647" s="112"/>
      <c r="V647" s="112"/>
      <c r="W647" s="112"/>
      <c r="X647" s="112"/>
      <c r="Y647" s="112"/>
      <c r="Z647" s="112"/>
    </row>
    <row r="648" spans="1:26">
      <c r="A648" s="112"/>
      <c r="B648" s="112"/>
      <c r="C648" s="112"/>
      <c r="D648" s="112"/>
      <c r="E648" s="112"/>
      <c r="F648" s="112"/>
      <c r="G648" s="112"/>
      <c r="H648" s="112"/>
      <c r="I648" s="112"/>
      <c r="J648" s="112"/>
      <c r="K648" s="112"/>
      <c r="L648" s="112"/>
      <c r="M648" s="112"/>
      <c r="N648" s="112"/>
      <c r="O648" s="112"/>
      <c r="P648" s="112"/>
      <c r="Q648" s="112"/>
      <c r="R648" s="112"/>
      <c r="S648" s="112"/>
      <c r="T648" s="112"/>
      <c r="U648" s="112"/>
      <c r="V648" s="112"/>
      <c r="W648" s="112"/>
      <c r="X648" s="112"/>
      <c r="Y648" s="112"/>
      <c r="Z648" s="112"/>
    </row>
    <row r="649" spans="1:26">
      <c r="A649" s="112"/>
      <c r="B649" s="112"/>
      <c r="C649" s="112"/>
      <c r="D649" s="112"/>
      <c r="E649" s="112"/>
      <c r="F649" s="112"/>
      <c r="G649" s="112"/>
      <c r="H649" s="112"/>
      <c r="I649" s="112"/>
      <c r="J649" s="112"/>
      <c r="K649" s="112"/>
      <c r="L649" s="112"/>
      <c r="M649" s="112"/>
      <c r="N649" s="112"/>
      <c r="O649" s="112"/>
      <c r="P649" s="112"/>
      <c r="Q649" s="112"/>
      <c r="R649" s="112"/>
      <c r="S649" s="112"/>
      <c r="T649" s="112"/>
      <c r="U649" s="112"/>
      <c r="V649" s="112"/>
      <c r="W649" s="112"/>
      <c r="X649" s="112"/>
      <c r="Y649" s="112"/>
      <c r="Z649" s="112"/>
    </row>
    <row r="650" spans="1:26">
      <c r="A650" s="112"/>
      <c r="B650" s="112"/>
      <c r="C650" s="112"/>
      <c r="D650" s="112"/>
      <c r="E650" s="112"/>
      <c r="F650" s="112"/>
      <c r="G650" s="112"/>
      <c r="H650" s="112"/>
      <c r="I650" s="112"/>
      <c r="J650" s="112"/>
      <c r="K650" s="112"/>
      <c r="L650" s="112"/>
      <c r="M650" s="112"/>
      <c r="N650" s="112"/>
      <c r="O650" s="112"/>
      <c r="P650" s="112"/>
      <c r="Q650" s="112"/>
      <c r="R650" s="112"/>
      <c r="S650" s="112"/>
      <c r="T650" s="112"/>
      <c r="U650" s="112"/>
      <c r="V650" s="112"/>
      <c r="W650" s="112"/>
      <c r="X650" s="112"/>
      <c r="Y650" s="112"/>
      <c r="Z650" s="112"/>
    </row>
    <row r="651" spans="1:26">
      <c r="A651" s="112"/>
      <c r="B651" s="112"/>
      <c r="C651" s="112"/>
      <c r="D651" s="112"/>
      <c r="E651" s="112"/>
      <c r="F651" s="112"/>
      <c r="G651" s="112"/>
      <c r="H651" s="112"/>
      <c r="I651" s="112"/>
      <c r="J651" s="112"/>
      <c r="K651" s="112"/>
      <c r="L651" s="112"/>
      <c r="M651" s="112"/>
      <c r="N651" s="112"/>
      <c r="O651" s="112"/>
      <c r="P651" s="112"/>
      <c r="Q651" s="112"/>
      <c r="R651" s="112"/>
      <c r="S651" s="112"/>
      <c r="T651" s="112"/>
      <c r="U651" s="112"/>
      <c r="V651" s="112"/>
      <c r="W651" s="112"/>
      <c r="X651" s="112"/>
      <c r="Y651" s="112"/>
      <c r="Z651" s="112"/>
    </row>
    <row r="652" spans="1:26">
      <c r="A652" s="112"/>
      <c r="B652" s="112"/>
      <c r="C652" s="112"/>
      <c r="D652" s="112"/>
      <c r="E652" s="112"/>
      <c r="F652" s="112"/>
      <c r="G652" s="112"/>
      <c r="H652" s="112"/>
      <c r="I652" s="112"/>
      <c r="J652" s="112"/>
      <c r="K652" s="112"/>
      <c r="L652" s="112"/>
      <c r="M652" s="112"/>
      <c r="N652" s="112"/>
      <c r="O652" s="112"/>
      <c r="P652" s="112"/>
      <c r="Q652" s="112"/>
      <c r="R652" s="112"/>
      <c r="S652" s="112"/>
      <c r="T652" s="112"/>
      <c r="U652" s="112"/>
      <c r="V652" s="112"/>
      <c r="W652" s="112"/>
      <c r="X652" s="112"/>
      <c r="Y652" s="112"/>
      <c r="Z652" s="112"/>
    </row>
    <row r="653" spans="1:26">
      <c r="A653" s="112"/>
      <c r="B653" s="112"/>
      <c r="C653" s="112"/>
      <c r="D653" s="112"/>
      <c r="E653" s="112"/>
      <c r="F653" s="112"/>
      <c r="G653" s="112"/>
      <c r="H653" s="112"/>
      <c r="I653" s="112"/>
      <c r="J653" s="112"/>
      <c r="K653" s="112"/>
      <c r="L653" s="112"/>
      <c r="M653" s="112"/>
      <c r="N653" s="112"/>
      <c r="O653" s="112"/>
      <c r="P653" s="112"/>
      <c r="Q653" s="112"/>
      <c r="R653" s="112"/>
      <c r="S653" s="112"/>
      <c r="T653" s="112"/>
      <c r="U653" s="112"/>
      <c r="V653" s="112"/>
      <c r="W653" s="112"/>
      <c r="X653" s="112"/>
      <c r="Y653" s="112"/>
      <c r="Z653" s="112"/>
    </row>
    <row r="654" spans="1:26">
      <c r="A654" s="112"/>
      <c r="B654" s="112"/>
      <c r="C654" s="112"/>
      <c r="D654" s="112"/>
      <c r="E654" s="112"/>
      <c r="F654" s="112"/>
      <c r="G654" s="112"/>
      <c r="H654" s="112"/>
      <c r="I654" s="112"/>
      <c r="J654" s="112"/>
      <c r="K654" s="112"/>
      <c r="L654" s="112"/>
      <c r="M654" s="112"/>
      <c r="N654" s="112"/>
      <c r="O654" s="112"/>
      <c r="P654" s="112"/>
      <c r="Q654" s="112"/>
      <c r="R654" s="112"/>
      <c r="S654" s="112"/>
      <c r="T654" s="112"/>
      <c r="U654" s="112"/>
      <c r="V654" s="112"/>
      <c r="W654" s="112"/>
      <c r="X654" s="112"/>
      <c r="Y654" s="112"/>
      <c r="Z654" s="112"/>
    </row>
    <row r="655" spans="1:26">
      <c r="A655" s="112"/>
      <c r="B655" s="112"/>
      <c r="C655" s="112"/>
      <c r="D655" s="112"/>
      <c r="E655" s="112"/>
      <c r="F655" s="112"/>
      <c r="G655" s="112"/>
      <c r="H655" s="112"/>
      <c r="I655" s="112"/>
      <c r="J655" s="112"/>
      <c r="K655" s="112"/>
      <c r="L655" s="112"/>
      <c r="M655" s="112"/>
      <c r="N655" s="112"/>
      <c r="O655" s="112"/>
      <c r="P655" s="112"/>
      <c r="Q655" s="112"/>
      <c r="R655" s="112"/>
      <c r="S655" s="112"/>
      <c r="T655" s="112"/>
      <c r="U655" s="112"/>
      <c r="V655" s="112"/>
      <c r="W655" s="112"/>
      <c r="X655" s="112"/>
      <c r="Y655" s="112"/>
      <c r="Z655" s="112"/>
    </row>
    <row r="656" spans="1:26">
      <c r="A656" s="112"/>
      <c r="B656" s="112"/>
      <c r="C656" s="112"/>
      <c r="D656" s="112"/>
      <c r="E656" s="112"/>
      <c r="F656" s="112"/>
      <c r="G656" s="112"/>
      <c r="H656" s="112"/>
      <c r="I656" s="112"/>
      <c r="J656" s="112"/>
      <c r="K656" s="112"/>
      <c r="L656" s="112"/>
      <c r="M656" s="112"/>
      <c r="N656" s="112"/>
      <c r="O656" s="112"/>
      <c r="P656" s="112"/>
      <c r="Q656" s="112"/>
      <c r="R656" s="112"/>
      <c r="S656" s="112"/>
      <c r="T656" s="112"/>
      <c r="U656" s="112"/>
      <c r="V656" s="112"/>
      <c r="W656" s="112"/>
      <c r="X656" s="112"/>
      <c r="Y656" s="112"/>
      <c r="Z656" s="112"/>
    </row>
    <row r="657" spans="1:26">
      <c r="A657" s="112"/>
      <c r="B657" s="112"/>
      <c r="C657" s="112"/>
      <c r="D657" s="112"/>
      <c r="E657" s="112"/>
      <c r="F657" s="112"/>
      <c r="G657" s="112"/>
      <c r="H657" s="112"/>
      <c r="I657" s="112"/>
      <c r="J657" s="112"/>
      <c r="K657" s="112"/>
      <c r="L657" s="112"/>
      <c r="M657" s="112"/>
      <c r="N657" s="112"/>
      <c r="O657" s="112"/>
      <c r="P657" s="112"/>
      <c r="Q657" s="112"/>
      <c r="R657" s="112"/>
      <c r="S657" s="112"/>
      <c r="T657" s="112"/>
      <c r="U657" s="112"/>
      <c r="V657" s="112"/>
      <c r="W657" s="112"/>
      <c r="X657" s="112"/>
      <c r="Y657" s="112"/>
      <c r="Z657" s="112"/>
    </row>
    <row r="658" spans="1:26">
      <c r="A658" s="112"/>
      <c r="B658" s="112"/>
      <c r="C658" s="112"/>
      <c r="D658" s="112"/>
      <c r="E658" s="112"/>
      <c r="F658" s="112"/>
      <c r="G658" s="112"/>
      <c r="H658" s="112"/>
      <c r="I658" s="112"/>
      <c r="J658" s="112"/>
      <c r="K658" s="112"/>
      <c r="L658" s="112"/>
      <c r="M658" s="112"/>
      <c r="N658" s="112"/>
      <c r="O658" s="112"/>
      <c r="P658" s="112"/>
      <c r="Q658" s="112"/>
      <c r="R658" s="112"/>
      <c r="S658" s="112"/>
      <c r="T658" s="112"/>
      <c r="U658" s="112"/>
      <c r="V658" s="112"/>
      <c r="W658" s="112"/>
      <c r="X658" s="112"/>
      <c r="Y658" s="112"/>
      <c r="Z658" s="112"/>
    </row>
    <row r="659" spans="1:26">
      <c r="A659" s="112"/>
      <c r="B659" s="112"/>
      <c r="C659" s="112"/>
      <c r="D659" s="112"/>
      <c r="E659" s="112"/>
      <c r="F659" s="112"/>
      <c r="G659" s="112"/>
      <c r="H659" s="112"/>
      <c r="I659" s="112"/>
      <c r="J659" s="112"/>
      <c r="K659" s="112"/>
      <c r="L659" s="112"/>
      <c r="M659" s="112"/>
      <c r="N659" s="112"/>
      <c r="O659" s="112"/>
      <c r="P659" s="112"/>
      <c r="Q659" s="112"/>
      <c r="R659" s="112"/>
      <c r="S659" s="112"/>
      <c r="T659" s="112"/>
      <c r="U659" s="112"/>
      <c r="V659" s="112"/>
      <c r="W659" s="112"/>
      <c r="X659" s="112"/>
      <c r="Y659" s="112"/>
      <c r="Z659" s="112"/>
    </row>
    <row r="660" spans="1:26">
      <c r="A660" s="112"/>
      <c r="B660" s="112"/>
      <c r="C660" s="112"/>
      <c r="D660" s="112"/>
      <c r="E660" s="112"/>
      <c r="F660" s="112"/>
      <c r="G660" s="112"/>
      <c r="H660" s="112"/>
      <c r="I660" s="112"/>
      <c r="J660" s="112"/>
      <c r="K660" s="112"/>
      <c r="L660" s="112"/>
      <c r="M660" s="112"/>
      <c r="N660" s="112"/>
      <c r="O660" s="112"/>
      <c r="P660" s="112"/>
      <c r="Q660" s="112"/>
      <c r="R660" s="112"/>
      <c r="S660" s="112"/>
      <c r="T660" s="112"/>
      <c r="U660" s="112"/>
      <c r="V660" s="112"/>
      <c r="W660" s="112"/>
      <c r="X660" s="112"/>
      <c r="Y660" s="112"/>
      <c r="Z660" s="112"/>
    </row>
    <row r="661" spans="1:26">
      <c r="A661" s="112"/>
      <c r="B661" s="112"/>
      <c r="C661" s="112"/>
      <c r="D661" s="112"/>
      <c r="E661" s="112"/>
      <c r="F661" s="112"/>
      <c r="G661" s="112"/>
      <c r="H661" s="112"/>
      <c r="I661" s="112"/>
      <c r="J661" s="112"/>
      <c r="K661" s="112"/>
      <c r="L661" s="112"/>
      <c r="M661" s="112"/>
      <c r="N661" s="112"/>
      <c r="O661" s="112"/>
      <c r="P661" s="112"/>
      <c r="Q661" s="112"/>
      <c r="R661" s="112"/>
      <c r="S661" s="112"/>
      <c r="T661" s="112"/>
      <c r="U661" s="112"/>
      <c r="V661" s="112"/>
      <c r="W661" s="112"/>
      <c r="X661" s="112"/>
      <c r="Y661" s="112"/>
      <c r="Z661" s="112"/>
    </row>
    <row r="662" spans="1:26">
      <c r="A662" s="112"/>
      <c r="B662" s="112"/>
      <c r="C662" s="112"/>
      <c r="D662" s="112"/>
      <c r="E662" s="112"/>
      <c r="F662" s="112"/>
      <c r="G662" s="112"/>
      <c r="H662" s="112"/>
      <c r="I662" s="112"/>
      <c r="J662" s="112"/>
      <c r="K662" s="112"/>
      <c r="L662" s="112"/>
      <c r="M662" s="112"/>
      <c r="N662" s="112"/>
      <c r="O662" s="112"/>
      <c r="P662" s="112"/>
      <c r="Q662" s="112"/>
      <c r="R662" s="112"/>
      <c r="S662" s="112"/>
      <c r="T662" s="112"/>
      <c r="U662" s="112"/>
      <c r="V662" s="112"/>
      <c r="W662" s="112"/>
      <c r="X662" s="112"/>
      <c r="Y662" s="112"/>
      <c r="Z662" s="112"/>
    </row>
    <row r="663" spans="1:26">
      <c r="A663" s="112"/>
      <c r="B663" s="112"/>
      <c r="C663" s="112"/>
      <c r="D663" s="112"/>
      <c r="E663" s="112"/>
      <c r="F663" s="112"/>
      <c r="G663" s="112"/>
      <c r="H663" s="112"/>
      <c r="I663" s="112"/>
      <c r="J663" s="112"/>
      <c r="K663" s="112"/>
      <c r="L663" s="112"/>
      <c r="M663" s="112"/>
      <c r="N663" s="112"/>
      <c r="O663" s="112"/>
      <c r="P663" s="112"/>
      <c r="Q663" s="112"/>
      <c r="R663" s="112"/>
      <c r="S663" s="112"/>
      <c r="T663" s="112"/>
      <c r="U663" s="112"/>
      <c r="V663" s="112"/>
      <c r="W663" s="112"/>
      <c r="X663" s="112"/>
      <c r="Y663" s="112"/>
      <c r="Z663" s="112"/>
    </row>
    <row r="664" spans="1:26">
      <c r="A664" s="112"/>
      <c r="B664" s="112"/>
      <c r="C664" s="112"/>
      <c r="D664" s="112"/>
      <c r="E664" s="112"/>
      <c r="F664" s="112"/>
      <c r="G664" s="112"/>
      <c r="H664" s="112"/>
      <c r="I664" s="112"/>
      <c r="J664" s="112"/>
      <c r="K664" s="112"/>
      <c r="L664" s="112"/>
      <c r="M664" s="112"/>
      <c r="N664" s="112"/>
      <c r="O664" s="112"/>
      <c r="P664" s="112"/>
      <c r="Q664" s="112"/>
      <c r="R664" s="112"/>
      <c r="S664" s="112"/>
      <c r="T664" s="112"/>
      <c r="U664" s="112"/>
      <c r="V664" s="112"/>
      <c r="W664" s="112"/>
      <c r="X664" s="112"/>
      <c r="Y664" s="112"/>
      <c r="Z664" s="112"/>
    </row>
    <row r="665" spans="1:26">
      <c r="A665" s="112"/>
      <c r="B665" s="112"/>
      <c r="C665" s="112"/>
      <c r="D665" s="112"/>
      <c r="E665" s="112"/>
      <c r="F665" s="112"/>
      <c r="G665" s="112"/>
      <c r="H665" s="112"/>
      <c r="I665" s="112"/>
      <c r="J665" s="112"/>
      <c r="K665" s="112"/>
      <c r="L665" s="112"/>
      <c r="M665" s="112"/>
      <c r="N665" s="112"/>
      <c r="O665" s="112"/>
      <c r="P665" s="112"/>
      <c r="Q665" s="112"/>
      <c r="R665" s="112"/>
      <c r="S665" s="112"/>
      <c r="T665" s="112"/>
      <c r="U665" s="112"/>
      <c r="V665" s="112"/>
      <c r="W665" s="112"/>
      <c r="X665" s="112"/>
      <c r="Y665" s="112"/>
      <c r="Z665" s="112"/>
    </row>
    <row r="666" spans="1:26">
      <c r="A666" s="112"/>
      <c r="B666" s="112"/>
      <c r="C666" s="112"/>
      <c r="D666" s="112"/>
      <c r="E666" s="112"/>
      <c r="F666" s="112"/>
      <c r="G666" s="112"/>
      <c r="H666" s="112"/>
      <c r="I666" s="112"/>
      <c r="J666" s="112"/>
      <c r="K666" s="112"/>
      <c r="L666" s="112"/>
      <c r="M666" s="112"/>
      <c r="N666" s="112"/>
      <c r="O666" s="112"/>
      <c r="P666" s="112"/>
      <c r="Q666" s="112"/>
      <c r="R666" s="112"/>
      <c r="S666" s="112"/>
      <c r="T666" s="112"/>
      <c r="U666" s="112"/>
      <c r="V666" s="112"/>
      <c r="W666" s="112"/>
      <c r="X666" s="112"/>
      <c r="Y666" s="112"/>
      <c r="Z666" s="112"/>
    </row>
    <row r="667" spans="1:26">
      <c r="A667" s="112"/>
      <c r="B667" s="112"/>
      <c r="C667" s="112"/>
      <c r="D667" s="112"/>
      <c r="E667" s="112"/>
      <c r="F667" s="112"/>
      <c r="G667" s="112"/>
      <c r="H667" s="112"/>
      <c r="I667" s="112"/>
      <c r="J667" s="112"/>
      <c r="K667" s="112"/>
      <c r="L667" s="112"/>
      <c r="M667" s="112"/>
      <c r="N667" s="112"/>
      <c r="O667" s="112"/>
      <c r="P667" s="112"/>
      <c r="Q667" s="112"/>
      <c r="R667" s="112"/>
      <c r="S667" s="112"/>
      <c r="T667" s="112"/>
      <c r="U667" s="112"/>
      <c r="V667" s="112"/>
      <c r="W667" s="112"/>
      <c r="X667" s="112"/>
      <c r="Y667" s="112"/>
      <c r="Z667" s="112"/>
    </row>
    <row r="668" spans="1:26">
      <c r="A668" s="112"/>
      <c r="B668" s="112"/>
      <c r="C668" s="112"/>
      <c r="D668" s="112"/>
      <c r="E668" s="112"/>
      <c r="F668" s="112"/>
      <c r="G668" s="112"/>
      <c r="H668" s="112"/>
      <c r="I668" s="112"/>
      <c r="J668" s="112"/>
      <c r="K668" s="112"/>
      <c r="L668" s="112"/>
      <c r="M668" s="112"/>
      <c r="N668" s="112"/>
      <c r="O668" s="112"/>
      <c r="P668" s="112"/>
      <c r="Q668" s="112"/>
      <c r="R668" s="112"/>
      <c r="S668" s="112"/>
      <c r="T668" s="112"/>
      <c r="U668" s="112"/>
      <c r="V668" s="112"/>
      <c r="W668" s="112"/>
      <c r="X668" s="112"/>
      <c r="Y668" s="112"/>
      <c r="Z668" s="112"/>
    </row>
    <row r="669" spans="1:26">
      <c r="A669" s="112"/>
      <c r="B669" s="112"/>
      <c r="C669" s="112"/>
      <c r="D669" s="112"/>
      <c r="E669" s="112"/>
      <c r="F669" s="112"/>
      <c r="G669" s="112"/>
      <c r="H669" s="112"/>
      <c r="I669" s="112"/>
      <c r="J669" s="112"/>
      <c r="K669" s="112"/>
      <c r="L669" s="112"/>
      <c r="M669" s="112"/>
      <c r="N669" s="112"/>
      <c r="O669" s="112"/>
      <c r="P669" s="112"/>
      <c r="Q669" s="112"/>
      <c r="R669" s="112"/>
      <c r="S669" s="112"/>
      <c r="T669" s="112"/>
      <c r="U669" s="112"/>
      <c r="V669" s="112"/>
      <c r="W669" s="112"/>
      <c r="X669" s="112"/>
      <c r="Y669" s="112"/>
      <c r="Z669" s="112"/>
    </row>
    <row r="670" spans="1:26">
      <c r="A670" s="112"/>
      <c r="B670" s="112"/>
      <c r="C670" s="112"/>
      <c r="D670" s="112"/>
      <c r="E670" s="112"/>
      <c r="F670" s="112"/>
      <c r="G670" s="112"/>
      <c r="H670" s="112"/>
      <c r="I670" s="112"/>
      <c r="J670" s="112"/>
      <c r="K670" s="112"/>
      <c r="L670" s="112"/>
      <c r="M670" s="112"/>
      <c r="N670" s="112"/>
      <c r="O670" s="112"/>
      <c r="P670" s="112"/>
      <c r="Q670" s="112"/>
      <c r="R670" s="112"/>
      <c r="S670" s="112"/>
      <c r="T670" s="112"/>
      <c r="U670" s="112"/>
      <c r="V670" s="112"/>
      <c r="W670" s="112"/>
      <c r="X670" s="112"/>
      <c r="Y670" s="112"/>
      <c r="Z670" s="112"/>
    </row>
    <row r="671" spans="1:26">
      <c r="A671" s="112"/>
      <c r="B671" s="112"/>
      <c r="C671" s="112"/>
      <c r="D671" s="112"/>
      <c r="E671" s="112"/>
      <c r="F671" s="112"/>
      <c r="G671" s="112"/>
      <c r="H671" s="112"/>
      <c r="I671" s="112"/>
      <c r="J671" s="112"/>
      <c r="K671" s="112"/>
      <c r="L671" s="112"/>
      <c r="M671" s="112"/>
      <c r="N671" s="112"/>
      <c r="O671" s="112"/>
      <c r="P671" s="112"/>
      <c r="Q671" s="112"/>
      <c r="R671" s="112"/>
      <c r="S671" s="112"/>
      <c r="T671" s="112"/>
      <c r="U671" s="112"/>
      <c r="V671" s="112"/>
      <c r="W671" s="112"/>
      <c r="X671" s="112"/>
      <c r="Y671" s="112"/>
      <c r="Z671" s="112"/>
    </row>
    <row r="672" spans="1:26">
      <c r="A672" s="112"/>
      <c r="B672" s="112"/>
      <c r="C672" s="112"/>
      <c r="D672" s="112"/>
      <c r="E672" s="112"/>
      <c r="F672" s="112"/>
      <c r="G672" s="112"/>
      <c r="H672" s="112"/>
      <c r="I672" s="112"/>
      <c r="J672" s="112"/>
      <c r="K672" s="112"/>
      <c r="L672" s="112"/>
      <c r="M672" s="112"/>
      <c r="N672" s="112"/>
      <c r="O672" s="112"/>
      <c r="P672" s="112"/>
      <c r="Q672" s="112"/>
      <c r="R672" s="112"/>
      <c r="S672" s="112"/>
      <c r="T672" s="112"/>
      <c r="U672" s="112"/>
      <c r="V672" s="112"/>
      <c r="W672" s="112"/>
      <c r="X672" s="112"/>
      <c r="Y672" s="112"/>
      <c r="Z672" s="112"/>
    </row>
    <row r="673" spans="1:26">
      <c r="A673" s="112"/>
      <c r="B673" s="112"/>
      <c r="C673" s="112"/>
      <c r="D673" s="112"/>
      <c r="E673" s="112"/>
      <c r="F673" s="112"/>
      <c r="G673" s="112"/>
      <c r="H673" s="112"/>
      <c r="I673" s="112"/>
      <c r="J673" s="112"/>
      <c r="K673" s="112"/>
      <c r="L673" s="112"/>
      <c r="M673" s="112"/>
      <c r="N673" s="112"/>
      <c r="O673" s="112"/>
      <c r="P673" s="112"/>
      <c r="Q673" s="112"/>
      <c r="R673" s="112"/>
      <c r="S673" s="112"/>
      <c r="T673" s="112"/>
      <c r="U673" s="112"/>
      <c r="V673" s="112"/>
      <c r="W673" s="112"/>
      <c r="X673" s="112"/>
      <c r="Y673" s="112"/>
      <c r="Z673" s="112"/>
    </row>
    <row r="674" spans="1:26">
      <c r="A674" s="112"/>
      <c r="B674" s="112"/>
      <c r="C674" s="112"/>
      <c r="D674" s="112"/>
      <c r="E674" s="112"/>
      <c r="F674" s="112"/>
      <c r="G674" s="112"/>
      <c r="H674" s="112"/>
      <c r="I674" s="112"/>
      <c r="J674" s="112"/>
      <c r="K674" s="112"/>
      <c r="L674" s="112"/>
      <c r="M674" s="112"/>
      <c r="N674" s="112"/>
      <c r="O674" s="112"/>
      <c r="P674" s="112"/>
      <c r="Q674" s="112"/>
      <c r="R674" s="112"/>
      <c r="S674" s="112"/>
      <c r="T674" s="112"/>
      <c r="U674" s="112"/>
      <c r="V674" s="112"/>
      <c r="W674" s="112"/>
      <c r="X674" s="112"/>
      <c r="Y674" s="112"/>
      <c r="Z674" s="112"/>
    </row>
    <row r="675" spans="1:26">
      <c r="A675" s="112"/>
      <c r="B675" s="112"/>
      <c r="C675" s="112"/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  <c r="Q675" s="112"/>
      <c r="R675" s="112"/>
      <c r="S675" s="112"/>
      <c r="T675" s="112"/>
      <c r="U675" s="112"/>
      <c r="V675" s="112"/>
      <c r="W675" s="112"/>
      <c r="X675" s="112"/>
      <c r="Y675" s="112"/>
      <c r="Z675" s="112"/>
    </row>
    <row r="676" spans="1:26">
      <c r="A676" s="112"/>
      <c r="B676" s="112"/>
      <c r="C676" s="112"/>
      <c r="D676" s="112"/>
      <c r="E676" s="112"/>
      <c r="F676" s="112"/>
      <c r="G676" s="112"/>
      <c r="H676" s="112"/>
      <c r="I676" s="112"/>
      <c r="J676" s="112"/>
      <c r="K676" s="112"/>
      <c r="L676" s="112"/>
      <c r="M676" s="112"/>
      <c r="N676" s="112"/>
      <c r="O676" s="112"/>
      <c r="P676" s="112"/>
      <c r="Q676" s="112"/>
      <c r="R676" s="112"/>
      <c r="S676" s="112"/>
      <c r="T676" s="112"/>
      <c r="U676" s="112"/>
      <c r="V676" s="112"/>
      <c r="W676" s="112"/>
      <c r="X676" s="112"/>
      <c r="Y676" s="112"/>
      <c r="Z676" s="112"/>
    </row>
    <row r="677" spans="1:26">
      <c r="A677" s="112"/>
      <c r="B677" s="112"/>
      <c r="C677" s="112"/>
      <c r="D677" s="112"/>
      <c r="E677" s="112"/>
      <c r="F677" s="112"/>
      <c r="G677" s="112"/>
      <c r="H677" s="112"/>
      <c r="I677" s="112"/>
      <c r="J677" s="112"/>
      <c r="K677" s="112"/>
      <c r="L677" s="112"/>
      <c r="M677" s="112"/>
      <c r="N677" s="112"/>
      <c r="O677" s="112"/>
      <c r="P677" s="112"/>
      <c r="Q677" s="112"/>
      <c r="R677" s="112"/>
      <c r="S677" s="112"/>
      <c r="T677" s="112"/>
      <c r="U677" s="112"/>
      <c r="V677" s="112"/>
      <c r="W677" s="112"/>
      <c r="X677" s="112"/>
      <c r="Y677" s="112"/>
      <c r="Z677" s="112"/>
    </row>
    <row r="678" spans="1:26">
      <c r="A678" s="112"/>
      <c r="B678" s="112"/>
      <c r="C678" s="112"/>
      <c r="D678" s="112"/>
      <c r="E678" s="112"/>
      <c r="F678" s="112"/>
      <c r="G678" s="112"/>
      <c r="H678" s="112"/>
      <c r="I678" s="112"/>
      <c r="J678" s="112"/>
      <c r="K678" s="112"/>
      <c r="L678" s="112"/>
      <c r="M678" s="112"/>
      <c r="N678" s="112"/>
      <c r="O678" s="112"/>
      <c r="P678" s="112"/>
      <c r="Q678" s="112"/>
      <c r="R678" s="112"/>
      <c r="S678" s="112"/>
      <c r="T678" s="112"/>
      <c r="U678" s="112"/>
      <c r="V678" s="112"/>
      <c r="W678" s="112"/>
      <c r="X678" s="112"/>
      <c r="Y678" s="112"/>
      <c r="Z678" s="112"/>
    </row>
    <row r="679" spans="1:26">
      <c r="A679" s="112"/>
      <c r="B679" s="112"/>
      <c r="C679" s="112"/>
      <c r="D679" s="112"/>
      <c r="E679" s="112"/>
      <c r="F679" s="112"/>
      <c r="G679" s="112"/>
      <c r="H679" s="112"/>
      <c r="I679" s="112"/>
      <c r="J679" s="112"/>
      <c r="K679" s="112"/>
      <c r="L679" s="112"/>
      <c r="M679" s="112"/>
      <c r="N679" s="112"/>
      <c r="O679" s="112"/>
      <c r="P679" s="112"/>
      <c r="Q679" s="112"/>
      <c r="R679" s="112"/>
      <c r="S679" s="112"/>
      <c r="T679" s="112"/>
      <c r="U679" s="112"/>
      <c r="V679" s="112"/>
      <c r="W679" s="112"/>
      <c r="X679" s="112"/>
      <c r="Y679" s="112"/>
      <c r="Z679" s="112"/>
    </row>
    <row r="680" spans="1:26">
      <c r="A680" s="112"/>
      <c r="B680" s="112"/>
      <c r="C680" s="112"/>
      <c r="D680" s="112"/>
      <c r="E680" s="112"/>
      <c r="F680" s="112"/>
      <c r="G680" s="112"/>
      <c r="H680" s="112"/>
      <c r="I680" s="112"/>
      <c r="J680" s="112"/>
      <c r="K680" s="112"/>
      <c r="L680" s="112"/>
      <c r="M680" s="112"/>
      <c r="N680" s="112"/>
      <c r="O680" s="112"/>
      <c r="P680" s="112"/>
      <c r="Q680" s="112"/>
      <c r="R680" s="112"/>
      <c r="S680" s="112"/>
      <c r="T680" s="112"/>
      <c r="U680" s="112"/>
      <c r="V680" s="112"/>
      <c r="W680" s="112"/>
      <c r="X680" s="112"/>
      <c r="Y680" s="112"/>
      <c r="Z680" s="112"/>
    </row>
    <row r="681" spans="1:26">
      <c r="A681" s="112"/>
      <c r="B681" s="112"/>
      <c r="C681" s="112"/>
      <c r="D681" s="112"/>
      <c r="E681" s="112"/>
      <c r="F681" s="112"/>
      <c r="G681" s="112"/>
      <c r="H681" s="112"/>
      <c r="I681" s="112"/>
      <c r="J681" s="112"/>
      <c r="K681" s="112"/>
      <c r="L681" s="112"/>
      <c r="M681" s="112"/>
      <c r="N681" s="112"/>
      <c r="O681" s="112"/>
      <c r="P681" s="112"/>
      <c r="Q681" s="112"/>
      <c r="R681" s="112"/>
      <c r="S681" s="112"/>
      <c r="T681" s="112"/>
      <c r="U681" s="112"/>
      <c r="V681" s="112"/>
      <c r="W681" s="112"/>
      <c r="X681" s="112"/>
      <c r="Y681" s="112"/>
      <c r="Z681" s="112"/>
    </row>
    <row r="682" spans="1:26">
      <c r="A682" s="112"/>
      <c r="B682" s="112"/>
      <c r="C682" s="112"/>
      <c r="D682" s="112"/>
      <c r="E682" s="112"/>
      <c r="F682" s="112"/>
      <c r="G682" s="112"/>
      <c r="H682" s="112"/>
      <c r="I682" s="112"/>
      <c r="J682" s="112"/>
      <c r="K682" s="112"/>
      <c r="L682" s="112"/>
      <c r="M682" s="112"/>
      <c r="N682" s="112"/>
      <c r="O682" s="112"/>
      <c r="P682" s="112"/>
      <c r="Q682" s="112"/>
      <c r="R682" s="112"/>
      <c r="S682" s="112"/>
      <c r="T682" s="112"/>
      <c r="U682" s="112"/>
      <c r="V682" s="112"/>
      <c r="W682" s="112"/>
      <c r="X682" s="112"/>
      <c r="Y682" s="112"/>
      <c r="Z682" s="112"/>
    </row>
    <row r="683" spans="1:26">
      <c r="A683" s="112"/>
      <c r="B683" s="112"/>
      <c r="C683" s="112"/>
      <c r="D683" s="112"/>
      <c r="E683" s="112"/>
      <c r="F683" s="112"/>
      <c r="G683" s="112"/>
      <c r="H683" s="112"/>
      <c r="I683" s="112"/>
      <c r="J683" s="112"/>
      <c r="K683" s="112"/>
      <c r="L683" s="112"/>
      <c r="M683" s="112"/>
      <c r="N683" s="112"/>
      <c r="O683" s="112"/>
      <c r="P683" s="112"/>
      <c r="Q683" s="112"/>
      <c r="R683" s="112"/>
      <c r="S683" s="112"/>
      <c r="T683" s="112"/>
      <c r="U683" s="112"/>
      <c r="V683" s="112"/>
      <c r="W683" s="112"/>
      <c r="X683" s="112"/>
      <c r="Y683" s="112"/>
      <c r="Z683" s="112"/>
    </row>
    <row r="684" spans="1:26">
      <c r="A684" s="112"/>
      <c r="B684" s="112"/>
      <c r="C684" s="112"/>
      <c r="D684" s="112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</row>
    <row r="685" spans="1:26">
      <c r="A685" s="112"/>
      <c r="B685" s="112"/>
      <c r="C685" s="112"/>
      <c r="D685" s="112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</row>
    <row r="686" spans="1:26">
      <c r="A686" s="112"/>
      <c r="B686" s="112"/>
      <c r="C686" s="112"/>
      <c r="D686" s="112"/>
      <c r="E686" s="112"/>
      <c r="F686" s="112"/>
      <c r="G686" s="112"/>
      <c r="H686" s="112"/>
      <c r="I686" s="112"/>
      <c r="J686" s="112"/>
      <c r="K686" s="112"/>
      <c r="L686" s="112"/>
      <c r="M686" s="112"/>
      <c r="N686" s="112"/>
      <c r="O686" s="112"/>
      <c r="P686" s="112"/>
      <c r="Q686" s="112"/>
      <c r="R686" s="112"/>
      <c r="S686" s="112"/>
      <c r="T686" s="112"/>
      <c r="U686" s="112"/>
      <c r="V686" s="112"/>
      <c r="W686" s="112"/>
      <c r="X686" s="112"/>
      <c r="Y686" s="112"/>
      <c r="Z686" s="112"/>
    </row>
    <row r="687" spans="1:26">
      <c r="A687" s="112"/>
      <c r="B687" s="112"/>
      <c r="C687" s="112"/>
      <c r="D687" s="112"/>
      <c r="E687" s="112"/>
      <c r="F687" s="112"/>
      <c r="G687" s="112"/>
      <c r="H687" s="112"/>
      <c r="I687" s="112"/>
      <c r="J687" s="112"/>
      <c r="K687" s="112"/>
      <c r="L687" s="112"/>
      <c r="M687" s="112"/>
      <c r="N687" s="112"/>
      <c r="O687" s="112"/>
      <c r="P687" s="112"/>
      <c r="Q687" s="112"/>
      <c r="R687" s="112"/>
      <c r="S687" s="112"/>
      <c r="T687" s="112"/>
      <c r="U687" s="112"/>
      <c r="V687" s="112"/>
      <c r="W687" s="112"/>
      <c r="X687" s="112"/>
      <c r="Y687" s="112"/>
      <c r="Z687" s="112"/>
    </row>
    <row r="688" spans="1:26">
      <c r="A688" s="112"/>
      <c r="B688" s="112"/>
      <c r="C688" s="112"/>
      <c r="D688" s="112"/>
      <c r="E688" s="112"/>
      <c r="F688" s="112"/>
      <c r="G688" s="112"/>
      <c r="H688" s="112"/>
      <c r="I688" s="112"/>
      <c r="J688" s="112"/>
      <c r="K688" s="112"/>
      <c r="L688" s="112"/>
      <c r="M688" s="112"/>
      <c r="N688" s="112"/>
      <c r="O688" s="112"/>
      <c r="P688" s="112"/>
      <c r="Q688" s="112"/>
      <c r="R688" s="112"/>
      <c r="S688" s="112"/>
      <c r="T688" s="112"/>
      <c r="U688" s="112"/>
      <c r="V688" s="112"/>
      <c r="W688" s="112"/>
      <c r="X688" s="112"/>
      <c r="Y688" s="112"/>
      <c r="Z688" s="112"/>
    </row>
    <row r="689" spans="1:26">
      <c r="A689" s="112"/>
      <c r="B689" s="112"/>
      <c r="C689" s="112"/>
      <c r="D689" s="112"/>
      <c r="E689" s="112"/>
      <c r="F689" s="112"/>
      <c r="G689" s="112"/>
      <c r="H689" s="112"/>
      <c r="I689" s="112"/>
      <c r="J689" s="112"/>
      <c r="K689" s="112"/>
      <c r="L689" s="112"/>
      <c r="M689" s="112"/>
      <c r="N689" s="112"/>
      <c r="O689" s="112"/>
      <c r="P689" s="112"/>
      <c r="Q689" s="112"/>
      <c r="R689" s="112"/>
      <c r="S689" s="112"/>
      <c r="T689" s="112"/>
      <c r="U689" s="112"/>
      <c r="V689" s="112"/>
      <c r="W689" s="112"/>
      <c r="X689" s="112"/>
      <c r="Y689" s="112"/>
      <c r="Z689" s="112"/>
    </row>
    <row r="690" spans="1:26">
      <c r="A690" s="112"/>
      <c r="B690" s="112"/>
      <c r="C690" s="112"/>
      <c r="D690" s="112"/>
      <c r="E690" s="112"/>
      <c r="F690" s="112"/>
      <c r="G690" s="112"/>
      <c r="H690" s="112"/>
      <c r="I690" s="112"/>
      <c r="J690" s="112"/>
      <c r="K690" s="112"/>
      <c r="L690" s="112"/>
      <c r="M690" s="112"/>
      <c r="N690" s="112"/>
      <c r="O690" s="112"/>
      <c r="P690" s="112"/>
      <c r="Q690" s="112"/>
      <c r="R690" s="112"/>
      <c r="S690" s="112"/>
      <c r="T690" s="112"/>
      <c r="U690" s="112"/>
      <c r="V690" s="112"/>
      <c r="W690" s="112"/>
      <c r="X690" s="112"/>
      <c r="Y690" s="112"/>
      <c r="Z690" s="112"/>
    </row>
    <row r="691" spans="1:26">
      <c r="A691" s="112"/>
      <c r="B691" s="112"/>
      <c r="C691" s="112"/>
      <c r="D691" s="112"/>
      <c r="E691" s="112"/>
      <c r="F691" s="112"/>
      <c r="G691" s="112"/>
      <c r="H691" s="112"/>
      <c r="I691" s="112"/>
      <c r="J691" s="112"/>
      <c r="K691" s="112"/>
      <c r="L691" s="112"/>
      <c r="M691" s="112"/>
      <c r="N691" s="112"/>
      <c r="O691" s="112"/>
      <c r="P691" s="112"/>
      <c r="Q691" s="112"/>
      <c r="R691" s="112"/>
      <c r="S691" s="112"/>
      <c r="T691" s="112"/>
      <c r="U691" s="112"/>
      <c r="V691" s="112"/>
      <c r="W691" s="112"/>
      <c r="X691" s="112"/>
      <c r="Y691" s="112"/>
      <c r="Z691" s="112"/>
    </row>
    <row r="692" spans="1:26">
      <c r="A692" s="112"/>
      <c r="B692" s="112"/>
      <c r="C692" s="112"/>
      <c r="D692" s="112"/>
      <c r="E692" s="112"/>
      <c r="F692" s="112"/>
      <c r="G692" s="112"/>
      <c r="H692" s="112"/>
      <c r="I692" s="112"/>
      <c r="J692" s="112"/>
      <c r="K692" s="112"/>
      <c r="L692" s="112"/>
      <c r="M692" s="112"/>
      <c r="N692" s="112"/>
      <c r="O692" s="112"/>
      <c r="P692" s="112"/>
      <c r="Q692" s="112"/>
      <c r="R692" s="112"/>
      <c r="S692" s="112"/>
      <c r="T692" s="112"/>
      <c r="U692" s="112"/>
      <c r="V692" s="112"/>
      <c r="W692" s="112"/>
      <c r="X692" s="112"/>
      <c r="Y692" s="112"/>
      <c r="Z692" s="112"/>
    </row>
    <row r="693" spans="1:26">
      <c r="A693" s="112"/>
      <c r="B693" s="112"/>
      <c r="C693" s="112"/>
      <c r="D693" s="112"/>
      <c r="E693" s="112"/>
      <c r="F693" s="112"/>
      <c r="G693" s="112"/>
      <c r="H693" s="112"/>
      <c r="I693" s="112"/>
      <c r="J693" s="112"/>
      <c r="K693" s="112"/>
      <c r="L693" s="112"/>
      <c r="M693" s="112"/>
      <c r="N693" s="112"/>
      <c r="O693" s="112"/>
      <c r="P693" s="112"/>
      <c r="Q693" s="112"/>
      <c r="R693" s="112"/>
      <c r="S693" s="112"/>
      <c r="T693" s="112"/>
      <c r="U693" s="112"/>
      <c r="V693" s="112"/>
      <c r="W693" s="112"/>
      <c r="X693" s="112"/>
      <c r="Y693" s="112"/>
      <c r="Z693" s="112"/>
    </row>
    <row r="694" spans="1:26">
      <c r="A694" s="112"/>
      <c r="B694" s="112"/>
      <c r="C694" s="112"/>
      <c r="D694" s="112"/>
      <c r="E694" s="112"/>
      <c r="F694" s="112"/>
      <c r="G694" s="112"/>
      <c r="H694" s="112"/>
      <c r="I694" s="112"/>
      <c r="J694" s="112"/>
      <c r="K694" s="112"/>
      <c r="L694" s="112"/>
      <c r="M694" s="112"/>
      <c r="N694" s="112"/>
      <c r="O694" s="112"/>
      <c r="P694" s="112"/>
      <c r="Q694" s="112"/>
      <c r="R694" s="112"/>
      <c r="S694" s="112"/>
      <c r="T694" s="112"/>
      <c r="U694" s="112"/>
      <c r="V694" s="112"/>
      <c r="W694" s="112"/>
      <c r="X694" s="112"/>
      <c r="Y694" s="112"/>
      <c r="Z694" s="112"/>
    </row>
    <row r="695" spans="1:26">
      <c r="A695" s="112"/>
      <c r="B695" s="112"/>
      <c r="C695" s="112"/>
      <c r="D695" s="112"/>
      <c r="E695" s="112"/>
      <c r="F695" s="112"/>
      <c r="G695" s="112"/>
      <c r="H695" s="112"/>
      <c r="I695" s="112"/>
      <c r="J695" s="112"/>
      <c r="K695" s="112"/>
      <c r="L695" s="112"/>
      <c r="M695" s="112"/>
      <c r="N695" s="112"/>
      <c r="O695" s="112"/>
      <c r="P695" s="112"/>
      <c r="Q695" s="112"/>
      <c r="R695" s="112"/>
      <c r="S695" s="112"/>
      <c r="T695" s="112"/>
      <c r="U695" s="112"/>
      <c r="V695" s="112"/>
      <c r="W695" s="112"/>
      <c r="X695" s="112"/>
      <c r="Y695" s="112"/>
      <c r="Z695" s="112"/>
    </row>
    <row r="696" spans="1:26">
      <c r="A696" s="112"/>
      <c r="B696" s="112"/>
      <c r="C696" s="112"/>
      <c r="D696" s="112"/>
      <c r="E696" s="112"/>
      <c r="F696" s="112"/>
      <c r="G696" s="112"/>
      <c r="H696" s="112"/>
      <c r="I696" s="112"/>
      <c r="J696" s="112"/>
      <c r="K696" s="112"/>
      <c r="L696" s="112"/>
      <c r="M696" s="112"/>
      <c r="N696" s="112"/>
      <c r="O696" s="112"/>
      <c r="P696" s="112"/>
      <c r="Q696" s="112"/>
      <c r="R696" s="112"/>
      <c r="S696" s="112"/>
      <c r="T696" s="112"/>
      <c r="U696" s="112"/>
      <c r="V696" s="112"/>
      <c r="W696" s="112"/>
      <c r="X696" s="112"/>
      <c r="Y696" s="112"/>
      <c r="Z696" s="112"/>
    </row>
    <row r="697" spans="1:26">
      <c r="A697" s="112"/>
      <c r="B697" s="112"/>
      <c r="C697" s="112"/>
      <c r="D697" s="112"/>
      <c r="E697" s="112"/>
      <c r="F697" s="112"/>
      <c r="G697" s="112"/>
      <c r="H697" s="112"/>
      <c r="I697" s="112"/>
      <c r="J697" s="112"/>
      <c r="K697" s="112"/>
      <c r="L697" s="112"/>
      <c r="M697" s="112"/>
      <c r="N697" s="112"/>
      <c r="O697" s="112"/>
      <c r="P697" s="112"/>
      <c r="Q697" s="112"/>
      <c r="R697" s="112"/>
      <c r="S697" s="112"/>
      <c r="T697" s="112"/>
      <c r="U697" s="112"/>
      <c r="V697" s="112"/>
      <c r="W697" s="112"/>
      <c r="X697" s="112"/>
      <c r="Y697" s="112"/>
      <c r="Z697" s="112"/>
    </row>
    <row r="698" spans="1:26">
      <c r="A698" s="112"/>
      <c r="B698" s="112"/>
      <c r="C698" s="112"/>
      <c r="D698" s="112"/>
      <c r="E698" s="112"/>
      <c r="F698" s="112"/>
      <c r="G698" s="112"/>
      <c r="H698" s="112"/>
      <c r="I698" s="112"/>
      <c r="J698" s="112"/>
      <c r="K698" s="112"/>
      <c r="L698" s="112"/>
      <c r="M698" s="112"/>
      <c r="N698" s="112"/>
      <c r="O698" s="112"/>
      <c r="P698" s="112"/>
      <c r="Q698" s="112"/>
      <c r="R698" s="112"/>
      <c r="S698" s="112"/>
      <c r="T698" s="112"/>
      <c r="U698" s="112"/>
      <c r="V698" s="112"/>
      <c r="W698" s="112"/>
      <c r="X698" s="112"/>
      <c r="Y698" s="112"/>
      <c r="Z698" s="112"/>
    </row>
    <row r="699" spans="1:26">
      <c r="A699" s="112"/>
      <c r="B699" s="112"/>
      <c r="C699" s="112"/>
      <c r="D699" s="112"/>
      <c r="E699" s="112"/>
      <c r="F699" s="112"/>
      <c r="G699" s="112"/>
      <c r="H699" s="112"/>
      <c r="I699" s="112"/>
      <c r="J699" s="112"/>
      <c r="K699" s="112"/>
      <c r="L699" s="112"/>
      <c r="M699" s="112"/>
      <c r="N699" s="112"/>
      <c r="O699" s="112"/>
      <c r="P699" s="112"/>
      <c r="Q699" s="112"/>
      <c r="R699" s="112"/>
      <c r="S699" s="112"/>
      <c r="T699" s="112"/>
      <c r="U699" s="112"/>
      <c r="V699" s="112"/>
      <c r="W699" s="112"/>
      <c r="X699" s="112"/>
      <c r="Y699" s="112"/>
      <c r="Z699" s="112"/>
    </row>
    <row r="700" spans="1:26">
      <c r="A700" s="112"/>
      <c r="B700" s="112"/>
      <c r="C700" s="112"/>
      <c r="D700" s="112"/>
      <c r="E700" s="112"/>
      <c r="F700" s="112"/>
      <c r="G700" s="112"/>
      <c r="H700" s="112"/>
      <c r="I700" s="112"/>
      <c r="J700" s="112"/>
      <c r="K700" s="112"/>
      <c r="L700" s="112"/>
      <c r="M700" s="112"/>
      <c r="N700" s="112"/>
      <c r="O700" s="112"/>
      <c r="P700" s="112"/>
      <c r="Q700" s="112"/>
      <c r="R700" s="112"/>
      <c r="S700" s="112"/>
      <c r="T700" s="112"/>
      <c r="U700" s="112"/>
      <c r="V700" s="112"/>
      <c r="W700" s="112"/>
      <c r="X700" s="112"/>
      <c r="Y700" s="112"/>
      <c r="Z700" s="112"/>
    </row>
    <row r="701" spans="1:26">
      <c r="A701" s="112"/>
      <c r="B701" s="112"/>
      <c r="C701" s="112"/>
      <c r="D701" s="112"/>
      <c r="E701" s="112"/>
      <c r="F701" s="112"/>
      <c r="G701" s="112"/>
      <c r="H701" s="112"/>
      <c r="I701" s="112"/>
      <c r="J701" s="112"/>
      <c r="K701" s="112"/>
      <c r="L701" s="112"/>
      <c r="M701" s="112"/>
      <c r="N701" s="112"/>
      <c r="O701" s="112"/>
      <c r="P701" s="112"/>
      <c r="Q701" s="112"/>
      <c r="R701" s="112"/>
      <c r="S701" s="112"/>
      <c r="T701" s="112"/>
      <c r="U701" s="112"/>
      <c r="V701" s="112"/>
      <c r="W701" s="112"/>
      <c r="X701" s="112"/>
      <c r="Y701" s="112"/>
      <c r="Z701" s="112"/>
    </row>
    <row r="702" spans="1:26">
      <c r="A702" s="112"/>
      <c r="B702" s="112"/>
      <c r="C702" s="112"/>
      <c r="D702" s="112"/>
      <c r="E702" s="112"/>
      <c r="F702" s="112"/>
      <c r="G702" s="112"/>
      <c r="H702" s="112"/>
      <c r="I702" s="112"/>
      <c r="J702" s="112"/>
      <c r="K702" s="112"/>
      <c r="L702" s="112"/>
      <c r="M702" s="112"/>
      <c r="N702" s="112"/>
      <c r="O702" s="112"/>
      <c r="P702" s="112"/>
      <c r="Q702" s="112"/>
      <c r="R702" s="112"/>
      <c r="S702" s="112"/>
      <c r="T702" s="112"/>
      <c r="U702" s="112"/>
      <c r="V702" s="112"/>
      <c r="W702" s="112"/>
      <c r="X702" s="112"/>
      <c r="Y702" s="112"/>
      <c r="Z702" s="112"/>
    </row>
    <row r="703" spans="1:26">
      <c r="A703" s="112"/>
      <c r="B703" s="112"/>
      <c r="C703" s="112"/>
      <c r="D703" s="112"/>
      <c r="E703" s="112"/>
      <c r="F703" s="112"/>
      <c r="G703" s="112"/>
      <c r="H703" s="112"/>
      <c r="I703" s="112"/>
      <c r="J703" s="112"/>
      <c r="K703" s="112"/>
      <c r="L703" s="112"/>
      <c r="M703" s="112"/>
      <c r="N703" s="112"/>
      <c r="O703" s="112"/>
      <c r="P703" s="112"/>
      <c r="Q703" s="112"/>
      <c r="R703" s="112"/>
      <c r="S703" s="112"/>
      <c r="T703" s="112"/>
      <c r="U703" s="112"/>
      <c r="V703" s="112"/>
      <c r="W703" s="112"/>
      <c r="X703" s="112"/>
      <c r="Y703" s="112"/>
      <c r="Z703" s="112"/>
    </row>
    <row r="704" spans="1:26">
      <c r="A704" s="112"/>
      <c r="B704" s="112"/>
      <c r="C704" s="112"/>
      <c r="D704" s="112"/>
      <c r="E704" s="112"/>
      <c r="F704" s="112"/>
      <c r="G704" s="112"/>
      <c r="H704" s="112"/>
      <c r="I704" s="112"/>
      <c r="J704" s="112"/>
      <c r="K704" s="112"/>
      <c r="L704" s="112"/>
      <c r="M704" s="112"/>
      <c r="N704" s="112"/>
      <c r="O704" s="112"/>
      <c r="P704" s="112"/>
      <c r="Q704" s="112"/>
      <c r="R704" s="112"/>
      <c r="S704" s="112"/>
      <c r="T704" s="112"/>
      <c r="U704" s="112"/>
      <c r="V704" s="112"/>
      <c r="W704" s="112"/>
      <c r="X704" s="112"/>
      <c r="Y704" s="112"/>
      <c r="Z704" s="112"/>
    </row>
    <row r="705" spans="1:26">
      <c r="A705" s="112"/>
      <c r="B705" s="112"/>
      <c r="C705" s="112"/>
      <c r="D705" s="112"/>
      <c r="E705" s="112"/>
      <c r="F705" s="112"/>
      <c r="G705" s="112"/>
      <c r="H705" s="112"/>
      <c r="I705" s="112"/>
      <c r="J705" s="112"/>
      <c r="K705" s="112"/>
      <c r="L705" s="112"/>
      <c r="M705" s="112"/>
      <c r="N705" s="112"/>
      <c r="O705" s="112"/>
      <c r="P705" s="112"/>
      <c r="Q705" s="112"/>
      <c r="R705" s="112"/>
      <c r="S705" s="112"/>
      <c r="T705" s="112"/>
      <c r="U705" s="112"/>
      <c r="V705" s="112"/>
      <c r="W705" s="112"/>
      <c r="X705" s="112"/>
      <c r="Y705" s="112"/>
      <c r="Z705" s="112"/>
    </row>
    <row r="706" spans="1:26">
      <c r="A706" s="112"/>
      <c r="B706" s="112"/>
      <c r="C706" s="112"/>
      <c r="D706" s="112"/>
      <c r="E706" s="112"/>
      <c r="F706" s="112"/>
      <c r="G706" s="112"/>
      <c r="H706" s="112"/>
      <c r="I706" s="112"/>
      <c r="J706" s="112"/>
      <c r="K706" s="112"/>
      <c r="L706" s="112"/>
      <c r="M706" s="112"/>
      <c r="N706" s="112"/>
      <c r="O706" s="112"/>
      <c r="P706" s="112"/>
      <c r="Q706" s="112"/>
      <c r="R706" s="112"/>
      <c r="S706" s="112"/>
      <c r="T706" s="112"/>
      <c r="U706" s="112"/>
      <c r="V706" s="112"/>
      <c r="W706" s="112"/>
      <c r="X706" s="112"/>
      <c r="Y706" s="112"/>
      <c r="Z706" s="112"/>
    </row>
    <row r="707" spans="1:26">
      <c r="A707" s="112"/>
      <c r="B707" s="112"/>
      <c r="C707" s="112"/>
      <c r="D707" s="112"/>
      <c r="E707" s="112"/>
      <c r="F707" s="112"/>
      <c r="G707" s="112"/>
      <c r="H707" s="112"/>
      <c r="I707" s="112"/>
      <c r="J707" s="112"/>
      <c r="K707" s="112"/>
      <c r="L707" s="112"/>
      <c r="M707" s="112"/>
      <c r="N707" s="112"/>
      <c r="O707" s="112"/>
      <c r="P707" s="112"/>
      <c r="Q707" s="112"/>
      <c r="R707" s="112"/>
      <c r="S707" s="112"/>
      <c r="T707" s="112"/>
      <c r="U707" s="112"/>
      <c r="V707" s="112"/>
      <c r="W707" s="112"/>
      <c r="X707" s="112"/>
      <c r="Y707" s="112"/>
      <c r="Z707" s="112"/>
    </row>
    <row r="708" spans="1:26">
      <c r="A708" s="112"/>
      <c r="B708" s="112"/>
      <c r="C708" s="112"/>
      <c r="D708" s="112"/>
      <c r="E708" s="112"/>
      <c r="F708" s="112"/>
      <c r="G708" s="112"/>
      <c r="H708" s="112"/>
      <c r="I708" s="112"/>
      <c r="J708" s="112"/>
      <c r="K708" s="112"/>
      <c r="L708" s="112"/>
      <c r="M708" s="112"/>
      <c r="N708" s="112"/>
      <c r="O708" s="112"/>
      <c r="P708" s="112"/>
      <c r="Q708" s="112"/>
      <c r="R708" s="112"/>
      <c r="S708" s="112"/>
      <c r="T708" s="112"/>
      <c r="U708" s="112"/>
      <c r="V708" s="112"/>
      <c r="W708" s="112"/>
      <c r="X708" s="112"/>
      <c r="Y708" s="112"/>
      <c r="Z708" s="112"/>
    </row>
    <row r="709" spans="1:26">
      <c r="A709" s="112"/>
      <c r="B709" s="112"/>
      <c r="C709" s="112"/>
      <c r="D709" s="112"/>
      <c r="E709" s="112"/>
      <c r="F709" s="112"/>
      <c r="G709" s="112"/>
      <c r="H709" s="112"/>
      <c r="I709" s="112"/>
      <c r="J709" s="112"/>
      <c r="K709" s="112"/>
      <c r="L709" s="112"/>
      <c r="M709" s="112"/>
      <c r="N709" s="112"/>
      <c r="O709" s="112"/>
      <c r="P709" s="112"/>
      <c r="Q709" s="112"/>
      <c r="R709" s="112"/>
      <c r="S709" s="112"/>
      <c r="T709" s="112"/>
      <c r="U709" s="112"/>
      <c r="V709" s="112"/>
      <c r="W709" s="112"/>
      <c r="X709" s="112"/>
      <c r="Y709" s="112"/>
      <c r="Z709" s="112"/>
    </row>
    <row r="710" spans="1:26">
      <c r="A710" s="112"/>
      <c r="B710" s="112"/>
      <c r="C710" s="112"/>
      <c r="D710" s="112"/>
      <c r="E710" s="112"/>
      <c r="F710" s="112"/>
      <c r="G710" s="112"/>
      <c r="H710" s="112"/>
      <c r="I710" s="112"/>
      <c r="J710" s="112"/>
      <c r="K710" s="112"/>
      <c r="L710" s="112"/>
      <c r="M710" s="112"/>
      <c r="N710" s="112"/>
      <c r="O710" s="112"/>
      <c r="P710" s="112"/>
      <c r="Q710" s="112"/>
      <c r="R710" s="112"/>
      <c r="S710" s="112"/>
      <c r="T710" s="112"/>
      <c r="U710" s="112"/>
      <c r="V710" s="112"/>
      <c r="W710" s="112"/>
      <c r="X710" s="112"/>
      <c r="Y710" s="112"/>
      <c r="Z710" s="112"/>
    </row>
    <row r="711" spans="1:26">
      <c r="A711" s="112"/>
      <c r="B711" s="112"/>
      <c r="C711" s="112"/>
      <c r="D711" s="112"/>
      <c r="E711" s="112"/>
      <c r="F711" s="112"/>
      <c r="G711" s="112"/>
      <c r="H711" s="112"/>
      <c r="I711" s="112"/>
      <c r="J711" s="112"/>
      <c r="K711" s="112"/>
      <c r="L711" s="112"/>
      <c r="M711" s="112"/>
      <c r="N711" s="112"/>
      <c r="O711" s="112"/>
      <c r="P711" s="112"/>
      <c r="Q711" s="112"/>
      <c r="R711" s="112"/>
      <c r="S711" s="112"/>
      <c r="T711" s="112"/>
      <c r="U711" s="112"/>
      <c r="V711" s="112"/>
      <c r="W711" s="112"/>
      <c r="X711" s="112"/>
      <c r="Y711" s="112"/>
      <c r="Z711" s="112"/>
    </row>
    <row r="712" spans="1:26">
      <c r="A712" s="112"/>
      <c r="B712" s="112"/>
      <c r="C712" s="112"/>
      <c r="D712" s="112"/>
      <c r="E712" s="112"/>
      <c r="F712" s="112"/>
      <c r="G712" s="112"/>
      <c r="H712" s="112"/>
      <c r="I712" s="112"/>
      <c r="J712" s="112"/>
      <c r="K712" s="112"/>
      <c r="L712" s="112"/>
      <c r="M712" s="112"/>
      <c r="N712" s="112"/>
      <c r="O712" s="112"/>
      <c r="P712" s="112"/>
      <c r="Q712" s="112"/>
      <c r="R712" s="112"/>
      <c r="S712" s="112"/>
      <c r="T712" s="112"/>
      <c r="U712" s="112"/>
      <c r="V712" s="112"/>
      <c r="W712" s="112"/>
      <c r="X712" s="112"/>
      <c r="Y712" s="112"/>
      <c r="Z712" s="112"/>
    </row>
    <row r="713" spans="1:26">
      <c r="A713" s="112"/>
      <c r="B713" s="112"/>
      <c r="C713" s="112"/>
      <c r="D713" s="112"/>
      <c r="E713" s="112"/>
      <c r="F713" s="112"/>
      <c r="G713" s="112"/>
      <c r="H713" s="112"/>
      <c r="I713" s="112"/>
      <c r="J713" s="112"/>
      <c r="K713" s="112"/>
      <c r="L713" s="112"/>
      <c r="M713" s="112"/>
      <c r="N713" s="112"/>
      <c r="O713" s="112"/>
      <c r="P713" s="112"/>
      <c r="Q713" s="112"/>
      <c r="R713" s="112"/>
      <c r="S713" s="112"/>
      <c r="T713" s="112"/>
      <c r="U713" s="112"/>
      <c r="V713" s="112"/>
      <c r="W713" s="112"/>
      <c r="X713" s="112"/>
      <c r="Y713" s="112"/>
      <c r="Z713" s="112"/>
    </row>
    <row r="714" spans="1:26">
      <c r="A714" s="112"/>
      <c r="B714" s="112"/>
      <c r="C714" s="112"/>
      <c r="D714" s="112"/>
      <c r="E714" s="112"/>
      <c r="F714" s="112"/>
      <c r="G714" s="112"/>
      <c r="H714" s="112"/>
      <c r="I714" s="112"/>
      <c r="J714" s="112"/>
      <c r="K714" s="112"/>
      <c r="L714" s="112"/>
      <c r="M714" s="112"/>
      <c r="N714" s="112"/>
      <c r="O714" s="112"/>
      <c r="P714" s="112"/>
      <c r="Q714" s="112"/>
      <c r="R714" s="112"/>
      <c r="S714" s="112"/>
      <c r="T714" s="112"/>
      <c r="U714" s="112"/>
      <c r="V714" s="112"/>
      <c r="W714" s="112"/>
      <c r="X714" s="112"/>
      <c r="Y714" s="112"/>
      <c r="Z714" s="112"/>
    </row>
    <row r="715" spans="1:26">
      <c r="A715" s="112"/>
      <c r="B715" s="112"/>
      <c r="C715" s="112"/>
      <c r="D715" s="112"/>
      <c r="E715" s="112"/>
      <c r="F715" s="112"/>
      <c r="G715" s="112"/>
      <c r="H715" s="112"/>
      <c r="I715" s="112"/>
      <c r="J715" s="112"/>
      <c r="K715" s="112"/>
      <c r="L715" s="112"/>
      <c r="M715" s="112"/>
      <c r="N715" s="112"/>
      <c r="O715" s="112"/>
      <c r="P715" s="112"/>
      <c r="Q715" s="112"/>
      <c r="R715" s="112"/>
      <c r="S715" s="112"/>
      <c r="T715" s="112"/>
      <c r="U715" s="112"/>
      <c r="V715" s="112"/>
      <c r="W715" s="112"/>
      <c r="X715" s="112"/>
      <c r="Y715" s="112"/>
      <c r="Z715" s="112"/>
    </row>
    <row r="716" spans="1:26">
      <c r="A716" s="112"/>
      <c r="B716" s="112"/>
      <c r="C716" s="112"/>
      <c r="D716" s="112"/>
      <c r="E716" s="112"/>
      <c r="F716" s="112"/>
      <c r="G716" s="112"/>
      <c r="H716" s="112"/>
      <c r="I716" s="112"/>
      <c r="J716" s="112"/>
      <c r="K716" s="112"/>
      <c r="L716" s="112"/>
      <c r="M716" s="112"/>
      <c r="N716" s="112"/>
      <c r="O716" s="112"/>
      <c r="P716" s="112"/>
      <c r="Q716" s="112"/>
      <c r="R716" s="112"/>
      <c r="S716" s="112"/>
      <c r="T716" s="112"/>
      <c r="U716" s="112"/>
      <c r="V716" s="112"/>
      <c r="W716" s="112"/>
      <c r="X716" s="112"/>
      <c r="Y716" s="112"/>
      <c r="Z716" s="112"/>
    </row>
    <row r="717" spans="1:26">
      <c r="A717" s="112"/>
      <c r="B717" s="112"/>
      <c r="C717" s="112"/>
      <c r="D717" s="112"/>
      <c r="E717" s="112"/>
      <c r="F717" s="112"/>
      <c r="G717" s="112"/>
      <c r="H717" s="112"/>
      <c r="I717" s="112"/>
      <c r="J717" s="112"/>
      <c r="K717" s="112"/>
      <c r="L717" s="112"/>
      <c r="M717" s="112"/>
      <c r="N717" s="112"/>
      <c r="O717" s="112"/>
      <c r="P717" s="112"/>
      <c r="Q717" s="112"/>
      <c r="R717" s="112"/>
      <c r="S717" s="112"/>
      <c r="T717" s="112"/>
      <c r="U717" s="112"/>
      <c r="V717" s="112"/>
      <c r="W717" s="112"/>
      <c r="X717" s="112"/>
      <c r="Y717" s="112"/>
      <c r="Z717" s="112"/>
    </row>
    <row r="718" spans="1:26">
      <c r="A718" s="112"/>
      <c r="B718" s="112"/>
      <c r="C718" s="112"/>
      <c r="D718" s="112"/>
      <c r="E718" s="112"/>
      <c r="F718" s="112"/>
      <c r="G718" s="112"/>
      <c r="H718" s="112"/>
      <c r="I718" s="112"/>
      <c r="J718" s="112"/>
      <c r="K718" s="112"/>
      <c r="L718" s="112"/>
      <c r="M718" s="112"/>
      <c r="N718" s="112"/>
      <c r="O718" s="112"/>
      <c r="P718" s="112"/>
      <c r="Q718" s="112"/>
      <c r="R718" s="112"/>
      <c r="S718" s="112"/>
      <c r="T718" s="112"/>
      <c r="U718" s="112"/>
      <c r="V718" s="112"/>
      <c r="W718" s="112"/>
      <c r="X718" s="112"/>
      <c r="Y718" s="112"/>
      <c r="Z718" s="112"/>
    </row>
    <row r="719" spans="1:26">
      <c r="A719" s="112"/>
      <c r="B719" s="112"/>
      <c r="C719" s="112"/>
      <c r="D719" s="112"/>
      <c r="E719" s="112"/>
      <c r="F719" s="112"/>
      <c r="G719" s="112"/>
      <c r="H719" s="112"/>
      <c r="I719" s="112"/>
      <c r="J719" s="112"/>
      <c r="K719" s="112"/>
      <c r="L719" s="112"/>
      <c r="M719" s="112"/>
      <c r="N719" s="112"/>
      <c r="O719" s="112"/>
      <c r="P719" s="112"/>
      <c r="Q719" s="112"/>
      <c r="R719" s="112"/>
      <c r="S719" s="112"/>
      <c r="T719" s="112"/>
      <c r="U719" s="112"/>
      <c r="V719" s="112"/>
      <c r="W719" s="112"/>
      <c r="X719" s="112"/>
      <c r="Y719" s="112"/>
      <c r="Z719" s="112"/>
    </row>
    <row r="720" spans="1:26">
      <c r="A720" s="112"/>
      <c r="B720" s="112"/>
      <c r="C720" s="112"/>
      <c r="D720" s="112"/>
      <c r="E720" s="112"/>
      <c r="F720" s="112"/>
      <c r="G720" s="112"/>
      <c r="H720" s="112"/>
      <c r="I720" s="112"/>
      <c r="J720" s="112"/>
      <c r="K720" s="112"/>
      <c r="L720" s="112"/>
      <c r="M720" s="112"/>
      <c r="N720" s="112"/>
      <c r="O720" s="112"/>
      <c r="P720" s="112"/>
      <c r="Q720" s="112"/>
      <c r="R720" s="112"/>
      <c r="S720" s="112"/>
      <c r="T720" s="112"/>
      <c r="U720" s="112"/>
      <c r="V720" s="112"/>
      <c r="W720" s="112"/>
      <c r="X720" s="112"/>
      <c r="Y720" s="112"/>
      <c r="Z720" s="112"/>
    </row>
    <row r="721" spans="1:26">
      <c r="A721" s="112"/>
      <c r="B721" s="112"/>
      <c r="C721" s="112"/>
      <c r="D721" s="112"/>
      <c r="E721" s="112"/>
      <c r="F721" s="112"/>
      <c r="G721" s="112"/>
      <c r="H721" s="112"/>
      <c r="I721" s="112"/>
      <c r="J721" s="112"/>
      <c r="K721" s="112"/>
      <c r="L721" s="112"/>
      <c r="M721" s="112"/>
      <c r="N721" s="112"/>
      <c r="O721" s="112"/>
      <c r="P721" s="112"/>
      <c r="Q721" s="112"/>
      <c r="R721" s="112"/>
      <c r="S721" s="112"/>
      <c r="T721" s="112"/>
      <c r="U721" s="112"/>
      <c r="V721" s="112"/>
      <c r="W721" s="112"/>
      <c r="X721" s="112"/>
      <c r="Y721" s="112"/>
      <c r="Z721" s="112"/>
    </row>
    <row r="722" spans="1:26">
      <c r="A722" s="112"/>
      <c r="B722" s="112"/>
      <c r="C722" s="112"/>
      <c r="D722" s="112"/>
      <c r="E722" s="112"/>
      <c r="F722" s="112"/>
      <c r="G722" s="112"/>
      <c r="H722" s="112"/>
      <c r="I722" s="112"/>
      <c r="J722" s="112"/>
      <c r="K722" s="112"/>
      <c r="L722" s="112"/>
      <c r="M722" s="112"/>
      <c r="N722" s="112"/>
      <c r="O722" s="112"/>
      <c r="P722" s="112"/>
      <c r="Q722" s="112"/>
      <c r="R722" s="112"/>
      <c r="S722" s="112"/>
      <c r="T722" s="112"/>
      <c r="U722" s="112"/>
      <c r="V722" s="112"/>
      <c r="W722" s="112"/>
      <c r="X722" s="112"/>
      <c r="Y722" s="112"/>
      <c r="Z722" s="112"/>
    </row>
    <row r="723" spans="1:26">
      <c r="A723" s="112"/>
      <c r="B723" s="112"/>
      <c r="C723" s="112"/>
      <c r="D723" s="112"/>
      <c r="E723" s="112"/>
      <c r="F723" s="112"/>
      <c r="G723" s="112"/>
      <c r="H723" s="112"/>
      <c r="I723" s="112"/>
      <c r="J723" s="112"/>
      <c r="K723" s="112"/>
      <c r="L723" s="112"/>
      <c r="M723" s="112"/>
      <c r="N723" s="112"/>
      <c r="O723" s="112"/>
      <c r="P723" s="112"/>
      <c r="Q723" s="112"/>
      <c r="R723" s="112"/>
      <c r="S723" s="112"/>
      <c r="T723" s="112"/>
      <c r="U723" s="112"/>
      <c r="V723" s="112"/>
      <c r="W723" s="112"/>
      <c r="X723" s="112"/>
      <c r="Y723" s="112"/>
      <c r="Z723" s="112"/>
    </row>
    <row r="724" spans="1:26">
      <c r="A724" s="112"/>
      <c r="B724" s="112"/>
      <c r="C724" s="112"/>
      <c r="D724" s="112"/>
      <c r="E724" s="112"/>
      <c r="F724" s="112"/>
      <c r="G724" s="112"/>
      <c r="H724" s="112"/>
      <c r="I724" s="112"/>
      <c r="J724" s="112"/>
      <c r="K724" s="112"/>
      <c r="L724" s="112"/>
      <c r="M724" s="112"/>
      <c r="N724" s="112"/>
      <c r="O724" s="112"/>
      <c r="P724" s="112"/>
      <c r="Q724" s="112"/>
      <c r="R724" s="112"/>
      <c r="S724" s="112"/>
      <c r="T724" s="112"/>
      <c r="U724" s="112"/>
      <c r="V724" s="112"/>
      <c r="W724" s="112"/>
      <c r="X724" s="112"/>
      <c r="Y724" s="112"/>
      <c r="Z724" s="112"/>
    </row>
    <row r="725" spans="1:26">
      <c r="A725" s="112"/>
      <c r="B725" s="112"/>
      <c r="C725" s="112"/>
      <c r="D725" s="112"/>
      <c r="E725" s="112"/>
      <c r="F725" s="112"/>
      <c r="G725" s="112"/>
      <c r="H725" s="112"/>
      <c r="I725" s="112"/>
      <c r="J725" s="112"/>
      <c r="K725" s="112"/>
      <c r="L725" s="112"/>
      <c r="M725" s="112"/>
      <c r="N725" s="112"/>
      <c r="O725" s="112"/>
      <c r="P725" s="112"/>
      <c r="Q725" s="112"/>
      <c r="R725" s="112"/>
      <c r="S725" s="112"/>
      <c r="T725" s="112"/>
      <c r="U725" s="112"/>
      <c r="V725" s="112"/>
      <c r="W725" s="112"/>
      <c r="X725" s="112"/>
      <c r="Y725" s="112"/>
      <c r="Z725" s="112"/>
    </row>
    <row r="726" spans="1:26">
      <c r="A726" s="112"/>
      <c r="B726" s="112"/>
      <c r="C726" s="112"/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  <c r="Q726" s="112"/>
      <c r="R726" s="112"/>
      <c r="S726" s="112"/>
      <c r="T726" s="112"/>
      <c r="U726" s="112"/>
      <c r="V726" s="112"/>
      <c r="W726" s="112"/>
      <c r="X726" s="112"/>
      <c r="Y726" s="112"/>
      <c r="Z726" s="112"/>
    </row>
    <row r="727" spans="1:26">
      <c r="A727" s="112"/>
      <c r="B727" s="112"/>
      <c r="C727" s="112"/>
      <c r="D727" s="112"/>
      <c r="E727" s="112"/>
      <c r="F727" s="112"/>
      <c r="G727" s="112"/>
      <c r="H727" s="112"/>
      <c r="I727" s="112"/>
      <c r="J727" s="112"/>
      <c r="K727" s="112"/>
      <c r="L727" s="112"/>
      <c r="M727" s="112"/>
      <c r="N727" s="112"/>
      <c r="O727" s="112"/>
      <c r="P727" s="112"/>
      <c r="Q727" s="112"/>
      <c r="R727" s="112"/>
      <c r="S727" s="112"/>
      <c r="T727" s="112"/>
      <c r="U727" s="112"/>
      <c r="V727" s="112"/>
      <c r="W727" s="112"/>
      <c r="X727" s="112"/>
      <c r="Y727" s="112"/>
      <c r="Z727" s="112"/>
    </row>
    <row r="728" spans="1:26">
      <c r="A728" s="112"/>
      <c r="B728" s="112"/>
      <c r="C728" s="112"/>
      <c r="D728" s="112"/>
      <c r="E728" s="112"/>
      <c r="F728" s="112"/>
      <c r="G728" s="112"/>
      <c r="H728" s="112"/>
      <c r="I728" s="112"/>
      <c r="J728" s="112"/>
      <c r="K728" s="112"/>
      <c r="L728" s="112"/>
      <c r="M728" s="112"/>
      <c r="N728" s="112"/>
      <c r="O728" s="112"/>
      <c r="P728" s="112"/>
      <c r="Q728" s="112"/>
      <c r="R728" s="112"/>
      <c r="S728" s="112"/>
      <c r="T728" s="112"/>
      <c r="U728" s="112"/>
      <c r="V728" s="112"/>
      <c r="W728" s="112"/>
      <c r="X728" s="112"/>
      <c r="Y728" s="112"/>
      <c r="Z728" s="112"/>
    </row>
    <row r="729" spans="1:26">
      <c r="A729" s="112"/>
      <c r="B729" s="112"/>
      <c r="C729" s="112"/>
      <c r="D729" s="112"/>
      <c r="E729" s="112"/>
      <c r="F729" s="112"/>
      <c r="G729" s="112"/>
      <c r="H729" s="112"/>
      <c r="I729" s="112"/>
      <c r="J729" s="112"/>
      <c r="K729" s="112"/>
      <c r="L729" s="112"/>
      <c r="M729" s="112"/>
      <c r="N729" s="112"/>
      <c r="O729" s="112"/>
      <c r="P729" s="112"/>
      <c r="Q729" s="112"/>
      <c r="R729" s="112"/>
      <c r="S729" s="112"/>
      <c r="T729" s="112"/>
      <c r="U729" s="112"/>
      <c r="V729" s="112"/>
      <c r="W729" s="112"/>
      <c r="X729" s="112"/>
      <c r="Y729" s="112"/>
      <c r="Z729" s="112"/>
    </row>
    <row r="730" spans="1:26">
      <c r="A730" s="112"/>
      <c r="B730" s="112"/>
      <c r="C730" s="112"/>
      <c r="D730" s="112"/>
      <c r="E730" s="112"/>
      <c r="F730" s="112"/>
      <c r="G730" s="112"/>
      <c r="H730" s="112"/>
      <c r="I730" s="112"/>
      <c r="J730" s="112"/>
      <c r="K730" s="112"/>
      <c r="L730" s="112"/>
      <c r="M730" s="112"/>
      <c r="N730" s="112"/>
      <c r="O730" s="112"/>
      <c r="P730" s="112"/>
      <c r="Q730" s="112"/>
      <c r="R730" s="112"/>
      <c r="S730" s="112"/>
      <c r="T730" s="112"/>
      <c r="U730" s="112"/>
      <c r="V730" s="112"/>
      <c r="W730" s="112"/>
      <c r="X730" s="112"/>
      <c r="Y730" s="112"/>
      <c r="Z730" s="112"/>
    </row>
    <row r="731" spans="1:26">
      <c r="A731" s="112"/>
      <c r="B731" s="112"/>
      <c r="C731" s="112"/>
      <c r="D731" s="112"/>
      <c r="E731" s="112"/>
      <c r="F731" s="112"/>
      <c r="G731" s="112"/>
      <c r="H731" s="112"/>
      <c r="I731" s="112"/>
      <c r="J731" s="112"/>
      <c r="K731" s="112"/>
      <c r="L731" s="112"/>
      <c r="M731" s="112"/>
      <c r="N731" s="112"/>
      <c r="O731" s="112"/>
      <c r="P731" s="112"/>
      <c r="Q731" s="112"/>
      <c r="R731" s="112"/>
      <c r="S731" s="112"/>
      <c r="T731" s="112"/>
      <c r="U731" s="112"/>
      <c r="V731" s="112"/>
      <c r="W731" s="112"/>
      <c r="X731" s="112"/>
      <c r="Y731" s="112"/>
      <c r="Z731" s="112"/>
    </row>
    <row r="732" spans="1:26">
      <c r="A732" s="112"/>
      <c r="B732" s="112"/>
      <c r="C732" s="112"/>
      <c r="D732" s="112"/>
      <c r="E732" s="112"/>
      <c r="F732" s="112"/>
      <c r="G732" s="112"/>
      <c r="H732" s="112"/>
      <c r="I732" s="112"/>
      <c r="J732" s="112"/>
      <c r="K732" s="112"/>
      <c r="L732" s="112"/>
      <c r="M732" s="112"/>
      <c r="N732" s="112"/>
      <c r="O732" s="112"/>
      <c r="P732" s="112"/>
      <c r="Q732" s="112"/>
      <c r="R732" s="112"/>
      <c r="S732" s="112"/>
      <c r="T732" s="112"/>
      <c r="U732" s="112"/>
      <c r="V732" s="112"/>
      <c r="W732" s="112"/>
      <c r="X732" s="112"/>
      <c r="Y732" s="112"/>
      <c r="Z732" s="112"/>
    </row>
    <row r="733" spans="1:26">
      <c r="A733" s="112"/>
      <c r="B733" s="112"/>
      <c r="C733" s="112"/>
      <c r="D733" s="112"/>
      <c r="E733" s="112"/>
      <c r="F733" s="112"/>
      <c r="G733" s="112"/>
      <c r="H733" s="112"/>
      <c r="I733" s="112"/>
      <c r="J733" s="112"/>
      <c r="K733" s="112"/>
      <c r="L733" s="112"/>
      <c r="M733" s="112"/>
      <c r="N733" s="112"/>
      <c r="O733" s="112"/>
      <c r="P733" s="112"/>
      <c r="Q733" s="112"/>
      <c r="R733" s="112"/>
      <c r="S733" s="112"/>
      <c r="T733" s="112"/>
      <c r="U733" s="112"/>
      <c r="V733" s="112"/>
      <c r="W733" s="112"/>
      <c r="X733" s="112"/>
      <c r="Y733" s="112"/>
      <c r="Z733" s="112"/>
    </row>
    <row r="734" spans="1:26">
      <c r="A734" s="112"/>
      <c r="B734" s="112"/>
      <c r="C734" s="112"/>
      <c r="D734" s="112"/>
      <c r="E734" s="112"/>
      <c r="F734" s="112"/>
      <c r="G734" s="112"/>
      <c r="H734" s="112"/>
      <c r="I734" s="112"/>
      <c r="J734" s="112"/>
      <c r="K734" s="112"/>
      <c r="L734" s="112"/>
      <c r="M734" s="112"/>
      <c r="N734" s="112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  <c r="Y734" s="112"/>
      <c r="Z734" s="112"/>
    </row>
    <row r="735" spans="1:26">
      <c r="A735" s="112"/>
      <c r="B735" s="112"/>
      <c r="C735" s="112"/>
      <c r="D735" s="112"/>
      <c r="E735" s="112"/>
      <c r="F735" s="112"/>
      <c r="G735" s="112"/>
      <c r="H735" s="112"/>
      <c r="I735" s="112"/>
      <c r="J735" s="112"/>
      <c r="K735" s="112"/>
      <c r="L735" s="112"/>
      <c r="M735" s="112"/>
      <c r="N735" s="112"/>
      <c r="O735" s="112"/>
      <c r="P735" s="112"/>
      <c r="Q735" s="112"/>
      <c r="R735" s="112"/>
      <c r="S735" s="112"/>
      <c r="T735" s="112"/>
      <c r="U735" s="112"/>
      <c r="V735" s="112"/>
      <c r="W735" s="112"/>
      <c r="X735" s="112"/>
      <c r="Y735" s="112"/>
      <c r="Z735" s="112"/>
    </row>
    <row r="736" spans="1:26">
      <c r="A736" s="112"/>
      <c r="B736" s="112"/>
      <c r="C736" s="112"/>
      <c r="D736" s="112"/>
      <c r="E736" s="112"/>
      <c r="F736" s="112"/>
      <c r="G736" s="112"/>
      <c r="H736" s="112"/>
      <c r="I736" s="112"/>
      <c r="J736" s="112"/>
      <c r="K736" s="112"/>
      <c r="L736" s="112"/>
      <c r="M736" s="112"/>
      <c r="N736" s="112"/>
      <c r="O736" s="112"/>
      <c r="P736" s="112"/>
      <c r="Q736" s="112"/>
      <c r="R736" s="112"/>
      <c r="S736" s="112"/>
      <c r="T736" s="112"/>
      <c r="U736" s="112"/>
      <c r="V736" s="112"/>
      <c r="W736" s="112"/>
      <c r="X736" s="112"/>
      <c r="Y736" s="112"/>
      <c r="Z736" s="112"/>
    </row>
    <row r="737" spans="1:26">
      <c r="A737" s="112"/>
      <c r="B737" s="112"/>
      <c r="C737" s="112"/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  <c r="Q737" s="112"/>
      <c r="R737" s="112"/>
      <c r="S737" s="112"/>
      <c r="T737" s="112"/>
      <c r="U737" s="112"/>
      <c r="V737" s="112"/>
      <c r="W737" s="112"/>
      <c r="X737" s="112"/>
      <c r="Y737" s="112"/>
      <c r="Z737" s="112"/>
    </row>
    <row r="738" spans="1:26">
      <c r="A738" s="112"/>
      <c r="B738" s="112"/>
      <c r="C738" s="112"/>
      <c r="D738" s="112"/>
      <c r="E738" s="112"/>
      <c r="F738" s="112"/>
      <c r="G738" s="112"/>
      <c r="H738" s="112"/>
      <c r="I738" s="112"/>
      <c r="J738" s="112"/>
      <c r="K738" s="112"/>
      <c r="L738" s="112"/>
      <c r="M738" s="112"/>
      <c r="N738" s="112"/>
      <c r="O738" s="112"/>
      <c r="P738" s="112"/>
      <c r="Q738" s="112"/>
      <c r="R738" s="112"/>
      <c r="S738" s="112"/>
      <c r="T738" s="112"/>
      <c r="U738" s="112"/>
      <c r="V738" s="112"/>
      <c r="W738" s="112"/>
      <c r="X738" s="112"/>
      <c r="Y738" s="112"/>
      <c r="Z738" s="112"/>
    </row>
    <row r="739" spans="1:26">
      <c r="A739" s="112"/>
      <c r="B739" s="112"/>
      <c r="C739" s="112"/>
      <c r="D739" s="112"/>
      <c r="E739" s="112"/>
      <c r="F739" s="112"/>
      <c r="G739" s="112"/>
      <c r="H739" s="112"/>
      <c r="I739" s="112"/>
      <c r="J739" s="112"/>
      <c r="K739" s="112"/>
      <c r="L739" s="112"/>
      <c r="M739" s="112"/>
      <c r="N739" s="112"/>
      <c r="O739" s="112"/>
      <c r="P739" s="112"/>
      <c r="Q739" s="112"/>
      <c r="R739" s="112"/>
      <c r="S739" s="112"/>
      <c r="T739" s="112"/>
      <c r="U739" s="112"/>
      <c r="V739" s="112"/>
      <c r="W739" s="112"/>
      <c r="X739" s="112"/>
      <c r="Y739" s="112"/>
      <c r="Z739" s="112"/>
    </row>
    <row r="740" spans="1:26">
      <c r="A740" s="112"/>
      <c r="B740" s="112"/>
      <c r="C740" s="112"/>
      <c r="D740" s="112"/>
      <c r="E740" s="112"/>
      <c r="F740" s="112"/>
      <c r="G740" s="112"/>
      <c r="H740" s="112"/>
      <c r="I740" s="112"/>
      <c r="J740" s="112"/>
      <c r="K740" s="112"/>
      <c r="L740" s="112"/>
      <c r="M740" s="112"/>
      <c r="N740" s="112"/>
      <c r="O740" s="112"/>
      <c r="P740" s="112"/>
      <c r="Q740" s="112"/>
      <c r="R740" s="112"/>
      <c r="S740" s="112"/>
      <c r="T740" s="112"/>
      <c r="U740" s="112"/>
      <c r="V740" s="112"/>
      <c r="W740" s="112"/>
      <c r="X740" s="112"/>
      <c r="Y740" s="112"/>
      <c r="Z740" s="112"/>
    </row>
    <row r="741" spans="1:26">
      <c r="A741" s="112"/>
      <c r="B741" s="112"/>
      <c r="C741" s="112"/>
      <c r="D741" s="112"/>
      <c r="E741" s="112"/>
      <c r="F741" s="112"/>
      <c r="G741" s="112"/>
      <c r="H741" s="112"/>
      <c r="I741" s="112"/>
      <c r="J741" s="112"/>
      <c r="K741" s="112"/>
      <c r="L741" s="112"/>
      <c r="M741" s="112"/>
      <c r="N741" s="112"/>
      <c r="O741" s="112"/>
      <c r="P741" s="112"/>
      <c r="Q741" s="112"/>
      <c r="R741" s="112"/>
      <c r="S741" s="112"/>
      <c r="T741" s="112"/>
      <c r="U741" s="112"/>
      <c r="V741" s="112"/>
      <c r="W741" s="112"/>
      <c r="X741" s="112"/>
      <c r="Y741" s="112"/>
      <c r="Z741" s="112"/>
    </row>
    <row r="742" spans="1:26">
      <c r="A742" s="112"/>
      <c r="B742" s="112"/>
      <c r="C742" s="112"/>
      <c r="D742" s="112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</row>
    <row r="743" spans="1:26">
      <c r="A743" s="112"/>
      <c r="B743" s="112"/>
      <c r="C743" s="112"/>
      <c r="D743" s="112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</row>
    <row r="744" spans="1:26">
      <c r="A744" s="112"/>
      <c r="B744" s="112"/>
      <c r="C744" s="112"/>
      <c r="D744" s="112"/>
      <c r="E744" s="112"/>
      <c r="F744" s="112"/>
      <c r="G744" s="112"/>
      <c r="H744" s="112"/>
      <c r="I744" s="112"/>
      <c r="J744" s="112"/>
      <c r="K744" s="112"/>
      <c r="L744" s="112"/>
      <c r="M744" s="112"/>
      <c r="N744" s="112"/>
      <c r="O744" s="112"/>
      <c r="P744" s="112"/>
      <c r="Q744" s="112"/>
      <c r="R744" s="112"/>
      <c r="S744" s="112"/>
      <c r="T744" s="112"/>
      <c r="U744" s="112"/>
      <c r="V744" s="112"/>
      <c r="W744" s="112"/>
      <c r="X744" s="112"/>
      <c r="Y744" s="112"/>
      <c r="Z744" s="112"/>
    </row>
    <row r="745" spans="1:26">
      <c r="A745" s="112"/>
      <c r="B745" s="112"/>
      <c r="C745" s="112"/>
      <c r="D745" s="112"/>
      <c r="E745" s="112"/>
      <c r="F745" s="112"/>
      <c r="G745" s="112"/>
      <c r="H745" s="112"/>
      <c r="I745" s="112"/>
      <c r="J745" s="112"/>
      <c r="K745" s="112"/>
      <c r="L745" s="112"/>
      <c r="M745" s="112"/>
      <c r="N745" s="112"/>
      <c r="O745" s="112"/>
      <c r="P745" s="112"/>
      <c r="Q745" s="112"/>
      <c r="R745" s="112"/>
      <c r="S745" s="112"/>
      <c r="T745" s="112"/>
      <c r="U745" s="112"/>
      <c r="V745" s="112"/>
      <c r="W745" s="112"/>
      <c r="X745" s="112"/>
      <c r="Y745" s="112"/>
      <c r="Z745" s="112"/>
    </row>
    <row r="746" spans="1:26">
      <c r="A746" s="112"/>
      <c r="B746" s="112"/>
      <c r="C746" s="112"/>
      <c r="D746" s="112"/>
      <c r="E746" s="112"/>
      <c r="F746" s="112"/>
      <c r="G746" s="112"/>
      <c r="H746" s="112"/>
      <c r="I746" s="112"/>
      <c r="J746" s="112"/>
      <c r="K746" s="112"/>
      <c r="L746" s="112"/>
      <c r="M746" s="112"/>
      <c r="N746" s="112"/>
      <c r="O746" s="112"/>
      <c r="P746" s="112"/>
      <c r="Q746" s="112"/>
      <c r="R746" s="112"/>
      <c r="S746" s="112"/>
      <c r="T746" s="112"/>
      <c r="U746" s="112"/>
      <c r="V746" s="112"/>
      <c r="W746" s="112"/>
      <c r="X746" s="112"/>
      <c r="Y746" s="112"/>
      <c r="Z746" s="112"/>
    </row>
    <row r="747" spans="1:26">
      <c r="A747" s="112"/>
      <c r="B747" s="112"/>
      <c r="C747" s="112"/>
      <c r="D747" s="112"/>
      <c r="E747" s="112"/>
      <c r="F747" s="112"/>
      <c r="G747" s="112"/>
      <c r="H747" s="112"/>
      <c r="I747" s="112"/>
      <c r="J747" s="112"/>
      <c r="K747" s="112"/>
      <c r="L747" s="112"/>
      <c r="M747" s="112"/>
      <c r="N747" s="112"/>
      <c r="O747" s="112"/>
      <c r="P747" s="112"/>
      <c r="Q747" s="112"/>
      <c r="R747" s="112"/>
      <c r="S747" s="112"/>
      <c r="T747" s="112"/>
      <c r="U747" s="112"/>
      <c r="V747" s="112"/>
      <c r="W747" s="112"/>
      <c r="X747" s="112"/>
      <c r="Y747" s="112"/>
      <c r="Z747" s="112"/>
    </row>
    <row r="748" spans="1:26">
      <c r="A748" s="112"/>
      <c r="B748" s="112"/>
      <c r="C748" s="112"/>
      <c r="D748" s="112"/>
      <c r="E748" s="112"/>
      <c r="F748" s="112"/>
      <c r="G748" s="112"/>
      <c r="H748" s="112"/>
      <c r="I748" s="112"/>
      <c r="J748" s="112"/>
      <c r="K748" s="112"/>
      <c r="L748" s="112"/>
      <c r="M748" s="112"/>
      <c r="N748" s="112"/>
      <c r="O748" s="112"/>
      <c r="P748" s="112"/>
      <c r="Q748" s="112"/>
      <c r="R748" s="112"/>
      <c r="S748" s="112"/>
      <c r="T748" s="112"/>
      <c r="U748" s="112"/>
      <c r="V748" s="112"/>
      <c r="W748" s="112"/>
      <c r="X748" s="112"/>
      <c r="Y748" s="112"/>
      <c r="Z748" s="112"/>
    </row>
    <row r="749" spans="1:26">
      <c r="A749" s="112"/>
      <c r="B749" s="112"/>
      <c r="C749" s="112"/>
      <c r="D749" s="112"/>
      <c r="E749" s="112"/>
      <c r="F749" s="112"/>
      <c r="G749" s="112"/>
      <c r="H749" s="112"/>
      <c r="I749" s="112"/>
      <c r="J749" s="112"/>
      <c r="K749" s="112"/>
      <c r="L749" s="112"/>
      <c r="M749" s="112"/>
      <c r="N749" s="112"/>
      <c r="O749" s="112"/>
      <c r="P749" s="112"/>
      <c r="Q749" s="112"/>
      <c r="R749" s="112"/>
      <c r="S749" s="112"/>
      <c r="T749" s="112"/>
      <c r="U749" s="112"/>
      <c r="V749" s="112"/>
      <c r="W749" s="112"/>
      <c r="X749" s="112"/>
      <c r="Y749" s="112"/>
      <c r="Z749" s="112"/>
    </row>
    <row r="750" spans="1:26">
      <c r="A750" s="112"/>
      <c r="B750" s="112"/>
      <c r="C750" s="112"/>
      <c r="D750" s="112"/>
      <c r="E750" s="112"/>
      <c r="F750" s="112"/>
      <c r="G750" s="112"/>
      <c r="H750" s="112"/>
      <c r="I750" s="112"/>
      <c r="J750" s="112"/>
      <c r="K750" s="112"/>
      <c r="L750" s="112"/>
      <c r="M750" s="112"/>
      <c r="N750" s="112"/>
      <c r="O750" s="112"/>
      <c r="P750" s="112"/>
      <c r="Q750" s="112"/>
      <c r="R750" s="112"/>
      <c r="S750" s="112"/>
      <c r="T750" s="112"/>
      <c r="U750" s="112"/>
      <c r="V750" s="112"/>
      <c r="W750" s="112"/>
      <c r="X750" s="112"/>
      <c r="Y750" s="112"/>
      <c r="Z750" s="112"/>
    </row>
    <row r="751" spans="1:26">
      <c r="A751" s="112"/>
      <c r="B751" s="112"/>
      <c r="C751" s="112"/>
      <c r="D751" s="112"/>
      <c r="E751" s="112"/>
      <c r="F751" s="112"/>
      <c r="G751" s="112"/>
      <c r="H751" s="112"/>
      <c r="I751" s="112"/>
      <c r="J751" s="112"/>
      <c r="K751" s="112"/>
      <c r="L751" s="112"/>
      <c r="M751" s="112"/>
      <c r="N751" s="112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  <c r="Y751" s="112"/>
      <c r="Z751" s="112"/>
    </row>
    <row r="752" spans="1:26">
      <c r="A752" s="112"/>
      <c r="B752" s="112"/>
      <c r="C752" s="112"/>
      <c r="D752" s="112"/>
      <c r="E752" s="112"/>
      <c r="F752" s="112"/>
      <c r="G752" s="112"/>
      <c r="H752" s="112"/>
      <c r="I752" s="112"/>
      <c r="J752" s="112"/>
      <c r="K752" s="112"/>
      <c r="L752" s="112"/>
      <c r="M752" s="112"/>
      <c r="N752" s="112"/>
      <c r="O752" s="112"/>
      <c r="P752" s="112"/>
      <c r="Q752" s="112"/>
      <c r="R752" s="112"/>
      <c r="S752" s="112"/>
      <c r="T752" s="112"/>
      <c r="U752" s="112"/>
      <c r="V752" s="112"/>
      <c r="W752" s="112"/>
      <c r="X752" s="112"/>
      <c r="Y752" s="112"/>
      <c r="Z752" s="112"/>
    </row>
    <row r="753" spans="1:26">
      <c r="A753" s="112"/>
      <c r="B753" s="112"/>
      <c r="C753" s="112"/>
      <c r="D753" s="112"/>
      <c r="E753" s="112"/>
      <c r="F753" s="112"/>
      <c r="G753" s="112"/>
      <c r="H753" s="112"/>
      <c r="I753" s="112"/>
      <c r="J753" s="112"/>
      <c r="K753" s="112"/>
      <c r="L753" s="112"/>
      <c r="M753" s="112"/>
      <c r="N753" s="112"/>
      <c r="O753" s="112"/>
      <c r="P753" s="112"/>
      <c r="Q753" s="112"/>
      <c r="R753" s="112"/>
      <c r="S753" s="112"/>
      <c r="T753" s="112"/>
      <c r="U753" s="112"/>
      <c r="V753" s="112"/>
      <c r="W753" s="112"/>
      <c r="X753" s="112"/>
      <c r="Y753" s="112"/>
      <c r="Z753" s="112"/>
    </row>
    <row r="754" spans="1:26">
      <c r="A754" s="112"/>
      <c r="B754" s="112"/>
      <c r="C754" s="112"/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  <c r="Q754" s="112"/>
      <c r="R754" s="112"/>
      <c r="S754" s="112"/>
      <c r="T754" s="112"/>
      <c r="U754" s="112"/>
      <c r="V754" s="112"/>
      <c r="W754" s="112"/>
      <c r="X754" s="112"/>
      <c r="Y754" s="112"/>
      <c r="Z754" s="112"/>
    </row>
    <row r="755" spans="1:26">
      <c r="A755" s="112"/>
      <c r="B755" s="112"/>
      <c r="C755" s="112"/>
      <c r="D755" s="112"/>
      <c r="E755" s="112"/>
      <c r="F755" s="112"/>
      <c r="G755" s="112"/>
      <c r="H755" s="112"/>
      <c r="I755" s="112"/>
      <c r="J755" s="112"/>
      <c r="K755" s="112"/>
      <c r="L755" s="112"/>
      <c r="M755" s="112"/>
      <c r="N755" s="112"/>
      <c r="O755" s="112"/>
      <c r="P755" s="112"/>
      <c r="Q755" s="112"/>
      <c r="R755" s="112"/>
      <c r="S755" s="112"/>
      <c r="T755" s="112"/>
      <c r="U755" s="112"/>
      <c r="V755" s="112"/>
      <c r="W755" s="112"/>
      <c r="X755" s="112"/>
      <c r="Y755" s="112"/>
      <c r="Z755" s="112"/>
    </row>
    <row r="756" spans="1:26">
      <c r="A756" s="112"/>
      <c r="B756" s="112"/>
      <c r="C756" s="112"/>
      <c r="D756" s="112"/>
      <c r="E756" s="112"/>
      <c r="F756" s="112"/>
      <c r="G756" s="112"/>
      <c r="H756" s="112"/>
      <c r="I756" s="112"/>
      <c r="J756" s="112"/>
      <c r="K756" s="112"/>
      <c r="L756" s="112"/>
      <c r="M756" s="112"/>
      <c r="N756" s="112"/>
      <c r="O756" s="112"/>
      <c r="P756" s="112"/>
      <c r="Q756" s="112"/>
      <c r="R756" s="112"/>
      <c r="S756" s="112"/>
      <c r="T756" s="112"/>
      <c r="U756" s="112"/>
      <c r="V756" s="112"/>
      <c r="W756" s="112"/>
      <c r="X756" s="112"/>
      <c r="Y756" s="112"/>
      <c r="Z756" s="112"/>
    </row>
    <row r="757" spans="1:26">
      <c r="A757" s="112"/>
      <c r="B757" s="112"/>
      <c r="C757" s="112"/>
      <c r="D757" s="112"/>
      <c r="E757" s="112"/>
      <c r="F757" s="112"/>
      <c r="G757" s="112"/>
      <c r="H757" s="112"/>
      <c r="I757" s="112"/>
      <c r="J757" s="112"/>
      <c r="K757" s="112"/>
      <c r="L757" s="112"/>
      <c r="M757" s="112"/>
      <c r="N757" s="112"/>
      <c r="O757" s="112"/>
      <c r="P757" s="112"/>
      <c r="Q757" s="112"/>
      <c r="R757" s="112"/>
      <c r="S757" s="112"/>
      <c r="T757" s="112"/>
      <c r="U757" s="112"/>
      <c r="V757" s="112"/>
      <c r="W757" s="112"/>
      <c r="X757" s="112"/>
      <c r="Y757" s="112"/>
      <c r="Z757" s="112"/>
    </row>
    <row r="758" spans="1:26">
      <c r="A758" s="112"/>
      <c r="B758" s="112"/>
      <c r="C758" s="112"/>
      <c r="D758" s="112"/>
      <c r="E758" s="112"/>
      <c r="F758" s="112"/>
      <c r="G758" s="112"/>
      <c r="H758" s="112"/>
      <c r="I758" s="112"/>
      <c r="J758" s="112"/>
      <c r="K758" s="112"/>
      <c r="L758" s="112"/>
      <c r="M758" s="112"/>
      <c r="N758" s="112"/>
      <c r="O758" s="112"/>
      <c r="P758" s="112"/>
      <c r="Q758" s="112"/>
      <c r="R758" s="112"/>
      <c r="S758" s="112"/>
      <c r="T758" s="112"/>
      <c r="U758" s="112"/>
      <c r="V758" s="112"/>
      <c r="W758" s="112"/>
      <c r="X758" s="112"/>
      <c r="Y758" s="112"/>
      <c r="Z758" s="112"/>
    </row>
    <row r="759" spans="1:26">
      <c r="A759" s="112"/>
      <c r="B759" s="112"/>
      <c r="C759" s="112"/>
      <c r="D759" s="112"/>
      <c r="E759" s="112"/>
      <c r="F759" s="112"/>
      <c r="G759" s="112"/>
      <c r="H759" s="112"/>
      <c r="I759" s="112"/>
      <c r="J759" s="112"/>
      <c r="K759" s="112"/>
      <c r="L759" s="112"/>
      <c r="M759" s="112"/>
      <c r="N759" s="112"/>
      <c r="O759" s="112"/>
      <c r="P759" s="112"/>
      <c r="Q759" s="112"/>
      <c r="R759" s="112"/>
      <c r="S759" s="112"/>
      <c r="T759" s="112"/>
      <c r="U759" s="112"/>
      <c r="V759" s="112"/>
      <c r="W759" s="112"/>
      <c r="X759" s="112"/>
      <c r="Y759" s="112"/>
      <c r="Z759" s="112"/>
    </row>
    <row r="760" spans="1:26">
      <c r="A760" s="112"/>
      <c r="B760" s="112"/>
      <c r="C760" s="112"/>
      <c r="D760" s="112"/>
      <c r="E760" s="112"/>
      <c r="F760" s="112"/>
      <c r="G760" s="112"/>
      <c r="H760" s="112"/>
      <c r="I760" s="112"/>
      <c r="J760" s="112"/>
      <c r="K760" s="112"/>
      <c r="L760" s="112"/>
      <c r="M760" s="112"/>
      <c r="N760" s="112"/>
      <c r="O760" s="112"/>
      <c r="P760" s="112"/>
      <c r="Q760" s="112"/>
      <c r="R760" s="112"/>
      <c r="S760" s="112"/>
      <c r="T760" s="112"/>
      <c r="U760" s="112"/>
      <c r="V760" s="112"/>
      <c r="W760" s="112"/>
      <c r="X760" s="112"/>
      <c r="Y760" s="112"/>
      <c r="Z760" s="112"/>
    </row>
    <row r="761" spans="1:26">
      <c r="A761" s="112"/>
      <c r="B761" s="112"/>
      <c r="C761" s="112"/>
      <c r="D761" s="112"/>
      <c r="E761" s="112"/>
      <c r="F761" s="112"/>
      <c r="G761" s="112"/>
      <c r="H761" s="112"/>
      <c r="I761" s="112"/>
      <c r="J761" s="112"/>
      <c r="K761" s="112"/>
      <c r="L761" s="112"/>
      <c r="M761" s="112"/>
      <c r="N761" s="112"/>
      <c r="O761" s="112"/>
      <c r="P761" s="112"/>
      <c r="Q761" s="112"/>
      <c r="R761" s="112"/>
      <c r="S761" s="112"/>
      <c r="T761" s="112"/>
      <c r="U761" s="112"/>
      <c r="V761" s="112"/>
      <c r="W761" s="112"/>
      <c r="X761" s="112"/>
      <c r="Y761" s="112"/>
      <c r="Z761" s="112"/>
    </row>
    <row r="762" spans="1:26">
      <c r="A762" s="112"/>
      <c r="B762" s="112"/>
      <c r="C762" s="112"/>
      <c r="D762" s="112"/>
      <c r="E762" s="112"/>
      <c r="F762" s="112"/>
      <c r="G762" s="112"/>
      <c r="H762" s="112"/>
      <c r="I762" s="112"/>
      <c r="J762" s="112"/>
      <c r="K762" s="112"/>
      <c r="L762" s="112"/>
      <c r="M762" s="112"/>
      <c r="N762" s="112"/>
      <c r="O762" s="112"/>
      <c r="P762" s="112"/>
      <c r="Q762" s="112"/>
      <c r="R762" s="112"/>
      <c r="S762" s="112"/>
      <c r="T762" s="112"/>
      <c r="U762" s="112"/>
      <c r="V762" s="112"/>
      <c r="W762" s="112"/>
      <c r="X762" s="112"/>
      <c r="Y762" s="112"/>
      <c r="Z762" s="112"/>
    </row>
    <row r="763" spans="1:26">
      <c r="A763" s="112"/>
      <c r="B763" s="112"/>
      <c r="C763" s="112"/>
      <c r="D763" s="112"/>
      <c r="E763" s="112"/>
      <c r="F763" s="112"/>
      <c r="G763" s="112"/>
      <c r="H763" s="112"/>
      <c r="I763" s="112"/>
      <c r="J763" s="112"/>
      <c r="K763" s="112"/>
      <c r="L763" s="112"/>
      <c r="M763" s="112"/>
      <c r="N763" s="112"/>
      <c r="O763" s="112"/>
      <c r="P763" s="112"/>
      <c r="Q763" s="112"/>
      <c r="R763" s="112"/>
      <c r="S763" s="112"/>
      <c r="T763" s="112"/>
      <c r="U763" s="112"/>
      <c r="V763" s="112"/>
      <c r="W763" s="112"/>
      <c r="X763" s="112"/>
      <c r="Y763" s="112"/>
      <c r="Z763" s="112"/>
    </row>
    <row r="764" spans="1:26">
      <c r="A764" s="112"/>
      <c r="B764" s="112"/>
      <c r="C764" s="112"/>
      <c r="D764" s="112"/>
      <c r="E764" s="112"/>
      <c r="F764" s="112"/>
      <c r="G764" s="112"/>
      <c r="H764" s="112"/>
      <c r="I764" s="112"/>
      <c r="J764" s="112"/>
      <c r="K764" s="112"/>
      <c r="L764" s="112"/>
      <c r="M764" s="112"/>
      <c r="N764" s="112"/>
      <c r="O764" s="112"/>
      <c r="P764" s="112"/>
      <c r="Q764" s="112"/>
      <c r="R764" s="112"/>
      <c r="S764" s="112"/>
      <c r="T764" s="112"/>
      <c r="U764" s="112"/>
      <c r="V764" s="112"/>
      <c r="W764" s="112"/>
      <c r="X764" s="112"/>
      <c r="Y764" s="112"/>
      <c r="Z764" s="112"/>
    </row>
    <row r="765" spans="1:26">
      <c r="A765" s="112"/>
      <c r="B765" s="112"/>
      <c r="C765" s="112"/>
      <c r="D765" s="112"/>
      <c r="E765" s="112"/>
      <c r="F765" s="112"/>
      <c r="G765" s="112"/>
      <c r="H765" s="112"/>
      <c r="I765" s="112"/>
      <c r="J765" s="112"/>
      <c r="K765" s="112"/>
      <c r="L765" s="112"/>
      <c r="M765" s="112"/>
      <c r="N765" s="112"/>
      <c r="O765" s="112"/>
      <c r="P765" s="112"/>
      <c r="Q765" s="112"/>
      <c r="R765" s="112"/>
      <c r="S765" s="112"/>
      <c r="T765" s="112"/>
      <c r="U765" s="112"/>
      <c r="V765" s="112"/>
      <c r="W765" s="112"/>
      <c r="X765" s="112"/>
      <c r="Y765" s="112"/>
      <c r="Z765" s="112"/>
    </row>
    <row r="766" spans="1:26">
      <c r="A766" s="112"/>
      <c r="B766" s="112"/>
      <c r="C766" s="112"/>
      <c r="D766" s="112"/>
      <c r="E766" s="112"/>
      <c r="F766" s="112"/>
      <c r="G766" s="112"/>
      <c r="H766" s="112"/>
      <c r="I766" s="112"/>
      <c r="J766" s="112"/>
      <c r="K766" s="112"/>
      <c r="L766" s="112"/>
      <c r="M766" s="112"/>
      <c r="N766" s="112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  <c r="Y766" s="112"/>
      <c r="Z766" s="112"/>
    </row>
    <row r="767" spans="1:26">
      <c r="A767" s="112"/>
      <c r="B767" s="112"/>
      <c r="C767" s="112"/>
      <c r="D767" s="112"/>
      <c r="E767" s="112"/>
      <c r="F767" s="112"/>
      <c r="G767" s="112"/>
      <c r="H767" s="112"/>
      <c r="I767" s="112"/>
      <c r="J767" s="112"/>
      <c r="K767" s="112"/>
      <c r="L767" s="112"/>
      <c r="M767" s="112"/>
      <c r="N767" s="112"/>
      <c r="O767" s="112"/>
      <c r="P767" s="112"/>
      <c r="Q767" s="112"/>
      <c r="R767" s="112"/>
      <c r="S767" s="112"/>
      <c r="T767" s="112"/>
      <c r="U767" s="112"/>
      <c r="V767" s="112"/>
      <c r="W767" s="112"/>
      <c r="X767" s="112"/>
      <c r="Y767" s="112"/>
      <c r="Z767" s="112"/>
    </row>
    <row r="768" spans="1:26">
      <c r="A768" s="112"/>
      <c r="B768" s="112"/>
      <c r="C768" s="112"/>
      <c r="D768" s="112"/>
      <c r="E768" s="112"/>
      <c r="F768" s="112"/>
      <c r="G768" s="112"/>
      <c r="H768" s="112"/>
      <c r="I768" s="112"/>
      <c r="J768" s="112"/>
      <c r="K768" s="112"/>
      <c r="L768" s="112"/>
      <c r="M768" s="112"/>
      <c r="N768" s="112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112"/>
      <c r="Z768" s="112"/>
    </row>
    <row r="769" spans="1:26">
      <c r="A769" s="112"/>
      <c r="B769" s="112"/>
      <c r="C769" s="112"/>
      <c r="D769" s="112"/>
      <c r="E769" s="112"/>
      <c r="F769" s="112"/>
      <c r="G769" s="112"/>
      <c r="H769" s="112"/>
      <c r="I769" s="112"/>
      <c r="J769" s="112"/>
      <c r="K769" s="112"/>
      <c r="L769" s="112"/>
      <c r="M769" s="112"/>
      <c r="N769" s="112"/>
      <c r="O769" s="112"/>
      <c r="P769" s="112"/>
      <c r="Q769" s="112"/>
      <c r="R769" s="112"/>
      <c r="S769" s="112"/>
      <c r="T769" s="112"/>
      <c r="U769" s="112"/>
      <c r="V769" s="112"/>
      <c r="W769" s="112"/>
      <c r="X769" s="112"/>
      <c r="Y769" s="112"/>
      <c r="Z769" s="112"/>
    </row>
    <row r="770" spans="1:26">
      <c r="A770" s="112"/>
      <c r="B770" s="112"/>
      <c r="C770" s="112"/>
      <c r="D770" s="112"/>
      <c r="E770" s="112"/>
      <c r="F770" s="112"/>
      <c r="G770" s="112"/>
      <c r="H770" s="112"/>
      <c r="I770" s="112"/>
      <c r="J770" s="112"/>
      <c r="K770" s="112"/>
      <c r="L770" s="112"/>
      <c r="M770" s="112"/>
      <c r="N770" s="112"/>
      <c r="O770" s="112"/>
      <c r="P770" s="112"/>
      <c r="Q770" s="112"/>
      <c r="R770" s="112"/>
      <c r="S770" s="112"/>
      <c r="T770" s="112"/>
      <c r="U770" s="112"/>
      <c r="V770" s="112"/>
      <c r="W770" s="112"/>
      <c r="X770" s="112"/>
      <c r="Y770" s="112"/>
      <c r="Z770" s="112"/>
    </row>
    <row r="771" spans="1:26">
      <c r="A771" s="112"/>
      <c r="B771" s="112"/>
      <c r="C771" s="112"/>
      <c r="D771" s="112"/>
      <c r="E771" s="112"/>
      <c r="F771" s="112"/>
      <c r="G771" s="112"/>
      <c r="H771" s="112"/>
      <c r="I771" s="112"/>
      <c r="J771" s="112"/>
      <c r="K771" s="112"/>
      <c r="L771" s="112"/>
      <c r="M771" s="112"/>
      <c r="N771" s="112"/>
      <c r="O771" s="112"/>
      <c r="P771" s="112"/>
      <c r="Q771" s="112"/>
      <c r="R771" s="112"/>
      <c r="S771" s="112"/>
      <c r="T771" s="112"/>
      <c r="U771" s="112"/>
      <c r="V771" s="112"/>
      <c r="W771" s="112"/>
      <c r="X771" s="112"/>
      <c r="Y771" s="112"/>
      <c r="Z771" s="112"/>
    </row>
    <row r="772" spans="1:26">
      <c r="A772" s="112"/>
      <c r="B772" s="112"/>
      <c r="C772" s="112"/>
      <c r="D772" s="112"/>
      <c r="E772" s="112"/>
      <c r="F772" s="112"/>
      <c r="G772" s="112"/>
      <c r="H772" s="112"/>
      <c r="I772" s="112"/>
      <c r="J772" s="112"/>
      <c r="K772" s="112"/>
      <c r="L772" s="112"/>
      <c r="M772" s="112"/>
      <c r="N772" s="112"/>
      <c r="O772" s="112"/>
      <c r="P772" s="112"/>
      <c r="Q772" s="112"/>
      <c r="R772" s="112"/>
      <c r="S772" s="112"/>
      <c r="T772" s="112"/>
      <c r="U772" s="112"/>
      <c r="V772" s="112"/>
      <c r="W772" s="112"/>
      <c r="X772" s="112"/>
      <c r="Y772" s="112"/>
      <c r="Z772" s="112"/>
    </row>
    <row r="773" spans="1:26">
      <c r="A773" s="112"/>
      <c r="B773" s="112"/>
      <c r="C773" s="112"/>
      <c r="D773" s="112"/>
      <c r="E773" s="112"/>
      <c r="F773" s="112"/>
      <c r="G773" s="112"/>
      <c r="H773" s="112"/>
      <c r="I773" s="112"/>
      <c r="J773" s="112"/>
      <c r="K773" s="112"/>
      <c r="L773" s="112"/>
      <c r="M773" s="112"/>
      <c r="N773" s="112"/>
      <c r="O773" s="112"/>
      <c r="P773" s="112"/>
      <c r="Q773" s="112"/>
      <c r="R773" s="112"/>
      <c r="S773" s="112"/>
      <c r="T773" s="112"/>
      <c r="U773" s="112"/>
      <c r="V773" s="112"/>
      <c r="W773" s="112"/>
      <c r="X773" s="112"/>
      <c r="Y773" s="112"/>
      <c r="Z773" s="112"/>
    </row>
    <row r="774" spans="1:26">
      <c r="A774" s="112"/>
      <c r="B774" s="112"/>
      <c r="C774" s="112"/>
      <c r="D774" s="112"/>
      <c r="E774" s="112"/>
      <c r="F774" s="112"/>
      <c r="G774" s="112"/>
      <c r="H774" s="112"/>
      <c r="I774" s="112"/>
      <c r="J774" s="112"/>
      <c r="K774" s="112"/>
      <c r="L774" s="112"/>
      <c r="M774" s="112"/>
      <c r="N774" s="112"/>
      <c r="O774" s="112"/>
      <c r="P774" s="112"/>
      <c r="Q774" s="112"/>
      <c r="R774" s="112"/>
      <c r="S774" s="112"/>
      <c r="T774" s="112"/>
      <c r="U774" s="112"/>
      <c r="V774" s="112"/>
      <c r="W774" s="112"/>
      <c r="X774" s="112"/>
      <c r="Y774" s="112"/>
      <c r="Z774" s="112"/>
    </row>
    <row r="775" spans="1:26">
      <c r="A775" s="112"/>
      <c r="B775" s="112"/>
      <c r="C775" s="112"/>
      <c r="D775" s="112"/>
      <c r="E775" s="112"/>
      <c r="F775" s="112"/>
      <c r="G775" s="112"/>
      <c r="H775" s="112"/>
      <c r="I775" s="112"/>
      <c r="J775" s="112"/>
      <c r="K775" s="112"/>
      <c r="L775" s="112"/>
      <c r="M775" s="112"/>
      <c r="N775" s="112"/>
      <c r="O775" s="112"/>
      <c r="P775" s="112"/>
      <c r="Q775" s="112"/>
      <c r="R775" s="112"/>
      <c r="S775" s="112"/>
      <c r="T775" s="112"/>
      <c r="U775" s="112"/>
      <c r="V775" s="112"/>
      <c r="W775" s="112"/>
      <c r="X775" s="112"/>
      <c r="Y775" s="112"/>
      <c r="Z775" s="112"/>
    </row>
    <row r="776" spans="1:26">
      <c r="A776" s="112"/>
      <c r="B776" s="112"/>
      <c r="C776" s="112"/>
      <c r="D776" s="112"/>
      <c r="E776" s="112"/>
      <c r="F776" s="112"/>
      <c r="G776" s="112"/>
      <c r="H776" s="112"/>
      <c r="I776" s="112"/>
      <c r="J776" s="112"/>
      <c r="K776" s="112"/>
      <c r="L776" s="112"/>
      <c r="M776" s="112"/>
      <c r="N776" s="112"/>
      <c r="O776" s="112"/>
      <c r="P776" s="112"/>
      <c r="Q776" s="112"/>
      <c r="R776" s="112"/>
      <c r="S776" s="112"/>
      <c r="T776" s="112"/>
      <c r="U776" s="112"/>
      <c r="V776" s="112"/>
      <c r="W776" s="112"/>
      <c r="X776" s="112"/>
      <c r="Y776" s="112"/>
      <c r="Z776" s="112"/>
    </row>
    <row r="777" spans="1:26">
      <c r="A777" s="112"/>
      <c r="B777" s="112"/>
      <c r="C777" s="112"/>
      <c r="D777" s="112"/>
      <c r="E777" s="112"/>
      <c r="F777" s="112"/>
      <c r="G777" s="112"/>
      <c r="H777" s="112"/>
      <c r="I777" s="112"/>
      <c r="J777" s="112"/>
      <c r="K777" s="112"/>
      <c r="L777" s="112"/>
      <c r="M777" s="112"/>
      <c r="N777" s="112"/>
      <c r="O777" s="112"/>
      <c r="P777" s="112"/>
      <c r="Q777" s="112"/>
      <c r="R777" s="112"/>
      <c r="S777" s="112"/>
      <c r="T777" s="112"/>
      <c r="U777" s="112"/>
      <c r="V777" s="112"/>
      <c r="W777" s="112"/>
      <c r="X777" s="112"/>
      <c r="Y777" s="112"/>
      <c r="Z777" s="112"/>
    </row>
    <row r="778" spans="1:26">
      <c r="A778" s="112"/>
      <c r="B778" s="112"/>
      <c r="C778" s="112"/>
      <c r="D778" s="112"/>
      <c r="E778" s="112"/>
      <c r="F778" s="112"/>
      <c r="G778" s="112"/>
      <c r="H778" s="112"/>
      <c r="I778" s="112"/>
      <c r="J778" s="112"/>
      <c r="K778" s="112"/>
      <c r="L778" s="112"/>
      <c r="M778" s="112"/>
      <c r="N778" s="112"/>
      <c r="O778" s="112"/>
      <c r="P778" s="112"/>
      <c r="Q778" s="112"/>
      <c r="R778" s="112"/>
      <c r="S778" s="112"/>
      <c r="T778" s="112"/>
      <c r="U778" s="112"/>
      <c r="V778" s="112"/>
      <c r="W778" s="112"/>
      <c r="X778" s="112"/>
      <c r="Y778" s="112"/>
      <c r="Z778" s="112"/>
    </row>
    <row r="779" spans="1:26">
      <c r="A779" s="112"/>
      <c r="B779" s="112"/>
      <c r="C779" s="112"/>
      <c r="D779" s="112"/>
      <c r="E779" s="112"/>
      <c r="F779" s="112"/>
      <c r="G779" s="112"/>
      <c r="H779" s="112"/>
      <c r="I779" s="112"/>
      <c r="J779" s="112"/>
      <c r="K779" s="112"/>
      <c r="L779" s="112"/>
      <c r="M779" s="112"/>
      <c r="N779" s="112"/>
      <c r="O779" s="112"/>
      <c r="P779" s="112"/>
      <c r="Q779" s="112"/>
      <c r="R779" s="112"/>
      <c r="S779" s="112"/>
      <c r="T779" s="112"/>
      <c r="U779" s="112"/>
      <c r="V779" s="112"/>
      <c r="W779" s="112"/>
      <c r="X779" s="112"/>
      <c r="Y779" s="112"/>
      <c r="Z779" s="112"/>
    </row>
    <row r="780" spans="1:26">
      <c r="A780" s="112"/>
      <c r="B780" s="112"/>
      <c r="C780" s="112"/>
      <c r="D780" s="112"/>
      <c r="E780" s="112"/>
      <c r="F780" s="112"/>
      <c r="G780" s="112"/>
      <c r="H780" s="112"/>
      <c r="I780" s="112"/>
      <c r="J780" s="112"/>
      <c r="K780" s="112"/>
      <c r="L780" s="112"/>
      <c r="M780" s="112"/>
      <c r="N780" s="112"/>
      <c r="O780" s="112"/>
      <c r="P780" s="112"/>
      <c r="Q780" s="112"/>
      <c r="R780" s="112"/>
      <c r="S780" s="112"/>
      <c r="T780" s="112"/>
      <c r="U780" s="112"/>
      <c r="V780" s="112"/>
      <c r="W780" s="112"/>
      <c r="X780" s="112"/>
      <c r="Y780" s="112"/>
      <c r="Z780" s="112"/>
    </row>
    <row r="781" spans="1:26">
      <c r="A781" s="112"/>
      <c r="B781" s="112"/>
      <c r="C781" s="112"/>
      <c r="D781" s="112"/>
      <c r="E781" s="112"/>
      <c r="F781" s="112"/>
      <c r="G781" s="112"/>
      <c r="H781" s="112"/>
      <c r="I781" s="112"/>
      <c r="J781" s="112"/>
      <c r="K781" s="112"/>
      <c r="L781" s="112"/>
      <c r="M781" s="112"/>
      <c r="N781" s="112"/>
      <c r="O781" s="112"/>
      <c r="P781" s="112"/>
      <c r="Q781" s="112"/>
      <c r="R781" s="112"/>
      <c r="S781" s="112"/>
      <c r="T781" s="112"/>
      <c r="U781" s="112"/>
      <c r="V781" s="112"/>
      <c r="W781" s="112"/>
      <c r="X781" s="112"/>
      <c r="Y781" s="112"/>
      <c r="Z781" s="112"/>
    </row>
    <row r="782" spans="1:26">
      <c r="A782" s="112"/>
      <c r="B782" s="112"/>
      <c r="C782" s="112"/>
      <c r="D782" s="112"/>
      <c r="E782" s="112"/>
      <c r="F782" s="112"/>
      <c r="G782" s="112"/>
      <c r="H782" s="112"/>
      <c r="I782" s="112"/>
      <c r="J782" s="112"/>
      <c r="K782" s="112"/>
      <c r="L782" s="112"/>
      <c r="M782" s="112"/>
      <c r="N782" s="112"/>
      <c r="O782" s="112"/>
      <c r="P782" s="112"/>
      <c r="Q782" s="112"/>
      <c r="R782" s="112"/>
      <c r="S782" s="112"/>
      <c r="T782" s="112"/>
      <c r="U782" s="112"/>
      <c r="V782" s="112"/>
      <c r="W782" s="112"/>
      <c r="X782" s="112"/>
      <c r="Y782" s="112"/>
      <c r="Z782" s="112"/>
    </row>
    <row r="783" spans="1:26">
      <c r="A783" s="112"/>
      <c r="B783" s="112"/>
      <c r="C783" s="112"/>
      <c r="D783" s="112"/>
      <c r="E783" s="112"/>
      <c r="F783" s="112"/>
      <c r="G783" s="112"/>
      <c r="H783" s="112"/>
      <c r="I783" s="112"/>
      <c r="J783" s="112"/>
      <c r="K783" s="112"/>
      <c r="L783" s="112"/>
      <c r="M783" s="112"/>
      <c r="N783" s="112"/>
      <c r="O783" s="112"/>
      <c r="P783" s="112"/>
      <c r="Q783" s="112"/>
      <c r="R783" s="112"/>
      <c r="S783" s="112"/>
      <c r="T783" s="112"/>
      <c r="U783" s="112"/>
      <c r="V783" s="112"/>
      <c r="W783" s="112"/>
      <c r="X783" s="112"/>
      <c r="Y783" s="112"/>
      <c r="Z783" s="112"/>
    </row>
    <row r="784" spans="1:26">
      <c r="A784" s="112"/>
      <c r="B784" s="112"/>
      <c r="C784" s="112"/>
      <c r="D784" s="112"/>
      <c r="E784" s="112"/>
      <c r="F784" s="112"/>
      <c r="G784" s="112"/>
      <c r="H784" s="112"/>
      <c r="I784" s="112"/>
      <c r="J784" s="112"/>
      <c r="K784" s="112"/>
      <c r="L784" s="112"/>
      <c r="M784" s="112"/>
      <c r="N784" s="112"/>
      <c r="O784" s="112"/>
      <c r="P784" s="112"/>
      <c r="Q784" s="112"/>
      <c r="R784" s="112"/>
      <c r="S784" s="112"/>
      <c r="T784" s="112"/>
      <c r="U784" s="112"/>
      <c r="V784" s="112"/>
      <c r="W784" s="112"/>
      <c r="X784" s="112"/>
      <c r="Y784" s="112"/>
      <c r="Z784" s="112"/>
    </row>
    <row r="785" spans="1:26">
      <c r="A785" s="112"/>
      <c r="B785" s="112"/>
      <c r="C785" s="112"/>
      <c r="D785" s="112"/>
      <c r="E785" s="112"/>
      <c r="F785" s="112"/>
      <c r="G785" s="112"/>
      <c r="H785" s="112"/>
      <c r="I785" s="112"/>
      <c r="J785" s="112"/>
      <c r="K785" s="112"/>
      <c r="L785" s="112"/>
      <c r="M785" s="112"/>
      <c r="N785" s="112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  <c r="Y785" s="112"/>
      <c r="Z785" s="112"/>
    </row>
    <row r="786" spans="1:26">
      <c r="A786" s="112"/>
      <c r="B786" s="112"/>
      <c r="C786" s="112"/>
      <c r="D786" s="112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</row>
    <row r="787" spans="1:26">
      <c r="A787" s="112"/>
      <c r="B787" s="112"/>
      <c r="C787" s="112"/>
      <c r="D787" s="112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</row>
    <row r="788" spans="1:26">
      <c r="A788" s="112"/>
      <c r="B788" s="112"/>
      <c r="C788" s="112"/>
      <c r="D788" s="112"/>
      <c r="E788" s="112"/>
      <c r="F788" s="112"/>
      <c r="G788" s="112"/>
      <c r="H788" s="112"/>
      <c r="I788" s="112"/>
      <c r="J788" s="112"/>
      <c r="K788" s="112"/>
      <c r="L788" s="112"/>
      <c r="M788" s="112"/>
      <c r="N788" s="112"/>
      <c r="O788" s="112"/>
      <c r="P788" s="112"/>
      <c r="Q788" s="112"/>
      <c r="R788" s="112"/>
      <c r="S788" s="112"/>
      <c r="T788" s="112"/>
      <c r="U788" s="112"/>
      <c r="V788" s="112"/>
      <c r="W788" s="112"/>
      <c r="X788" s="112"/>
      <c r="Y788" s="112"/>
      <c r="Z788" s="112"/>
    </row>
    <row r="789" spans="1:26">
      <c r="A789" s="112"/>
      <c r="B789" s="112"/>
      <c r="C789" s="112"/>
      <c r="D789" s="112"/>
      <c r="E789" s="112"/>
      <c r="F789" s="112"/>
      <c r="G789" s="112"/>
      <c r="H789" s="112"/>
      <c r="I789" s="112"/>
      <c r="J789" s="112"/>
      <c r="K789" s="112"/>
      <c r="L789" s="112"/>
      <c r="M789" s="112"/>
      <c r="N789" s="112"/>
      <c r="O789" s="112"/>
      <c r="P789" s="112"/>
      <c r="Q789" s="112"/>
      <c r="R789" s="112"/>
      <c r="S789" s="112"/>
      <c r="T789" s="112"/>
      <c r="U789" s="112"/>
      <c r="V789" s="112"/>
      <c r="W789" s="112"/>
      <c r="X789" s="112"/>
      <c r="Y789" s="112"/>
      <c r="Z789" s="112"/>
    </row>
    <row r="790" spans="1:26">
      <c r="A790" s="112"/>
      <c r="B790" s="112"/>
      <c r="C790" s="112"/>
      <c r="D790" s="112"/>
      <c r="E790" s="112"/>
      <c r="F790" s="112"/>
      <c r="G790" s="112"/>
      <c r="H790" s="112"/>
      <c r="I790" s="112"/>
      <c r="J790" s="112"/>
      <c r="K790" s="112"/>
      <c r="L790" s="112"/>
      <c r="M790" s="112"/>
      <c r="N790" s="112"/>
      <c r="O790" s="112"/>
      <c r="P790" s="112"/>
      <c r="Q790" s="112"/>
      <c r="R790" s="112"/>
      <c r="S790" s="112"/>
      <c r="T790" s="112"/>
      <c r="U790" s="112"/>
      <c r="V790" s="112"/>
      <c r="W790" s="112"/>
      <c r="X790" s="112"/>
      <c r="Y790" s="112"/>
      <c r="Z790" s="112"/>
    </row>
    <row r="791" spans="1:26">
      <c r="A791" s="112"/>
      <c r="B791" s="112"/>
      <c r="C791" s="112"/>
      <c r="D791" s="112"/>
      <c r="E791" s="112"/>
      <c r="F791" s="112"/>
      <c r="G791" s="112"/>
      <c r="H791" s="112"/>
      <c r="I791" s="112"/>
      <c r="J791" s="112"/>
      <c r="K791" s="112"/>
      <c r="L791" s="112"/>
      <c r="M791" s="112"/>
      <c r="N791" s="112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  <c r="Y791" s="112"/>
      <c r="Z791" s="112"/>
    </row>
    <row r="792" spans="1:26">
      <c r="A792" s="112"/>
      <c r="B792" s="112"/>
      <c r="C792" s="112"/>
      <c r="D792" s="112"/>
      <c r="E792" s="112"/>
      <c r="F792" s="112"/>
      <c r="G792" s="112"/>
      <c r="H792" s="112"/>
      <c r="I792" s="112"/>
      <c r="J792" s="112"/>
      <c r="K792" s="112"/>
      <c r="L792" s="112"/>
      <c r="M792" s="112"/>
      <c r="N792" s="112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  <c r="Y792" s="112"/>
      <c r="Z792" s="112"/>
    </row>
    <row r="793" spans="1:26">
      <c r="A793" s="112"/>
      <c r="B793" s="112"/>
      <c r="C793" s="112"/>
      <c r="D793" s="112"/>
      <c r="E793" s="112"/>
      <c r="F793" s="112"/>
      <c r="G793" s="112"/>
      <c r="H793" s="112"/>
      <c r="I793" s="112"/>
      <c r="J793" s="112"/>
      <c r="K793" s="112"/>
      <c r="L793" s="112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2"/>
      <c r="Z793" s="112"/>
    </row>
    <row r="794" spans="1:26">
      <c r="A794" s="112"/>
      <c r="B794" s="112"/>
      <c r="C794" s="112"/>
      <c r="D794" s="112"/>
      <c r="E794" s="112"/>
      <c r="F794" s="112"/>
      <c r="G794" s="112"/>
      <c r="H794" s="112"/>
      <c r="I794" s="112"/>
      <c r="J794" s="112"/>
      <c r="K794" s="112"/>
      <c r="L794" s="112"/>
      <c r="M794" s="112"/>
      <c r="N794" s="112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  <c r="Y794" s="112"/>
      <c r="Z794" s="112"/>
    </row>
    <row r="795" spans="1:26">
      <c r="A795" s="112"/>
      <c r="B795" s="112"/>
      <c r="C795" s="112"/>
      <c r="D795" s="112"/>
      <c r="E795" s="112"/>
      <c r="F795" s="112"/>
      <c r="G795" s="112"/>
      <c r="H795" s="112"/>
      <c r="I795" s="112"/>
      <c r="J795" s="112"/>
      <c r="K795" s="112"/>
      <c r="L795" s="112"/>
      <c r="M795" s="112"/>
      <c r="N795" s="112"/>
      <c r="O795" s="112"/>
      <c r="P795" s="112"/>
      <c r="Q795" s="112"/>
      <c r="R795" s="112"/>
      <c r="S795" s="112"/>
      <c r="T795" s="112"/>
      <c r="U795" s="112"/>
      <c r="V795" s="112"/>
      <c r="W795" s="112"/>
      <c r="X795" s="112"/>
      <c r="Y795" s="112"/>
      <c r="Z795" s="112"/>
    </row>
    <row r="796" spans="1:26">
      <c r="A796" s="112"/>
      <c r="B796" s="112"/>
      <c r="C796" s="112"/>
      <c r="D796" s="112"/>
      <c r="E796" s="112"/>
      <c r="F796" s="112"/>
      <c r="G796" s="112"/>
      <c r="H796" s="112"/>
      <c r="I796" s="112"/>
      <c r="J796" s="112"/>
      <c r="K796" s="112"/>
      <c r="L796" s="112"/>
      <c r="M796" s="112"/>
      <c r="N796" s="112"/>
      <c r="O796" s="112"/>
      <c r="P796" s="112"/>
      <c r="Q796" s="112"/>
      <c r="R796" s="112"/>
      <c r="S796" s="112"/>
      <c r="T796" s="112"/>
      <c r="U796" s="112"/>
      <c r="V796" s="112"/>
      <c r="W796" s="112"/>
      <c r="X796" s="112"/>
      <c r="Y796" s="112"/>
      <c r="Z796" s="112"/>
    </row>
    <row r="797" spans="1:26">
      <c r="A797" s="112"/>
      <c r="B797" s="112"/>
      <c r="C797" s="112"/>
      <c r="D797" s="112"/>
      <c r="E797" s="112"/>
      <c r="F797" s="112"/>
      <c r="G797" s="112"/>
      <c r="H797" s="112"/>
      <c r="I797" s="112"/>
      <c r="J797" s="112"/>
      <c r="K797" s="112"/>
      <c r="L797" s="112"/>
      <c r="M797" s="112"/>
      <c r="N797" s="112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  <c r="Y797" s="112"/>
      <c r="Z797" s="112"/>
    </row>
    <row r="798" spans="1:26">
      <c r="A798" s="112"/>
      <c r="B798" s="112"/>
      <c r="C798" s="112"/>
      <c r="D798" s="112"/>
      <c r="E798" s="112"/>
      <c r="F798" s="112"/>
      <c r="G798" s="112"/>
      <c r="H798" s="112"/>
      <c r="I798" s="112"/>
      <c r="J798" s="112"/>
      <c r="K798" s="112"/>
      <c r="L798" s="112"/>
      <c r="M798" s="112"/>
      <c r="N798" s="112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  <c r="Y798" s="112"/>
      <c r="Z798" s="112"/>
    </row>
    <row r="799" spans="1:26">
      <c r="A799" s="112"/>
      <c r="B799" s="112"/>
      <c r="C799" s="112"/>
      <c r="D799" s="112"/>
      <c r="E799" s="112"/>
      <c r="F799" s="112"/>
      <c r="G799" s="112"/>
      <c r="H799" s="112"/>
      <c r="I799" s="112"/>
      <c r="J799" s="112"/>
      <c r="K799" s="112"/>
      <c r="L799" s="112"/>
      <c r="M799" s="112"/>
      <c r="N799" s="112"/>
      <c r="O799" s="112"/>
      <c r="P799" s="112"/>
      <c r="Q799" s="112"/>
      <c r="R799" s="112"/>
      <c r="S799" s="112"/>
      <c r="T799" s="112"/>
      <c r="U799" s="112"/>
      <c r="V799" s="112"/>
      <c r="W799" s="112"/>
      <c r="X799" s="112"/>
      <c r="Y799" s="112"/>
      <c r="Z799" s="112"/>
    </row>
    <row r="800" spans="1:26">
      <c r="A800" s="112"/>
      <c r="B800" s="112"/>
      <c r="C800" s="112"/>
      <c r="D800" s="112"/>
      <c r="E800" s="112"/>
      <c r="F800" s="112"/>
      <c r="G800" s="112"/>
      <c r="H800" s="112"/>
      <c r="I800" s="112"/>
      <c r="J800" s="112"/>
      <c r="K800" s="112"/>
      <c r="L800" s="112"/>
      <c r="M800" s="112"/>
      <c r="N800" s="112"/>
      <c r="O800" s="112"/>
      <c r="P800" s="112"/>
      <c r="Q800" s="112"/>
      <c r="R800" s="112"/>
      <c r="S800" s="112"/>
      <c r="T800" s="112"/>
      <c r="U800" s="112"/>
      <c r="V800" s="112"/>
      <c r="W800" s="112"/>
      <c r="X800" s="112"/>
      <c r="Y800" s="112"/>
      <c r="Z800" s="112"/>
    </row>
    <row r="801" spans="1:26">
      <c r="A801" s="112"/>
      <c r="B801" s="112"/>
      <c r="C801" s="112"/>
      <c r="D801" s="112"/>
      <c r="E801" s="112"/>
      <c r="F801" s="112"/>
      <c r="G801" s="112"/>
      <c r="H801" s="112"/>
      <c r="I801" s="112"/>
      <c r="J801" s="112"/>
      <c r="K801" s="112"/>
      <c r="L801" s="112"/>
      <c r="M801" s="112"/>
      <c r="N801" s="112"/>
      <c r="O801" s="112"/>
      <c r="P801" s="112"/>
      <c r="Q801" s="112"/>
      <c r="R801" s="112"/>
      <c r="S801" s="112"/>
      <c r="T801" s="112"/>
      <c r="U801" s="112"/>
      <c r="V801" s="112"/>
      <c r="W801" s="112"/>
      <c r="X801" s="112"/>
      <c r="Y801" s="112"/>
      <c r="Z801" s="112"/>
    </row>
    <row r="802" spans="1:26">
      <c r="A802" s="112"/>
      <c r="B802" s="112"/>
      <c r="C802" s="112"/>
      <c r="D802" s="112"/>
      <c r="E802" s="112"/>
      <c r="F802" s="112"/>
      <c r="G802" s="112"/>
      <c r="H802" s="112"/>
      <c r="I802" s="112"/>
      <c r="J802" s="112"/>
      <c r="K802" s="112"/>
      <c r="L802" s="112"/>
      <c r="M802" s="112"/>
      <c r="N802" s="112"/>
      <c r="O802" s="112"/>
      <c r="P802" s="112"/>
      <c r="Q802" s="112"/>
      <c r="R802" s="112"/>
      <c r="S802" s="112"/>
      <c r="T802" s="112"/>
      <c r="U802" s="112"/>
      <c r="V802" s="112"/>
      <c r="W802" s="112"/>
      <c r="X802" s="112"/>
      <c r="Y802" s="112"/>
      <c r="Z802" s="112"/>
    </row>
    <row r="803" spans="1:26">
      <c r="A803" s="112"/>
      <c r="B803" s="112"/>
      <c r="C803" s="112"/>
      <c r="D803" s="112"/>
      <c r="E803" s="112"/>
      <c r="F803" s="112"/>
      <c r="G803" s="112"/>
      <c r="H803" s="112"/>
      <c r="I803" s="112"/>
      <c r="J803" s="112"/>
      <c r="K803" s="112"/>
      <c r="L803" s="112"/>
      <c r="M803" s="112"/>
      <c r="N803" s="112"/>
      <c r="O803" s="112"/>
      <c r="P803" s="112"/>
      <c r="Q803" s="112"/>
      <c r="R803" s="112"/>
      <c r="S803" s="112"/>
      <c r="T803" s="112"/>
      <c r="U803" s="112"/>
      <c r="V803" s="112"/>
      <c r="W803" s="112"/>
      <c r="X803" s="112"/>
      <c r="Y803" s="112"/>
      <c r="Z803" s="112"/>
    </row>
    <row r="804" spans="1:26">
      <c r="A804" s="112"/>
      <c r="B804" s="112"/>
      <c r="C804" s="112"/>
      <c r="D804" s="112"/>
      <c r="E804" s="112"/>
      <c r="F804" s="112"/>
      <c r="G804" s="112"/>
      <c r="H804" s="112"/>
      <c r="I804" s="112"/>
      <c r="J804" s="112"/>
      <c r="K804" s="112"/>
      <c r="L804" s="112"/>
      <c r="M804" s="112"/>
      <c r="N804" s="112"/>
      <c r="O804" s="112"/>
      <c r="P804" s="112"/>
      <c r="Q804" s="112"/>
      <c r="R804" s="112"/>
      <c r="S804" s="112"/>
      <c r="T804" s="112"/>
      <c r="U804" s="112"/>
      <c r="V804" s="112"/>
      <c r="W804" s="112"/>
      <c r="X804" s="112"/>
      <c r="Y804" s="112"/>
      <c r="Z804" s="112"/>
    </row>
    <row r="805" spans="1:26">
      <c r="A805" s="112"/>
      <c r="B805" s="112"/>
      <c r="C805" s="112"/>
      <c r="D805" s="112"/>
      <c r="E805" s="112"/>
      <c r="F805" s="112"/>
      <c r="G805" s="112"/>
      <c r="H805" s="112"/>
      <c r="I805" s="112"/>
      <c r="J805" s="112"/>
      <c r="K805" s="112"/>
      <c r="L805" s="112"/>
      <c r="M805" s="112"/>
      <c r="N805" s="112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  <c r="Y805" s="112"/>
      <c r="Z805" s="112"/>
    </row>
    <row r="806" spans="1:26">
      <c r="A806" s="112"/>
      <c r="B806" s="112"/>
      <c r="C806" s="112"/>
      <c r="D806" s="112"/>
      <c r="E806" s="112"/>
      <c r="F806" s="112"/>
      <c r="G806" s="112"/>
      <c r="H806" s="112"/>
      <c r="I806" s="112"/>
      <c r="J806" s="112"/>
      <c r="K806" s="112"/>
      <c r="L806" s="112"/>
      <c r="M806" s="112"/>
      <c r="N806" s="112"/>
      <c r="O806" s="112"/>
      <c r="P806" s="112"/>
      <c r="Q806" s="112"/>
      <c r="R806" s="112"/>
      <c r="S806" s="112"/>
      <c r="T806" s="112"/>
      <c r="U806" s="112"/>
      <c r="V806" s="112"/>
      <c r="W806" s="112"/>
      <c r="X806" s="112"/>
      <c r="Y806" s="112"/>
      <c r="Z806" s="112"/>
    </row>
    <row r="807" spans="1:26">
      <c r="A807" s="112"/>
      <c r="B807" s="112"/>
      <c r="C807" s="112"/>
      <c r="D807" s="112"/>
      <c r="E807" s="112"/>
      <c r="F807" s="112"/>
      <c r="G807" s="112"/>
      <c r="H807" s="112"/>
      <c r="I807" s="112"/>
      <c r="J807" s="112"/>
      <c r="K807" s="112"/>
      <c r="L807" s="112"/>
      <c r="M807" s="112"/>
      <c r="N807" s="112"/>
      <c r="O807" s="112"/>
      <c r="P807" s="112"/>
      <c r="Q807" s="112"/>
      <c r="R807" s="112"/>
      <c r="S807" s="112"/>
      <c r="T807" s="112"/>
      <c r="U807" s="112"/>
      <c r="V807" s="112"/>
      <c r="W807" s="112"/>
      <c r="X807" s="112"/>
      <c r="Y807" s="112"/>
      <c r="Z807" s="112"/>
    </row>
    <row r="808" spans="1:26">
      <c r="A808" s="112"/>
      <c r="B808" s="112"/>
      <c r="C808" s="112"/>
      <c r="D808" s="112"/>
      <c r="E808" s="112"/>
      <c r="F808" s="112"/>
      <c r="G808" s="112"/>
      <c r="H808" s="112"/>
      <c r="I808" s="112"/>
      <c r="J808" s="112"/>
      <c r="K808" s="112"/>
      <c r="L808" s="112"/>
      <c r="M808" s="112"/>
      <c r="N808" s="112"/>
      <c r="O808" s="112"/>
      <c r="P808" s="112"/>
      <c r="Q808" s="112"/>
      <c r="R808" s="112"/>
      <c r="S808" s="112"/>
      <c r="T808" s="112"/>
      <c r="U808" s="112"/>
      <c r="V808" s="112"/>
      <c r="W808" s="112"/>
      <c r="X808" s="112"/>
      <c r="Y808" s="112"/>
      <c r="Z808" s="112"/>
    </row>
    <row r="809" spans="1:26">
      <c r="A809" s="112"/>
      <c r="B809" s="112"/>
      <c r="C809" s="112"/>
      <c r="D809" s="112"/>
      <c r="E809" s="112"/>
      <c r="F809" s="112"/>
      <c r="G809" s="112"/>
      <c r="H809" s="112"/>
      <c r="I809" s="112"/>
      <c r="J809" s="112"/>
      <c r="K809" s="112"/>
      <c r="L809" s="112"/>
      <c r="M809" s="112"/>
      <c r="N809" s="112"/>
      <c r="O809" s="112"/>
      <c r="P809" s="112"/>
      <c r="Q809" s="112"/>
      <c r="R809" s="112"/>
      <c r="S809" s="112"/>
      <c r="T809" s="112"/>
      <c r="U809" s="112"/>
      <c r="V809" s="112"/>
      <c r="W809" s="112"/>
      <c r="X809" s="112"/>
      <c r="Y809" s="112"/>
      <c r="Z809" s="112"/>
    </row>
    <row r="810" spans="1:26">
      <c r="A810" s="112"/>
      <c r="B810" s="112"/>
      <c r="C810" s="112"/>
      <c r="D810" s="112"/>
      <c r="E810" s="112"/>
      <c r="F810" s="112"/>
      <c r="G810" s="112"/>
      <c r="H810" s="112"/>
      <c r="I810" s="112"/>
      <c r="J810" s="112"/>
      <c r="K810" s="112"/>
      <c r="L810" s="112"/>
      <c r="M810" s="112"/>
      <c r="N810" s="112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  <c r="Y810" s="112"/>
      <c r="Z810" s="112"/>
    </row>
    <row r="811" spans="1:26">
      <c r="A811" s="112"/>
      <c r="B811" s="112"/>
      <c r="C811" s="112"/>
      <c r="D811" s="112"/>
      <c r="E811" s="112"/>
      <c r="F811" s="112"/>
      <c r="G811" s="112"/>
      <c r="H811" s="112"/>
      <c r="I811" s="112"/>
      <c r="J811" s="112"/>
      <c r="K811" s="112"/>
      <c r="L811" s="112"/>
      <c r="M811" s="112"/>
      <c r="N811" s="112"/>
      <c r="O811" s="112"/>
      <c r="P811" s="112"/>
      <c r="Q811" s="112"/>
      <c r="R811" s="112"/>
      <c r="S811" s="112"/>
      <c r="T811" s="112"/>
      <c r="U811" s="112"/>
      <c r="V811" s="112"/>
      <c r="W811" s="112"/>
      <c r="X811" s="112"/>
      <c r="Y811" s="112"/>
      <c r="Z811" s="112"/>
    </row>
    <row r="812" spans="1:26">
      <c r="A812" s="112"/>
      <c r="B812" s="112"/>
      <c r="C812" s="112"/>
      <c r="D812" s="112"/>
      <c r="E812" s="112"/>
      <c r="F812" s="112"/>
      <c r="G812" s="112"/>
      <c r="H812" s="112"/>
      <c r="I812" s="112"/>
      <c r="J812" s="112"/>
      <c r="K812" s="112"/>
      <c r="L812" s="112"/>
      <c r="M812" s="112"/>
      <c r="N812" s="112"/>
      <c r="O812" s="112"/>
      <c r="P812" s="112"/>
      <c r="Q812" s="112"/>
      <c r="R812" s="112"/>
      <c r="S812" s="112"/>
      <c r="T812" s="112"/>
      <c r="U812" s="112"/>
      <c r="V812" s="112"/>
      <c r="W812" s="112"/>
      <c r="X812" s="112"/>
      <c r="Y812" s="112"/>
      <c r="Z812" s="112"/>
    </row>
    <row r="813" spans="1:26">
      <c r="A813" s="112"/>
      <c r="B813" s="112"/>
      <c r="C813" s="112"/>
      <c r="D813" s="112"/>
      <c r="E813" s="112"/>
      <c r="F813" s="112"/>
      <c r="G813" s="112"/>
      <c r="H813" s="112"/>
      <c r="I813" s="112"/>
      <c r="J813" s="112"/>
      <c r="K813" s="112"/>
      <c r="L813" s="112"/>
      <c r="M813" s="112"/>
      <c r="N813" s="112"/>
      <c r="O813" s="112"/>
      <c r="P813" s="112"/>
      <c r="Q813" s="112"/>
      <c r="R813" s="112"/>
      <c r="S813" s="112"/>
      <c r="T813" s="112"/>
      <c r="U813" s="112"/>
      <c r="V813" s="112"/>
      <c r="W813" s="112"/>
      <c r="X813" s="112"/>
      <c r="Y813" s="112"/>
      <c r="Z813" s="112"/>
    </row>
    <row r="814" spans="1:26">
      <c r="A814" s="112"/>
      <c r="B814" s="112"/>
      <c r="C814" s="112"/>
      <c r="D814" s="112"/>
      <c r="E814" s="112"/>
      <c r="F814" s="112"/>
      <c r="G814" s="112"/>
      <c r="H814" s="112"/>
      <c r="I814" s="112"/>
      <c r="J814" s="112"/>
      <c r="K814" s="112"/>
      <c r="L814" s="112"/>
      <c r="M814" s="112"/>
      <c r="N814" s="112"/>
      <c r="O814" s="112"/>
      <c r="P814" s="112"/>
      <c r="Q814" s="112"/>
      <c r="R814" s="112"/>
      <c r="S814" s="112"/>
      <c r="T814" s="112"/>
      <c r="U814" s="112"/>
      <c r="V814" s="112"/>
      <c r="W814" s="112"/>
      <c r="X814" s="112"/>
      <c r="Y814" s="112"/>
      <c r="Z814" s="112"/>
    </row>
    <row r="815" spans="1:26">
      <c r="A815" s="112"/>
      <c r="B815" s="112"/>
      <c r="C815" s="112"/>
      <c r="D815" s="112"/>
      <c r="E815" s="112"/>
      <c r="F815" s="112"/>
      <c r="G815" s="112"/>
      <c r="H815" s="112"/>
      <c r="I815" s="112"/>
      <c r="J815" s="112"/>
      <c r="K815" s="112"/>
      <c r="L815" s="112"/>
      <c r="M815" s="112"/>
      <c r="N815" s="112"/>
      <c r="O815" s="112"/>
      <c r="P815" s="112"/>
      <c r="Q815" s="112"/>
      <c r="R815" s="112"/>
      <c r="S815" s="112"/>
      <c r="T815" s="112"/>
      <c r="U815" s="112"/>
      <c r="V815" s="112"/>
      <c r="W815" s="112"/>
      <c r="X815" s="112"/>
      <c r="Y815" s="112"/>
      <c r="Z815" s="112"/>
    </row>
    <row r="816" spans="1:26">
      <c r="A816" s="112"/>
      <c r="B816" s="112"/>
      <c r="C816" s="112"/>
      <c r="D816" s="112"/>
      <c r="E816" s="112"/>
      <c r="F816" s="112"/>
      <c r="G816" s="112"/>
      <c r="H816" s="112"/>
      <c r="I816" s="112"/>
      <c r="J816" s="112"/>
      <c r="K816" s="112"/>
      <c r="L816" s="112"/>
      <c r="M816" s="112"/>
      <c r="N816" s="112"/>
      <c r="O816" s="112"/>
      <c r="P816" s="112"/>
      <c r="Q816" s="112"/>
      <c r="R816" s="112"/>
      <c r="S816" s="112"/>
      <c r="T816" s="112"/>
      <c r="U816" s="112"/>
      <c r="V816" s="112"/>
      <c r="W816" s="112"/>
      <c r="X816" s="112"/>
      <c r="Y816" s="112"/>
      <c r="Z816" s="112"/>
    </row>
    <row r="817" spans="1:26">
      <c r="A817" s="112"/>
      <c r="B817" s="112"/>
      <c r="C817" s="112"/>
      <c r="D817" s="112"/>
      <c r="E817" s="112"/>
      <c r="F817" s="112"/>
      <c r="G817" s="112"/>
      <c r="H817" s="112"/>
      <c r="I817" s="112"/>
      <c r="J817" s="112"/>
      <c r="K817" s="112"/>
      <c r="L817" s="112"/>
      <c r="M817" s="112"/>
      <c r="N817" s="112"/>
      <c r="O817" s="112"/>
      <c r="P817" s="112"/>
      <c r="Q817" s="112"/>
      <c r="R817" s="112"/>
      <c r="S817" s="112"/>
      <c r="T817" s="112"/>
      <c r="U817" s="112"/>
      <c r="V817" s="112"/>
      <c r="W817" s="112"/>
      <c r="X817" s="112"/>
      <c r="Y817" s="112"/>
      <c r="Z817" s="112"/>
    </row>
    <row r="818" spans="1:26">
      <c r="A818" s="112"/>
      <c r="B818" s="112"/>
      <c r="C818" s="112"/>
      <c r="D818" s="112"/>
      <c r="E818" s="112"/>
      <c r="F818" s="112"/>
      <c r="G818" s="112"/>
      <c r="H818" s="112"/>
      <c r="I818" s="112"/>
      <c r="J818" s="112"/>
      <c r="K818" s="112"/>
      <c r="L818" s="112"/>
      <c r="M818" s="112"/>
      <c r="N818" s="112"/>
      <c r="O818" s="112"/>
      <c r="P818" s="112"/>
      <c r="Q818" s="112"/>
      <c r="R818" s="112"/>
      <c r="S818" s="112"/>
      <c r="T818" s="112"/>
      <c r="U818" s="112"/>
      <c r="V818" s="112"/>
      <c r="W818" s="112"/>
      <c r="X818" s="112"/>
      <c r="Y818" s="112"/>
      <c r="Z818" s="112"/>
    </row>
    <row r="819" spans="1:26">
      <c r="A819" s="112"/>
      <c r="B819" s="112"/>
      <c r="C819" s="112"/>
      <c r="D819" s="112"/>
      <c r="E819" s="112"/>
      <c r="F819" s="112"/>
      <c r="G819" s="112"/>
      <c r="H819" s="112"/>
      <c r="I819" s="112"/>
      <c r="J819" s="112"/>
      <c r="K819" s="112"/>
      <c r="L819" s="112"/>
      <c r="M819" s="112"/>
      <c r="N819" s="112"/>
      <c r="O819" s="112"/>
      <c r="P819" s="112"/>
      <c r="Q819" s="112"/>
      <c r="R819" s="112"/>
      <c r="S819" s="112"/>
      <c r="T819" s="112"/>
      <c r="U819" s="112"/>
      <c r="V819" s="112"/>
      <c r="W819" s="112"/>
      <c r="X819" s="112"/>
      <c r="Y819" s="112"/>
      <c r="Z819" s="112"/>
    </row>
    <row r="820" spans="1:26">
      <c r="A820" s="112"/>
      <c r="B820" s="112"/>
      <c r="C820" s="112"/>
      <c r="D820" s="112"/>
      <c r="E820" s="112"/>
      <c r="F820" s="112"/>
      <c r="G820" s="112"/>
      <c r="H820" s="112"/>
      <c r="I820" s="112"/>
      <c r="J820" s="112"/>
      <c r="K820" s="112"/>
      <c r="L820" s="112"/>
      <c r="M820" s="112"/>
      <c r="N820" s="112"/>
      <c r="O820" s="112"/>
      <c r="P820" s="112"/>
      <c r="Q820" s="112"/>
      <c r="R820" s="112"/>
      <c r="S820" s="112"/>
      <c r="T820" s="112"/>
      <c r="U820" s="112"/>
      <c r="V820" s="112"/>
      <c r="W820" s="112"/>
      <c r="X820" s="112"/>
      <c r="Y820" s="112"/>
      <c r="Z820" s="112"/>
    </row>
    <row r="821" spans="1:26">
      <c r="A821" s="112"/>
      <c r="B821" s="112"/>
      <c r="C821" s="112"/>
      <c r="D821" s="112"/>
      <c r="E821" s="112"/>
      <c r="F821" s="112"/>
      <c r="G821" s="112"/>
      <c r="H821" s="112"/>
      <c r="I821" s="112"/>
      <c r="J821" s="112"/>
      <c r="K821" s="112"/>
      <c r="L821" s="112"/>
      <c r="M821" s="112"/>
      <c r="N821" s="112"/>
      <c r="O821" s="112"/>
      <c r="P821" s="112"/>
      <c r="Q821" s="112"/>
      <c r="R821" s="112"/>
      <c r="S821" s="112"/>
      <c r="T821" s="112"/>
      <c r="U821" s="112"/>
      <c r="V821" s="112"/>
      <c r="W821" s="112"/>
      <c r="X821" s="112"/>
      <c r="Y821" s="112"/>
      <c r="Z821" s="112"/>
    </row>
    <row r="822" spans="1:26">
      <c r="A822" s="112"/>
      <c r="B822" s="112"/>
      <c r="C822" s="112"/>
      <c r="D822" s="112"/>
      <c r="E822" s="112"/>
      <c r="F822" s="112"/>
      <c r="G822" s="112"/>
      <c r="H822" s="112"/>
      <c r="I822" s="112"/>
      <c r="J822" s="112"/>
      <c r="K822" s="112"/>
      <c r="L822" s="112"/>
      <c r="M822" s="112"/>
      <c r="N822" s="112"/>
      <c r="O822" s="112"/>
      <c r="P822" s="112"/>
      <c r="Q822" s="112"/>
      <c r="R822" s="112"/>
      <c r="S822" s="112"/>
      <c r="T822" s="112"/>
      <c r="U822" s="112"/>
      <c r="V822" s="112"/>
      <c r="W822" s="112"/>
      <c r="X822" s="112"/>
      <c r="Y822" s="112"/>
      <c r="Z822" s="112"/>
    </row>
    <row r="823" spans="1:26">
      <c r="A823" s="112"/>
      <c r="B823" s="112"/>
      <c r="C823" s="112"/>
      <c r="D823" s="112"/>
      <c r="E823" s="112"/>
      <c r="F823" s="112"/>
      <c r="G823" s="112"/>
      <c r="H823" s="112"/>
      <c r="I823" s="112"/>
      <c r="J823" s="112"/>
      <c r="K823" s="112"/>
      <c r="L823" s="112"/>
      <c r="M823" s="112"/>
      <c r="N823" s="112"/>
      <c r="O823" s="112"/>
      <c r="P823" s="112"/>
      <c r="Q823" s="112"/>
      <c r="R823" s="112"/>
      <c r="S823" s="112"/>
      <c r="T823" s="112"/>
      <c r="U823" s="112"/>
      <c r="V823" s="112"/>
      <c r="W823" s="112"/>
      <c r="X823" s="112"/>
      <c r="Y823" s="112"/>
      <c r="Z823" s="112"/>
    </row>
    <row r="824" spans="1:26">
      <c r="A824" s="112"/>
      <c r="B824" s="112"/>
      <c r="C824" s="112"/>
      <c r="D824" s="112"/>
      <c r="E824" s="112"/>
      <c r="F824" s="112"/>
      <c r="G824" s="112"/>
      <c r="H824" s="112"/>
      <c r="I824" s="112"/>
      <c r="J824" s="112"/>
      <c r="K824" s="112"/>
      <c r="L824" s="112"/>
      <c r="M824" s="112"/>
      <c r="N824" s="112"/>
      <c r="O824" s="112"/>
      <c r="P824" s="112"/>
      <c r="Q824" s="112"/>
      <c r="R824" s="112"/>
      <c r="S824" s="112"/>
      <c r="T824" s="112"/>
      <c r="U824" s="112"/>
      <c r="V824" s="112"/>
      <c r="W824" s="112"/>
      <c r="X824" s="112"/>
      <c r="Y824" s="112"/>
      <c r="Z824" s="112"/>
    </row>
    <row r="825" spans="1:26">
      <c r="A825" s="112"/>
      <c r="B825" s="112"/>
      <c r="C825" s="112"/>
      <c r="D825" s="112"/>
      <c r="E825" s="112"/>
      <c r="F825" s="112"/>
      <c r="G825" s="112"/>
      <c r="H825" s="112"/>
      <c r="I825" s="112"/>
      <c r="J825" s="112"/>
      <c r="K825" s="112"/>
      <c r="L825" s="112"/>
      <c r="M825" s="112"/>
      <c r="N825" s="112"/>
      <c r="O825" s="112"/>
      <c r="P825" s="112"/>
      <c r="Q825" s="112"/>
      <c r="R825" s="112"/>
      <c r="S825" s="112"/>
      <c r="T825" s="112"/>
      <c r="U825" s="112"/>
      <c r="V825" s="112"/>
      <c r="W825" s="112"/>
      <c r="X825" s="112"/>
      <c r="Y825" s="112"/>
      <c r="Z825" s="112"/>
    </row>
    <row r="826" spans="1:26">
      <c r="A826" s="112"/>
      <c r="B826" s="112"/>
      <c r="C826" s="112"/>
      <c r="D826" s="112"/>
      <c r="E826" s="112"/>
      <c r="F826" s="112"/>
      <c r="G826" s="112"/>
      <c r="H826" s="112"/>
      <c r="I826" s="112"/>
      <c r="J826" s="112"/>
      <c r="K826" s="112"/>
      <c r="L826" s="112"/>
      <c r="M826" s="112"/>
      <c r="N826" s="112"/>
      <c r="O826" s="112"/>
      <c r="P826" s="112"/>
      <c r="Q826" s="112"/>
      <c r="R826" s="112"/>
      <c r="S826" s="112"/>
      <c r="T826" s="112"/>
      <c r="U826" s="112"/>
      <c r="V826" s="112"/>
      <c r="W826" s="112"/>
      <c r="X826" s="112"/>
      <c r="Y826" s="112"/>
      <c r="Z826" s="112"/>
    </row>
    <row r="827" spans="1:26">
      <c r="A827" s="112"/>
      <c r="B827" s="112"/>
      <c r="C827" s="112"/>
      <c r="D827" s="112"/>
      <c r="E827" s="112"/>
      <c r="F827" s="112"/>
      <c r="G827" s="112"/>
      <c r="H827" s="112"/>
      <c r="I827" s="112"/>
      <c r="J827" s="112"/>
      <c r="K827" s="112"/>
      <c r="L827" s="112"/>
      <c r="M827" s="112"/>
      <c r="N827" s="112"/>
      <c r="O827" s="112"/>
      <c r="P827" s="112"/>
      <c r="Q827" s="112"/>
      <c r="R827" s="112"/>
      <c r="S827" s="112"/>
      <c r="T827" s="112"/>
      <c r="U827" s="112"/>
      <c r="V827" s="112"/>
      <c r="W827" s="112"/>
      <c r="X827" s="112"/>
      <c r="Y827" s="112"/>
      <c r="Z827" s="112"/>
    </row>
    <row r="828" spans="1:26">
      <c r="A828" s="112"/>
      <c r="B828" s="112"/>
      <c r="C828" s="112"/>
      <c r="D828" s="112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</row>
    <row r="829" spans="1:26">
      <c r="A829" s="112"/>
      <c r="B829" s="112"/>
      <c r="C829" s="112"/>
      <c r="D829" s="112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</row>
    <row r="830" spans="1:26">
      <c r="A830" s="112"/>
      <c r="B830" s="112"/>
      <c r="C830" s="112"/>
      <c r="D830" s="112"/>
      <c r="E830" s="112"/>
      <c r="F830" s="112"/>
      <c r="G830" s="112"/>
      <c r="H830" s="112"/>
      <c r="I830" s="112"/>
      <c r="J830" s="112"/>
      <c r="K830" s="112"/>
      <c r="L830" s="112"/>
      <c r="M830" s="112"/>
      <c r="N830" s="112"/>
      <c r="O830" s="112"/>
      <c r="P830" s="112"/>
      <c r="Q830" s="112"/>
      <c r="R830" s="112"/>
      <c r="S830" s="112"/>
      <c r="T830" s="112"/>
      <c r="U830" s="112"/>
      <c r="V830" s="112"/>
      <c r="W830" s="112"/>
      <c r="X830" s="112"/>
      <c r="Y830" s="112"/>
      <c r="Z830" s="112"/>
    </row>
    <row r="831" spans="1:26">
      <c r="A831" s="112"/>
      <c r="B831" s="112"/>
      <c r="C831" s="112"/>
      <c r="D831" s="112"/>
      <c r="E831" s="112"/>
      <c r="F831" s="112"/>
      <c r="G831" s="112"/>
      <c r="H831" s="112"/>
      <c r="I831" s="112"/>
      <c r="J831" s="112"/>
      <c r="K831" s="112"/>
      <c r="L831" s="112"/>
      <c r="M831" s="112"/>
      <c r="N831" s="112"/>
      <c r="O831" s="112"/>
      <c r="P831" s="112"/>
      <c r="Q831" s="112"/>
      <c r="R831" s="112"/>
      <c r="S831" s="112"/>
      <c r="T831" s="112"/>
      <c r="U831" s="112"/>
      <c r="V831" s="112"/>
      <c r="W831" s="112"/>
      <c r="X831" s="112"/>
      <c r="Y831" s="112"/>
      <c r="Z831" s="112"/>
    </row>
    <row r="832" spans="1:26">
      <c r="A832" s="112"/>
      <c r="B832" s="112"/>
      <c r="C832" s="112"/>
      <c r="D832" s="112"/>
      <c r="E832" s="112"/>
      <c r="F832" s="112"/>
      <c r="G832" s="112"/>
      <c r="H832" s="112"/>
      <c r="I832" s="112"/>
      <c r="J832" s="112"/>
      <c r="K832" s="112"/>
      <c r="L832" s="112"/>
      <c r="M832" s="112"/>
      <c r="N832" s="112"/>
      <c r="O832" s="112"/>
      <c r="P832" s="112"/>
      <c r="Q832" s="112"/>
      <c r="R832" s="112"/>
      <c r="S832" s="112"/>
      <c r="T832" s="112"/>
      <c r="U832" s="112"/>
      <c r="V832" s="112"/>
      <c r="W832" s="112"/>
      <c r="X832" s="112"/>
      <c r="Y832" s="112"/>
      <c r="Z832" s="112"/>
    </row>
    <row r="833" spans="1:26">
      <c r="A833" s="112"/>
      <c r="B833" s="112"/>
      <c r="C833" s="112"/>
      <c r="D833" s="112"/>
      <c r="E833" s="112"/>
      <c r="F833" s="112"/>
      <c r="G833" s="112"/>
      <c r="H833" s="112"/>
      <c r="I833" s="112"/>
      <c r="J833" s="112"/>
      <c r="K833" s="112"/>
      <c r="L833" s="112"/>
      <c r="M833" s="112"/>
      <c r="N833" s="112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  <c r="Y833" s="112"/>
      <c r="Z833" s="112"/>
    </row>
    <row r="834" spans="1:26">
      <c r="A834" s="112"/>
      <c r="B834" s="112"/>
      <c r="C834" s="112"/>
      <c r="D834" s="112"/>
      <c r="E834" s="112"/>
      <c r="F834" s="112"/>
      <c r="G834" s="112"/>
      <c r="H834" s="112"/>
      <c r="I834" s="112"/>
      <c r="J834" s="112"/>
      <c r="K834" s="112"/>
      <c r="L834" s="112"/>
      <c r="M834" s="112"/>
      <c r="N834" s="112"/>
      <c r="O834" s="112"/>
      <c r="P834" s="112"/>
      <c r="Q834" s="112"/>
      <c r="R834" s="112"/>
      <c r="S834" s="112"/>
      <c r="T834" s="112"/>
      <c r="U834" s="112"/>
      <c r="V834" s="112"/>
      <c r="W834" s="112"/>
      <c r="X834" s="112"/>
      <c r="Y834" s="112"/>
      <c r="Z834" s="112"/>
    </row>
    <row r="835" spans="1:26">
      <c r="A835" s="112"/>
      <c r="B835" s="112"/>
      <c r="C835" s="112"/>
      <c r="D835" s="112"/>
      <c r="E835" s="112"/>
      <c r="F835" s="112"/>
      <c r="G835" s="112"/>
      <c r="H835" s="112"/>
      <c r="I835" s="112"/>
      <c r="J835" s="112"/>
      <c r="K835" s="112"/>
      <c r="L835" s="112"/>
      <c r="M835" s="112"/>
      <c r="N835" s="112"/>
      <c r="O835" s="112"/>
      <c r="P835" s="112"/>
      <c r="Q835" s="112"/>
      <c r="R835" s="112"/>
      <c r="S835" s="112"/>
      <c r="T835" s="112"/>
      <c r="U835" s="112"/>
      <c r="V835" s="112"/>
      <c r="W835" s="112"/>
      <c r="X835" s="112"/>
      <c r="Y835" s="112"/>
      <c r="Z835" s="112"/>
    </row>
    <row r="836" spans="1:26">
      <c r="A836" s="112"/>
      <c r="B836" s="112"/>
      <c r="C836" s="112"/>
      <c r="D836" s="112"/>
      <c r="E836" s="112"/>
      <c r="F836" s="112"/>
      <c r="G836" s="112"/>
      <c r="H836" s="112"/>
      <c r="I836" s="112"/>
      <c r="J836" s="112"/>
      <c r="K836" s="112"/>
      <c r="L836" s="112"/>
      <c r="M836" s="112"/>
      <c r="N836" s="112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  <c r="Y836" s="112"/>
      <c r="Z836" s="112"/>
    </row>
    <row r="837" spans="1:26">
      <c r="A837" s="112"/>
      <c r="B837" s="112"/>
      <c r="C837" s="112"/>
      <c r="D837" s="112"/>
      <c r="E837" s="112"/>
      <c r="F837" s="112"/>
      <c r="G837" s="112"/>
      <c r="H837" s="112"/>
      <c r="I837" s="112"/>
      <c r="J837" s="112"/>
      <c r="K837" s="112"/>
      <c r="L837" s="112"/>
      <c r="M837" s="112"/>
      <c r="N837" s="112"/>
      <c r="O837" s="112"/>
      <c r="P837" s="112"/>
      <c r="Q837" s="112"/>
      <c r="R837" s="112"/>
      <c r="S837" s="112"/>
      <c r="T837" s="112"/>
      <c r="U837" s="112"/>
      <c r="V837" s="112"/>
      <c r="W837" s="112"/>
      <c r="X837" s="112"/>
      <c r="Y837" s="112"/>
      <c r="Z837" s="112"/>
    </row>
    <row r="838" spans="1:26">
      <c r="A838" s="112"/>
      <c r="B838" s="112"/>
      <c r="C838" s="112"/>
      <c r="D838" s="112"/>
      <c r="E838" s="112"/>
      <c r="F838" s="112"/>
      <c r="G838" s="112"/>
      <c r="H838" s="112"/>
      <c r="I838" s="112"/>
      <c r="J838" s="112"/>
      <c r="K838" s="112"/>
      <c r="L838" s="112"/>
      <c r="M838" s="112"/>
      <c r="N838" s="112"/>
      <c r="O838" s="112"/>
      <c r="P838" s="112"/>
      <c r="Q838" s="112"/>
      <c r="R838" s="112"/>
      <c r="S838" s="112"/>
      <c r="T838" s="112"/>
      <c r="U838" s="112"/>
      <c r="V838" s="112"/>
      <c r="W838" s="112"/>
      <c r="X838" s="112"/>
      <c r="Y838" s="112"/>
      <c r="Z838" s="112"/>
    </row>
    <row r="839" spans="1:26">
      <c r="A839" s="112"/>
      <c r="B839" s="112"/>
      <c r="C839" s="112"/>
      <c r="D839" s="112"/>
      <c r="E839" s="112"/>
      <c r="F839" s="112"/>
      <c r="G839" s="112"/>
      <c r="H839" s="112"/>
      <c r="I839" s="112"/>
      <c r="J839" s="112"/>
      <c r="K839" s="112"/>
      <c r="L839" s="112"/>
      <c r="M839" s="112"/>
      <c r="N839" s="112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  <c r="Y839" s="112"/>
      <c r="Z839" s="112"/>
    </row>
    <row r="840" spans="1:26">
      <c r="A840" s="112"/>
      <c r="B840" s="112"/>
      <c r="C840" s="112"/>
      <c r="D840" s="112"/>
      <c r="E840" s="112"/>
      <c r="F840" s="112"/>
      <c r="G840" s="112"/>
      <c r="H840" s="112"/>
      <c r="I840" s="112"/>
      <c r="J840" s="112"/>
      <c r="K840" s="112"/>
      <c r="L840" s="112"/>
      <c r="M840" s="112"/>
      <c r="N840" s="112"/>
      <c r="O840" s="112"/>
      <c r="P840" s="112"/>
      <c r="Q840" s="112"/>
      <c r="R840" s="112"/>
      <c r="S840" s="112"/>
      <c r="T840" s="112"/>
      <c r="U840" s="112"/>
      <c r="V840" s="112"/>
      <c r="W840" s="112"/>
      <c r="X840" s="112"/>
      <c r="Y840" s="112"/>
      <c r="Z840" s="112"/>
    </row>
    <row r="841" spans="1:26">
      <c r="A841" s="112"/>
      <c r="B841" s="112"/>
      <c r="C841" s="112"/>
      <c r="D841" s="112"/>
      <c r="E841" s="112"/>
      <c r="F841" s="112"/>
      <c r="G841" s="112"/>
      <c r="H841" s="112"/>
      <c r="I841" s="112"/>
      <c r="J841" s="112"/>
      <c r="K841" s="112"/>
      <c r="L841" s="112"/>
      <c r="M841" s="112"/>
      <c r="N841" s="112"/>
      <c r="O841" s="112"/>
      <c r="P841" s="112"/>
      <c r="Q841" s="112"/>
      <c r="R841" s="112"/>
      <c r="S841" s="112"/>
      <c r="T841" s="112"/>
      <c r="U841" s="112"/>
      <c r="V841" s="112"/>
      <c r="W841" s="112"/>
      <c r="X841" s="112"/>
      <c r="Y841" s="112"/>
      <c r="Z841" s="112"/>
    </row>
    <row r="842" spans="1:26">
      <c r="A842" s="112"/>
      <c r="B842" s="112"/>
      <c r="C842" s="112"/>
      <c r="D842" s="112"/>
      <c r="E842" s="112"/>
      <c r="F842" s="112"/>
      <c r="G842" s="112"/>
      <c r="H842" s="112"/>
      <c r="I842" s="112"/>
      <c r="J842" s="112"/>
      <c r="K842" s="112"/>
      <c r="L842" s="112"/>
      <c r="M842" s="112"/>
      <c r="N842" s="112"/>
      <c r="O842" s="112"/>
      <c r="P842" s="112"/>
      <c r="Q842" s="112"/>
      <c r="R842" s="112"/>
      <c r="S842" s="112"/>
      <c r="T842" s="112"/>
      <c r="U842" s="112"/>
      <c r="V842" s="112"/>
      <c r="W842" s="112"/>
      <c r="X842" s="112"/>
      <c r="Y842" s="112"/>
      <c r="Z842" s="112"/>
    </row>
    <row r="843" spans="1:26">
      <c r="A843" s="112"/>
      <c r="B843" s="112"/>
      <c r="C843" s="112"/>
      <c r="D843" s="112"/>
      <c r="E843" s="112"/>
      <c r="F843" s="112"/>
      <c r="G843" s="112"/>
      <c r="H843" s="112"/>
      <c r="I843" s="112"/>
      <c r="J843" s="112"/>
      <c r="K843" s="112"/>
      <c r="L843" s="112"/>
      <c r="M843" s="112"/>
      <c r="N843" s="112"/>
      <c r="O843" s="112"/>
      <c r="P843" s="112"/>
      <c r="Q843" s="112"/>
      <c r="R843" s="112"/>
      <c r="S843" s="112"/>
      <c r="T843" s="112"/>
      <c r="U843" s="112"/>
      <c r="V843" s="112"/>
      <c r="W843" s="112"/>
      <c r="X843" s="112"/>
      <c r="Y843" s="112"/>
      <c r="Z843" s="112"/>
    </row>
    <row r="844" spans="1:26">
      <c r="A844" s="112"/>
      <c r="B844" s="112"/>
      <c r="C844" s="112"/>
      <c r="D844" s="112"/>
      <c r="E844" s="112"/>
      <c r="F844" s="112"/>
      <c r="G844" s="112"/>
      <c r="H844" s="112"/>
      <c r="I844" s="112"/>
      <c r="J844" s="112"/>
      <c r="K844" s="112"/>
      <c r="L844" s="112"/>
      <c r="M844" s="112"/>
      <c r="N844" s="112"/>
      <c r="O844" s="112"/>
      <c r="P844" s="112"/>
      <c r="Q844" s="112"/>
      <c r="R844" s="112"/>
      <c r="S844" s="112"/>
      <c r="T844" s="112"/>
      <c r="U844" s="112"/>
      <c r="V844" s="112"/>
      <c r="W844" s="112"/>
      <c r="X844" s="112"/>
      <c r="Y844" s="112"/>
      <c r="Z844" s="112"/>
    </row>
    <row r="845" spans="1:26">
      <c r="A845" s="112"/>
      <c r="B845" s="112"/>
      <c r="C845" s="112"/>
      <c r="D845" s="112"/>
      <c r="E845" s="112"/>
      <c r="F845" s="112"/>
      <c r="G845" s="112"/>
      <c r="H845" s="112"/>
      <c r="I845" s="112"/>
      <c r="J845" s="112"/>
      <c r="K845" s="112"/>
      <c r="L845" s="112"/>
      <c r="M845" s="112"/>
      <c r="N845" s="112"/>
      <c r="O845" s="112"/>
      <c r="P845" s="112"/>
      <c r="Q845" s="112"/>
      <c r="R845" s="112"/>
      <c r="S845" s="112"/>
      <c r="T845" s="112"/>
      <c r="U845" s="112"/>
      <c r="V845" s="112"/>
      <c r="W845" s="112"/>
      <c r="X845" s="112"/>
      <c r="Y845" s="112"/>
      <c r="Z845" s="112"/>
    </row>
    <row r="846" spans="1:26">
      <c r="A846" s="112"/>
      <c r="B846" s="112"/>
      <c r="C846" s="112"/>
      <c r="D846" s="112"/>
      <c r="E846" s="112"/>
      <c r="F846" s="112"/>
      <c r="G846" s="112"/>
      <c r="H846" s="112"/>
      <c r="I846" s="112"/>
      <c r="J846" s="112"/>
      <c r="K846" s="112"/>
      <c r="L846" s="112"/>
      <c r="M846" s="112"/>
      <c r="N846" s="112"/>
      <c r="O846" s="112"/>
      <c r="P846" s="112"/>
      <c r="Q846" s="112"/>
      <c r="R846" s="112"/>
      <c r="S846" s="112"/>
      <c r="T846" s="112"/>
      <c r="U846" s="112"/>
      <c r="V846" s="112"/>
      <c r="W846" s="112"/>
      <c r="X846" s="112"/>
      <c r="Y846" s="112"/>
      <c r="Z846" s="112"/>
    </row>
    <row r="847" spans="1:26">
      <c r="A847" s="112"/>
      <c r="B847" s="112"/>
      <c r="C847" s="112"/>
      <c r="D847" s="112"/>
      <c r="E847" s="112"/>
      <c r="F847" s="112"/>
      <c r="G847" s="112"/>
      <c r="H847" s="112"/>
      <c r="I847" s="112"/>
      <c r="J847" s="112"/>
      <c r="K847" s="112"/>
      <c r="L847" s="112"/>
      <c r="M847" s="112"/>
      <c r="N847" s="112"/>
      <c r="O847" s="112"/>
      <c r="P847" s="112"/>
      <c r="Q847" s="112"/>
      <c r="R847" s="112"/>
      <c r="S847" s="112"/>
      <c r="T847" s="112"/>
      <c r="U847" s="112"/>
      <c r="V847" s="112"/>
      <c r="W847" s="112"/>
      <c r="X847" s="112"/>
      <c r="Y847" s="112"/>
      <c r="Z847" s="112"/>
    </row>
    <row r="848" spans="1:26">
      <c r="A848" s="112"/>
      <c r="B848" s="112"/>
      <c r="C848" s="112"/>
      <c r="D848" s="112"/>
      <c r="E848" s="112"/>
      <c r="F848" s="112"/>
      <c r="G848" s="112"/>
      <c r="H848" s="112"/>
      <c r="I848" s="112"/>
      <c r="J848" s="112"/>
      <c r="K848" s="112"/>
      <c r="L848" s="112"/>
      <c r="M848" s="112"/>
      <c r="N848" s="112"/>
      <c r="O848" s="112"/>
      <c r="P848" s="112"/>
      <c r="Q848" s="112"/>
      <c r="R848" s="112"/>
      <c r="S848" s="112"/>
      <c r="T848" s="112"/>
      <c r="U848" s="112"/>
      <c r="V848" s="112"/>
      <c r="W848" s="112"/>
      <c r="X848" s="112"/>
      <c r="Y848" s="112"/>
      <c r="Z848" s="112"/>
    </row>
    <row r="849" spans="1:26">
      <c r="A849" s="112"/>
      <c r="B849" s="112"/>
      <c r="C849" s="112"/>
      <c r="D849" s="112"/>
      <c r="E849" s="112"/>
      <c r="F849" s="112"/>
      <c r="G849" s="112"/>
      <c r="H849" s="112"/>
      <c r="I849" s="112"/>
      <c r="J849" s="112"/>
      <c r="K849" s="112"/>
      <c r="L849" s="112"/>
      <c r="M849" s="112"/>
      <c r="N849" s="112"/>
      <c r="O849" s="112"/>
      <c r="P849" s="112"/>
      <c r="Q849" s="112"/>
      <c r="R849" s="112"/>
      <c r="S849" s="112"/>
      <c r="T849" s="112"/>
      <c r="U849" s="112"/>
      <c r="V849" s="112"/>
      <c r="W849" s="112"/>
      <c r="X849" s="112"/>
      <c r="Y849" s="112"/>
      <c r="Z849" s="112"/>
    </row>
    <row r="850" spans="1:26">
      <c r="A850" s="112"/>
      <c r="B850" s="112"/>
      <c r="C850" s="112"/>
      <c r="D850" s="112"/>
      <c r="E850" s="112"/>
      <c r="F850" s="112"/>
      <c r="G850" s="112"/>
      <c r="H850" s="112"/>
      <c r="I850" s="112"/>
      <c r="J850" s="112"/>
      <c r="K850" s="112"/>
      <c r="L850" s="112"/>
      <c r="M850" s="112"/>
      <c r="N850" s="112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  <c r="Y850" s="112"/>
      <c r="Z850" s="112"/>
    </row>
    <row r="851" spans="1:26">
      <c r="A851" s="112"/>
      <c r="B851" s="112"/>
      <c r="C851" s="112"/>
      <c r="D851" s="112"/>
      <c r="E851" s="112"/>
      <c r="F851" s="112"/>
      <c r="G851" s="112"/>
      <c r="H851" s="112"/>
      <c r="I851" s="112"/>
      <c r="J851" s="112"/>
      <c r="K851" s="112"/>
      <c r="L851" s="112"/>
      <c r="M851" s="112"/>
      <c r="N851" s="112"/>
      <c r="O851" s="112"/>
      <c r="P851" s="112"/>
      <c r="Q851" s="112"/>
      <c r="R851" s="112"/>
      <c r="S851" s="112"/>
      <c r="T851" s="112"/>
      <c r="U851" s="112"/>
      <c r="V851" s="112"/>
      <c r="W851" s="112"/>
      <c r="X851" s="112"/>
      <c r="Y851" s="112"/>
      <c r="Z851" s="112"/>
    </row>
    <row r="852" spans="1:26">
      <c r="A852" s="112"/>
      <c r="B852" s="112"/>
      <c r="C852" s="112"/>
      <c r="D852" s="112"/>
      <c r="E852" s="112"/>
      <c r="F852" s="112"/>
      <c r="G852" s="112"/>
      <c r="H852" s="112"/>
      <c r="I852" s="112"/>
      <c r="J852" s="112"/>
      <c r="K852" s="112"/>
      <c r="L852" s="112"/>
      <c r="M852" s="112"/>
      <c r="N852" s="112"/>
      <c r="O852" s="112"/>
      <c r="P852" s="112"/>
      <c r="Q852" s="112"/>
      <c r="R852" s="112"/>
      <c r="S852" s="112"/>
      <c r="T852" s="112"/>
      <c r="U852" s="112"/>
      <c r="V852" s="112"/>
      <c r="W852" s="112"/>
      <c r="X852" s="112"/>
      <c r="Y852" s="112"/>
      <c r="Z852" s="112"/>
    </row>
    <row r="853" spans="1:26">
      <c r="A853" s="112"/>
      <c r="B853" s="112"/>
      <c r="C853" s="112"/>
      <c r="D853" s="112"/>
      <c r="E853" s="112"/>
      <c r="F853" s="112"/>
      <c r="G853" s="112"/>
      <c r="H853" s="112"/>
      <c r="I853" s="112"/>
      <c r="J853" s="112"/>
      <c r="K853" s="112"/>
      <c r="L853" s="112"/>
      <c r="M853" s="112"/>
      <c r="N853" s="112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  <c r="Y853" s="112"/>
      <c r="Z853" s="112"/>
    </row>
    <row r="854" spans="1:26">
      <c r="A854" s="112"/>
      <c r="B854" s="112"/>
      <c r="C854" s="112"/>
      <c r="D854" s="112"/>
      <c r="E854" s="112"/>
      <c r="F854" s="112"/>
      <c r="G854" s="112"/>
      <c r="H854" s="112"/>
      <c r="I854" s="112"/>
      <c r="J854" s="112"/>
      <c r="K854" s="112"/>
      <c r="L854" s="112"/>
      <c r="M854" s="112"/>
      <c r="N854" s="112"/>
      <c r="O854" s="112"/>
      <c r="P854" s="112"/>
      <c r="Q854" s="112"/>
      <c r="R854" s="112"/>
      <c r="S854" s="112"/>
      <c r="T854" s="112"/>
      <c r="U854" s="112"/>
      <c r="V854" s="112"/>
      <c r="W854" s="112"/>
      <c r="X854" s="112"/>
      <c r="Y854" s="112"/>
      <c r="Z854" s="112"/>
    </row>
    <row r="855" spans="1:26">
      <c r="A855" s="112"/>
      <c r="B855" s="112"/>
      <c r="C855" s="112"/>
      <c r="D855" s="112"/>
      <c r="E855" s="112"/>
      <c r="F855" s="112"/>
      <c r="G855" s="112"/>
      <c r="H855" s="112"/>
      <c r="I855" s="112"/>
      <c r="J855" s="112"/>
      <c r="K855" s="112"/>
      <c r="L855" s="112"/>
      <c r="M855" s="112"/>
      <c r="N855" s="112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112"/>
      <c r="Z855" s="112"/>
    </row>
    <row r="856" spans="1:26">
      <c r="A856" s="112"/>
      <c r="B856" s="112"/>
      <c r="C856" s="112"/>
      <c r="D856" s="112"/>
      <c r="E856" s="112"/>
      <c r="F856" s="112"/>
      <c r="G856" s="112"/>
      <c r="H856" s="112"/>
      <c r="I856" s="112"/>
      <c r="J856" s="112"/>
      <c r="K856" s="112"/>
      <c r="L856" s="112"/>
      <c r="M856" s="112"/>
      <c r="N856" s="112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  <c r="Y856" s="112"/>
      <c r="Z856" s="112"/>
    </row>
    <row r="857" spans="1:26">
      <c r="A857" s="112"/>
      <c r="B857" s="112"/>
      <c r="C857" s="112"/>
      <c r="D857" s="112"/>
      <c r="E857" s="112"/>
      <c r="F857" s="112"/>
      <c r="G857" s="112"/>
      <c r="H857" s="112"/>
      <c r="I857" s="112"/>
      <c r="J857" s="112"/>
      <c r="K857" s="112"/>
      <c r="L857" s="112"/>
      <c r="M857" s="112"/>
      <c r="N857" s="112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  <c r="Y857" s="112"/>
      <c r="Z857" s="112"/>
    </row>
    <row r="858" spans="1:26">
      <c r="A858" s="112"/>
      <c r="B858" s="112"/>
      <c r="C858" s="112"/>
      <c r="D858" s="112"/>
      <c r="E858" s="112"/>
      <c r="F858" s="112"/>
      <c r="G858" s="112"/>
      <c r="H858" s="112"/>
      <c r="I858" s="112"/>
      <c r="J858" s="112"/>
      <c r="K858" s="112"/>
      <c r="L858" s="112"/>
      <c r="M858" s="112"/>
      <c r="N858" s="112"/>
      <c r="O858" s="112"/>
      <c r="P858" s="112"/>
      <c r="Q858" s="112"/>
      <c r="R858" s="112"/>
      <c r="S858" s="112"/>
      <c r="T858" s="112"/>
      <c r="U858" s="112"/>
      <c r="V858" s="112"/>
      <c r="W858" s="112"/>
      <c r="X858" s="112"/>
      <c r="Y858" s="112"/>
      <c r="Z858" s="112"/>
    </row>
    <row r="859" spans="1:26">
      <c r="A859" s="112"/>
      <c r="B859" s="112"/>
      <c r="C859" s="112"/>
      <c r="D859" s="112"/>
      <c r="E859" s="112"/>
      <c r="F859" s="112"/>
      <c r="G859" s="112"/>
      <c r="H859" s="112"/>
      <c r="I859" s="112"/>
      <c r="J859" s="112"/>
      <c r="K859" s="112"/>
      <c r="L859" s="112"/>
      <c r="M859" s="112"/>
      <c r="N859" s="112"/>
      <c r="O859" s="112"/>
      <c r="P859" s="112"/>
      <c r="Q859" s="112"/>
      <c r="R859" s="112"/>
      <c r="S859" s="112"/>
      <c r="T859" s="112"/>
      <c r="U859" s="112"/>
      <c r="V859" s="112"/>
      <c r="W859" s="112"/>
      <c r="X859" s="112"/>
      <c r="Y859" s="112"/>
      <c r="Z859" s="112"/>
    </row>
    <row r="860" spans="1:26">
      <c r="A860" s="112"/>
      <c r="B860" s="112"/>
      <c r="C860" s="112"/>
      <c r="D860" s="112"/>
      <c r="E860" s="112"/>
      <c r="F860" s="112"/>
      <c r="G860" s="112"/>
      <c r="H860" s="112"/>
      <c r="I860" s="112"/>
      <c r="J860" s="112"/>
      <c r="K860" s="112"/>
      <c r="L860" s="112"/>
      <c r="M860" s="112"/>
      <c r="N860" s="112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  <c r="Y860" s="112"/>
      <c r="Z860" s="112"/>
    </row>
    <row r="861" spans="1:26">
      <c r="A861" s="112"/>
      <c r="B861" s="112"/>
      <c r="C861" s="112"/>
      <c r="D861" s="112"/>
      <c r="E861" s="112"/>
      <c r="F861" s="112"/>
      <c r="G861" s="112"/>
      <c r="H861" s="112"/>
      <c r="I861" s="112"/>
      <c r="J861" s="112"/>
      <c r="K861" s="112"/>
      <c r="L861" s="112"/>
      <c r="M861" s="112"/>
      <c r="N861" s="112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  <c r="Y861" s="112"/>
      <c r="Z861" s="112"/>
    </row>
    <row r="862" spans="1:26">
      <c r="A862" s="112"/>
      <c r="B862" s="112"/>
      <c r="C862" s="112"/>
      <c r="D862" s="112"/>
      <c r="E862" s="112"/>
      <c r="F862" s="112"/>
      <c r="G862" s="112"/>
      <c r="H862" s="112"/>
      <c r="I862" s="112"/>
      <c r="J862" s="112"/>
      <c r="K862" s="112"/>
      <c r="L862" s="112"/>
      <c r="M862" s="112"/>
      <c r="N862" s="112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  <c r="Y862" s="112"/>
      <c r="Z862" s="112"/>
    </row>
    <row r="863" spans="1:26">
      <c r="A863" s="112"/>
      <c r="B863" s="112"/>
      <c r="C863" s="112"/>
      <c r="D863" s="112"/>
      <c r="E863" s="112"/>
      <c r="F863" s="112"/>
      <c r="G863" s="112"/>
      <c r="H863" s="112"/>
      <c r="I863" s="112"/>
      <c r="J863" s="112"/>
      <c r="K863" s="112"/>
      <c r="L863" s="112"/>
      <c r="M863" s="112"/>
      <c r="N863" s="112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  <c r="Y863" s="112"/>
      <c r="Z863" s="112"/>
    </row>
    <row r="864" spans="1:26">
      <c r="A864" s="112"/>
      <c r="B864" s="112"/>
      <c r="C864" s="112"/>
      <c r="D864" s="112"/>
      <c r="E864" s="112"/>
      <c r="F864" s="112"/>
      <c r="G864" s="112"/>
      <c r="H864" s="112"/>
      <c r="I864" s="112"/>
      <c r="J864" s="112"/>
      <c r="K864" s="112"/>
      <c r="L864" s="112"/>
      <c r="M864" s="112"/>
      <c r="N864" s="112"/>
      <c r="O864" s="112"/>
      <c r="P864" s="112"/>
      <c r="Q864" s="112"/>
      <c r="R864" s="112"/>
      <c r="S864" s="112"/>
      <c r="T864" s="112"/>
      <c r="U864" s="112"/>
      <c r="V864" s="112"/>
      <c r="W864" s="112"/>
      <c r="X864" s="112"/>
      <c r="Y864" s="112"/>
      <c r="Z864" s="112"/>
    </row>
    <row r="865" spans="1:26">
      <c r="A865" s="112"/>
      <c r="B865" s="112"/>
      <c r="C865" s="112"/>
      <c r="D865" s="112"/>
      <c r="E865" s="112"/>
      <c r="F865" s="112"/>
      <c r="G865" s="112"/>
      <c r="H865" s="112"/>
      <c r="I865" s="112"/>
      <c r="J865" s="112"/>
      <c r="K865" s="112"/>
      <c r="L865" s="112"/>
      <c r="M865" s="112"/>
      <c r="N865" s="112"/>
      <c r="O865" s="112"/>
      <c r="P865" s="112"/>
      <c r="Q865" s="112"/>
      <c r="R865" s="112"/>
      <c r="S865" s="112"/>
      <c r="T865" s="112"/>
      <c r="U865" s="112"/>
      <c r="V865" s="112"/>
      <c r="W865" s="112"/>
      <c r="X865" s="112"/>
      <c r="Y865" s="112"/>
      <c r="Z865" s="112"/>
    </row>
    <row r="866" spans="1:26">
      <c r="A866" s="112"/>
      <c r="B866" s="112"/>
      <c r="C866" s="112"/>
      <c r="D866" s="112"/>
      <c r="E866" s="112"/>
      <c r="F866" s="112"/>
      <c r="G866" s="112"/>
      <c r="H866" s="112"/>
      <c r="I866" s="112"/>
      <c r="J866" s="112"/>
      <c r="K866" s="112"/>
      <c r="L866" s="112"/>
      <c r="M866" s="112"/>
      <c r="N866" s="112"/>
      <c r="O866" s="112"/>
      <c r="P866" s="112"/>
      <c r="Q866" s="112"/>
      <c r="R866" s="112"/>
      <c r="S866" s="112"/>
      <c r="T866" s="112"/>
      <c r="U866" s="112"/>
      <c r="V866" s="112"/>
      <c r="W866" s="112"/>
      <c r="X866" s="112"/>
      <c r="Y866" s="112"/>
      <c r="Z866" s="112"/>
    </row>
    <row r="867" spans="1:26">
      <c r="A867" s="112"/>
      <c r="B867" s="112"/>
      <c r="C867" s="112"/>
      <c r="D867" s="112"/>
      <c r="E867" s="112"/>
      <c r="F867" s="112"/>
      <c r="G867" s="112"/>
      <c r="H867" s="112"/>
      <c r="I867" s="112"/>
      <c r="J867" s="112"/>
      <c r="K867" s="112"/>
      <c r="L867" s="112"/>
      <c r="M867" s="112"/>
      <c r="N867" s="112"/>
      <c r="O867" s="112"/>
      <c r="P867" s="112"/>
      <c r="Q867" s="112"/>
      <c r="R867" s="112"/>
      <c r="S867" s="112"/>
      <c r="T867" s="112"/>
      <c r="U867" s="112"/>
      <c r="V867" s="112"/>
      <c r="W867" s="112"/>
      <c r="X867" s="112"/>
      <c r="Y867" s="112"/>
      <c r="Z867" s="112"/>
    </row>
    <row r="868" spans="1:26">
      <c r="A868" s="112"/>
      <c r="B868" s="112"/>
      <c r="C868" s="112"/>
      <c r="D868" s="112"/>
      <c r="E868" s="112"/>
      <c r="F868" s="112"/>
      <c r="G868" s="112"/>
      <c r="H868" s="112"/>
      <c r="I868" s="112"/>
      <c r="J868" s="112"/>
      <c r="K868" s="112"/>
      <c r="L868" s="112"/>
      <c r="M868" s="112"/>
      <c r="N868" s="112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  <c r="Y868" s="112"/>
      <c r="Z868" s="112"/>
    </row>
    <row r="869" spans="1:26">
      <c r="A869" s="112"/>
      <c r="B869" s="112"/>
      <c r="C869" s="112"/>
      <c r="D869" s="112"/>
      <c r="E869" s="112"/>
      <c r="F869" s="112"/>
      <c r="G869" s="112"/>
      <c r="H869" s="112"/>
      <c r="I869" s="112"/>
      <c r="J869" s="112"/>
      <c r="K869" s="112"/>
      <c r="L869" s="112"/>
      <c r="M869" s="112"/>
      <c r="N869" s="112"/>
      <c r="O869" s="112"/>
      <c r="P869" s="112"/>
      <c r="Q869" s="112"/>
      <c r="R869" s="112"/>
      <c r="S869" s="112"/>
      <c r="T869" s="112"/>
      <c r="U869" s="112"/>
      <c r="V869" s="112"/>
      <c r="W869" s="112"/>
      <c r="X869" s="112"/>
      <c r="Y869" s="112"/>
      <c r="Z869" s="112"/>
    </row>
    <row r="870" spans="1:26">
      <c r="A870" s="112"/>
      <c r="B870" s="112"/>
      <c r="C870" s="112"/>
      <c r="D870" s="112"/>
      <c r="E870" s="112"/>
      <c r="F870" s="112"/>
      <c r="G870" s="112"/>
      <c r="H870" s="112"/>
      <c r="I870" s="112"/>
      <c r="J870" s="112"/>
      <c r="K870" s="112"/>
      <c r="L870" s="112"/>
      <c r="M870" s="112"/>
      <c r="N870" s="112"/>
      <c r="O870" s="112"/>
      <c r="P870" s="112"/>
      <c r="Q870" s="112"/>
      <c r="R870" s="112"/>
      <c r="S870" s="112"/>
      <c r="T870" s="112"/>
      <c r="U870" s="112"/>
      <c r="V870" s="112"/>
      <c r="W870" s="112"/>
      <c r="X870" s="112"/>
      <c r="Y870" s="112"/>
      <c r="Z870" s="112"/>
    </row>
    <row r="871" spans="1:26">
      <c r="A871" s="112"/>
      <c r="B871" s="112"/>
      <c r="C871" s="112"/>
      <c r="D871" s="112"/>
      <c r="E871" s="112"/>
      <c r="F871" s="112"/>
      <c r="G871" s="112"/>
      <c r="H871" s="112"/>
      <c r="I871" s="112"/>
      <c r="J871" s="112"/>
      <c r="K871" s="112"/>
      <c r="L871" s="112"/>
      <c r="M871" s="112"/>
      <c r="N871" s="112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  <c r="Y871" s="112"/>
      <c r="Z871" s="112"/>
    </row>
    <row r="872" spans="1:26">
      <c r="A872" s="112"/>
      <c r="B872" s="112"/>
      <c r="C872" s="112"/>
      <c r="D872" s="112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</row>
    <row r="873" spans="1:26">
      <c r="A873" s="112"/>
      <c r="B873" s="112"/>
      <c r="C873" s="112"/>
      <c r="D873" s="112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</row>
    <row r="874" spans="1:26">
      <c r="A874" s="112"/>
      <c r="B874" s="112"/>
      <c r="C874" s="112"/>
      <c r="D874" s="112"/>
      <c r="E874" s="112"/>
      <c r="F874" s="112"/>
      <c r="G874" s="112"/>
      <c r="H874" s="112"/>
      <c r="I874" s="112"/>
      <c r="J874" s="112"/>
      <c r="K874" s="112"/>
      <c r="L874" s="112"/>
      <c r="M874" s="112"/>
      <c r="N874" s="112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  <c r="Y874" s="112"/>
      <c r="Z874" s="112"/>
    </row>
    <row r="875" spans="1:26">
      <c r="A875" s="112"/>
      <c r="B875" s="112"/>
      <c r="C875" s="112"/>
      <c r="D875" s="112"/>
      <c r="E875" s="112"/>
      <c r="F875" s="112"/>
      <c r="G875" s="112"/>
      <c r="H875" s="112"/>
      <c r="I875" s="112"/>
      <c r="J875" s="112"/>
      <c r="K875" s="112"/>
      <c r="L875" s="112"/>
      <c r="M875" s="112"/>
      <c r="N875" s="112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  <c r="Y875" s="112"/>
      <c r="Z875" s="112"/>
    </row>
    <row r="876" spans="1:26">
      <c r="A876" s="112"/>
      <c r="B876" s="112"/>
      <c r="C876" s="112"/>
      <c r="D876" s="112"/>
      <c r="E876" s="112"/>
      <c r="F876" s="112"/>
      <c r="G876" s="112"/>
      <c r="H876" s="112"/>
      <c r="I876" s="112"/>
      <c r="J876" s="112"/>
      <c r="K876" s="112"/>
      <c r="L876" s="112"/>
      <c r="M876" s="112"/>
      <c r="N876" s="112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  <c r="Y876" s="112"/>
      <c r="Z876" s="112"/>
    </row>
    <row r="877" spans="1:26">
      <c r="A877" s="112"/>
      <c r="B877" s="112"/>
      <c r="C877" s="112"/>
      <c r="D877" s="112"/>
      <c r="E877" s="112"/>
      <c r="F877" s="112"/>
      <c r="G877" s="112"/>
      <c r="H877" s="112"/>
      <c r="I877" s="112"/>
      <c r="J877" s="112"/>
      <c r="K877" s="112"/>
      <c r="L877" s="112"/>
      <c r="M877" s="112"/>
      <c r="N877" s="112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  <c r="Y877" s="112"/>
      <c r="Z877" s="112"/>
    </row>
    <row r="878" spans="1:26">
      <c r="A878" s="112"/>
      <c r="B878" s="112"/>
      <c r="C878" s="112"/>
      <c r="D878" s="112"/>
      <c r="E878" s="112"/>
      <c r="F878" s="112"/>
      <c r="G878" s="112"/>
      <c r="H878" s="112"/>
      <c r="I878" s="112"/>
      <c r="J878" s="112"/>
      <c r="K878" s="112"/>
      <c r="L878" s="112"/>
      <c r="M878" s="112"/>
      <c r="N878" s="112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  <c r="Y878" s="112"/>
      <c r="Z878" s="112"/>
    </row>
    <row r="879" spans="1:26">
      <c r="A879" s="112"/>
      <c r="B879" s="112"/>
      <c r="C879" s="112"/>
      <c r="D879" s="112"/>
      <c r="E879" s="112"/>
      <c r="F879" s="112"/>
      <c r="G879" s="112"/>
      <c r="H879" s="112"/>
      <c r="I879" s="112"/>
      <c r="J879" s="112"/>
      <c r="K879" s="112"/>
      <c r="L879" s="112"/>
      <c r="M879" s="112"/>
      <c r="N879" s="112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  <c r="Y879" s="112"/>
      <c r="Z879" s="112"/>
    </row>
    <row r="880" spans="1:26">
      <c r="A880" s="112"/>
      <c r="B880" s="112"/>
      <c r="C880" s="112"/>
      <c r="D880" s="112"/>
      <c r="E880" s="112"/>
      <c r="F880" s="112"/>
      <c r="G880" s="112"/>
      <c r="H880" s="112"/>
      <c r="I880" s="112"/>
      <c r="J880" s="112"/>
      <c r="K880" s="112"/>
      <c r="L880" s="112"/>
      <c r="M880" s="112"/>
      <c r="N880" s="112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  <c r="Y880" s="112"/>
      <c r="Z880" s="112"/>
    </row>
    <row r="881" spans="1:26">
      <c r="A881" s="112"/>
      <c r="B881" s="112"/>
      <c r="C881" s="112"/>
      <c r="D881" s="112"/>
      <c r="E881" s="112"/>
      <c r="F881" s="112"/>
      <c r="G881" s="112"/>
      <c r="H881" s="112"/>
      <c r="I881" s="112"/>
      <c r="J881" s="112"/>
      <c r="K881" s="112"/>
      <c r="L881" s="112"/>
      <c r="M881" s="112"/>
      <c r="N881" s="112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  <c r="Y881" s="112"/>
      <c r="Z881" s="112"/>
    </row>
    <row r="882" spans="1:26">
      <c r="A882" s="112"/>
      <c r="B882" s="112"/>
      <c r="C882" s="112"/>
      <c r="D882" s="112"/>
      <c r="E882" s="112"/>
      <c r="F882" s="112"/>
      <c r="G882" s="112"/>
      <c r="H882" s="112"/>
      <c r="I882" s="112"/>
      <c r="J882" s="112"/>
      <c r="K882" s="112"/>
      <c r="L882" s="112"/>
      <c r="M882" s="112"/>
      <c r="N882" s="112"/>
      <c r="O882" s="112"/>
      <c r="P882" s="112"/>
      <c r="Q882" s="112"/>
      <c r="R882" s="112"/>
      <c r="S882" s="112"/>
      <c r="T882" s="112"/>
      <c r="U882" s="112"/>
      <c r="V882" s="112"/>
      <c r="W882" s="112"/>
      <c r="X882" s="112"/>
      <c r="Y882" s="112"/>
      <c r="Z882" s="112"/>
    </row>
    <row r="883" spans="1:26">
      <c r="A883" s="112"/>
      <c r="B883" s="112"/>
      <c r="C883" s="112"/>
      <c r="D883" s="112"/>
      <c r="E883" s="112"/>
      <c r="F883" s="112"/>
      <c r="G883" s="112"/>
      <c r="H883" s="112"/>
      <c r="I883" s="112"/>
      <c r="J883" s="112"/>
      <c r="K883" s="112"/>
      <c r="L883" s="112"/>
      <c r="M883" s="112"/>
      <c r="N883" s="112"/>
      <c r="O883" s="112"/>
      <c r="P883" s="112"/>
      <c r="Q883" s="112"/>
      <c r="R883" s="112"/>
      <c r="S883" s="112"/>
      <c r="T883" s="112"/>
      <c r="U883" s="112"/>
      <c r="V883" s="112"/>
      <c r="W883" s="112"/>
      <c r="X883" s="112"/>
      <c r="Y883" s="112"/>
      <c r="Z883" s="112"/>
    </row>
    <row r="884" spans="1:26">
      <c r="A884" s="112"/>
      <c r="B884" s="112"/>
      <c r="C884" s="112"/>
      <c r="D884" s="112"/>
      <c r="E884" s="112"/>
      <c r="F884" s="112"/>
      <c r="G884" s="112"/>
      <c r="H884" s="112"/>
      <c r="I884" s="112"/>
      <c r="J884" s="112"/>
      <c r="K884" s="112"/>
      <c r="L884" s="112"/>
      <c r="M884" s="112"/>
      <c r="N884" s="112"/>
      <c r="O884" s="112"/>
      <c r="P884" s="112"/>
      <c r="Q884" s="112"/>
      <c r="R884" s="112"/>
      <c r="S884" s="112"/>
      <c r="T884" s="112"/>
      <c r="U884" s="112"/>
      <c r="V884" s="112"/>
      <c r="W884" s="112"/>
      <c r="X884" s="112"/>
      <c r="Y884" s="112"/>
      <c r="Z884" s="112"/>
    </row>
    <row r="885" spans="1:26">
      <c r="A885" s="112"/>
      <c r="B885" s="112"/>
      <c r="C885" s="112"/>
      <c r="D885" s="112"/>
      <c r="E885" s="112"/>
      <c r="F885" s="112"/>
      <c r="G885" s="112"/>
      <c r="H885" s="112"/>
      <c r="I885" s="112"/>
      <c r="J885" s="112"/>
      <c r="K885" s="112"/>
      <c r="L885" s="112"/>
      <c r="M885" s="112"/>
      <c r="N885" s="112"/>
      <c r="O885" s="112"/>
      <c r="P885" s="112"/>
      <c r="Q885" s="112"/>
      <c r="R885" s="112"/>
      <c r="S885" s="112"/>
      <c r="T885" s="112"/>
      <c r="U885" s="112"/>
      <c r="V885" s="112"/>
      <c r="W885" s="112"/>
      <c r="X885" s="112"/>
      <c r="Y885" s="112"/>
      <c r="Z885" s="112"/>
    </row>
    <row r="886" spans="1:26">
      <c r="A886" s="112"/>
      <c r="B886" s="112"/>
      <c r="C886" s="112"/>
      <c r="D886" s="112"/>
      <c r="E886" s="112"/>
      <c r="F886" s="112"/>
      <c r="G886" s="112"/>
      <c r="H886" s="112"/>
      <c r="I886" s="112"/>
      <c r="J886" s="112"/>
      <c r="K886" s="112"/>
      <c r="L886" s="112"/>
      <c r="M886" s="112"/>
      <c r="N886" s="112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  <c r="Y886" s="112"/>
      <c r="Z886" s="112"/>
    </row>
    <row r="887" spans="1:26">
      <c r="A887" s="112"/>
      <c r="B887" s="112"/>
      <c r="C887" s="112"/>
      <c r="D887" s="112"/>
      <c r="E887" s="112"/>
      <c r="F887" s="112"/>
      <c r="G887" s="112"/>
      <c r="H887" s="112"/>
      <c r="I887" s="112"/>
      <c r="J887" s="112"/>
      <c r="K887" s="112"/>
      <c r="L887" s="112"/>
      <c r="M887" s="112"/>
      <c r="N887" s="112"/>
      <c r="O887" s="112"/>
      <c r="P887" s="112"/>
      <c r="Q887" s="112"/>
      <c r="R887" s="112"/>
      <c r="S887" s="112"/>
      <c r="T887" s="112"/>
      <c r="U887" s="112"/>
      <c r="V887" s="112"/>
      <c r="W887" s="112"/>
      <c r="X887" s="112"/>
      <c r="Y887" s="112"/>
      <c r="Z887" s="112"/>
    </row>
    <row r="888" spans="1:26">
      <c r="A888" s="112"/>
      <c r="B888" s="112"/>
      <c r="C888" s="112"/>
      <c r="D888" s="112"/>
      <c r="E888" s="112"/>
      <c r="F888" s="112"/>
      <c r="G888" s="112"/>
      <c r="H888" s="112"/>
      <c r="I888" s="112"/>
      <c r="J888" s="112"/>
      <c r="K888" s="112"/>
      <c r="L888" s="112"/>
      <c r="M888" s="112"/>
      <c r="N888" s="112"/>
      <c r="O888" s="112"/>
      <c r="P888" s="112"/>
      <c r="Q888" s="112"/>
      <c r="R888" s="112"/>
      <c r="S888" s="112"/>
      <c r="T888" s="112"/>
      <c r="U888" s="112"/>
      <c r="V888" s="112"/>
      <c r="W888" s="112"/>
      <c r="X888" s="112"/>
      <c r="Y888" s="112"/>
      <c r="Z888" s="112"/>
    </row>
    <row r="889" spans="1:26">
      <c r="A889" s="112"/>
      <c r="B889" s="112"/>
      <c r="C889" s="112"/>
      <c r="D889" s="112"/>
      <c r="E889" s="112"/>
      <c r="F889" s="112"/>
      <c r="G889" s="112"/>
      <c r="H889" s="112"/>
      <c r="I889" s="112"/>
      <c r="J889" s="112"/>
      <c r="K889" s="112"/>
      <c r="L889" s="112"/>
      <c r="M889" s="112"/>
      <c r="N889" s="112"/>
      <c r="O889" s="112"/>
      <c r="P889" s="112"/>
      <c r="Q889" s="112"/>
      <c r="R889" s="112"/>
      <c r="S889" s="112"/>
      <c r="T889" s="112"/>
      <c r="U889" s="112"/>
      <c r="V889" s="112"/>
      <c r="W889" s="112"/>
      <c r="X889" s="112"/>
      <c r="Y889" s="112"/>
      <c r="Z889" s="112"/>
    </row>
    <row r="890" spans="1:26">
      <c r="A890" s="112"/>
      <c r="B890" s="112"/>
      <c r="C890" s="112"/>
      <c r="D890" s="112"/>
      <c r="E890" s="112"/>
      <c r="F890" s="112"/>
      <c r="G890" s="112"/>
      <c r="H890" s="112"/>
      <c r="I890" s="112"/>
      <c r="J890" s="112"/>
      <c r="K890" s="112"/>
      <c r="L890" s="112"/>
      <c r="M890" s="112"/>
      <c r="N890" s="112"/>
      <c r="O890" s="112"/>
      <c r="P890" s="112"/>
      <c r="Q890" s="112"/>
      <c r="R890" s="112"/>
      <c r="S890" s="112"/>
      <c r="T890" s="112"/>
      <c r="U890" s="112"/>
      <c r="V890" s="112"/>
      <c r="W890" s="112"/>
      <c r="X890" s="112"/>
      <c r="Y890" s="112"/>
      <c r="Z890" s="112"/>
    </row>
    <row r="891" spans="1:26">
      <c r="A891" s="112"/>
      <c r="B891" s="112"/>
      <c r="C891" s="112"/>
      <c r="D891" s="112"/>
      <c r="E891" s="112"/>
      <c r="F891" s="112"/>
      <c r="G891" s="112"/>
      <c r="H891" s="112"/>
      <c r="I891" s="112"/>
      <c r="J891" s="112"/>
      <c r="K891" s="112"/>
      <c r="L891" s="112"/>
      <c r="M891" s="112"/>
      <c r="N891" s="112"/>
      <c r="O891" s="112"/>
      <c r="P891" s="112"/>
      <c r="Q891" s="112"/>
      <c r="R891" s="112"/>
      <c r="S891" s="112"/>
      <c r="T891" s="112"/>
      <c r="U891" s="112"/>
      <c r="V891" s="112"/>
      <c r="W891" s="112"/>
      <c r="X891" s="112"/>
      <c r="Y891" s="112"/>
      <c r="Z891" s="112"/>
    </row>
    <row r="892" spans="1:26">
      <c r="A892" s="112"/>
      <c r="B892" s="112"/>
      <c r="C892" s="112"/>
      <c r="D892" s="112"/>
      <c r="E892" s="112"/>
      <c r="F892" s="112"/>
      <c r="G892" s="112"/>
      <c r="H892" s="112"/>
      <c r="I892" s="112"/>
      <c r="J892" s="112"/>
      <c r="K892" s="112"/>
      <c r="L892" s="112"/>
      <c r="M892" s="112"/>
      <c r="N892" s="112"/>
      <c r="O892" s="112"/>
      <c r="P892" s="112"/>
      <c r="Q892" s="112"/>
      <c r="R892" s="112"/>
      <c r="S892" s="112"/>
      <c r="T892" s="112"/>
      <c r="U892" s="112"/>
      <c r="V892" s="112"/>
      <c r="W892" s="112"/>
      <c r="X892" s="112"/>
      <c r="Y892" s="112"/>
      <c r="Z892" s="112"/>
    </row>
    <row r="893" spans="1:26">
      <c r="A893" s="112"/>
      <c r="B893" s="112"/>
      <c r="C893" s="112"/>
      <c r="D893" s="112"/>
      <c r="E893" s="112"/>
      <c r="F893" s="112"/>
      <c r="G893" s="112"/>
      <c r="H893" s="112"/>
      <c r="I893" s="112"/>
      <c r="J893" s="112"/>
      <c r="K893" s="112"/>
      <c r="L893" s="112"/>
      <c r="M893" s="112"/>
      <c r="N893" s="112"/>
      <c r="O893" s="112"/>
      <c r="P893" s="112"/>
      <c r="Q893" s="112"/>
      <c r="R893" s="112"/>
      <c r="S893" s="112"/>
      <c r="T893" s="112"/>
      <c r="U893" s="112"/>
      <c r="V893" s="112"/>
      <c r="W893" s="112"/>
      <c r="X893" s="112"/>
      <c r="Y893" s="112"/>
      <c r="Z893" s="112"/>
    </row>
    <row r="894" spans="1:26">
      <c r="A894" s="112"/>
      <c r="B894" s="112"/>
      <c r="C894" s="112"/>
      <c r="D894" s="112"/>
      <c r="E894" s="112"/>
      <c r="F894" s="112"/>
      <c r="G894" s="112"/>
      <c r="H894" s="112"/>
      <c r="I894" s="112"/>
      <c r="J894" s="112"/>
      <c r="K894" s="112"/>
      <c r="L894" s="112"/>
      <c r="M894" s="112"/>
      <c r="N894" s="112"/>
      <c r="O894" s="112"/>
      <c r="P894" s="112"/>
      <c r="Q894" s="112"/>
      <c r="R894" s="112"/>
      <c r="S894" s="112"/>
      <c r="T894" s="112"/>
      <c r="U894" s="112"/>
      <c r="V894" s="112"/>
      <c r="W894" s="112"/>
      <c r="X894" s="112"/>
      <c r="Y894" s="112"/>
      <c r="Z894" s="112"/>
    </row>
    <row r="895" spans="1:26">
      <c r="A895" s="112"/>
      <c r="B895" s="112"/>
      <c r="C895" s="112"/>
      <c r="D895" s="112"/>
      <c r="E895" s="112"/>
      <c r="F895" s="112"/>
      <c r="G895" s="112"/>
      <c r="H895" s="112"/>
      <c r="I895" s="112"/>
      <c r="J895" s="112"/>
      <c r="K895" s="112"/>
      <c r="L895" s="112"/>
      <c r="M895" s="112"/>
      <c r="N895" s="112"/>
      <c r="O895" s="112"/>
      <c r="P895" s="112"/>
      <c r="Q895" s="112"/>
      <c r="R895" s="112"/>
      <c r="S895" s="112"/>
      <c r="T895" s="112"/>
      <c r="U895" s="112"/>
      <c r="V895" s="112"/>
      <c r="W895" s="112"/>
      <c r="X895" s="112"/>
      <c r="Y895" s="112"/>
      <c r="Z895" s="112"/>
    </row>
    <row r="896" spans="1:26">
      <c r="A896" s="112"/>
      <c r="B896" s="112"/>
      <c r="C896" s="112"/>
      <c r="D896" s="112"/>
      <c r="E896" s="112"/>
      <c r="F896" s="112"/>
      <c r="G896" s="112"/>
      <c r="H896" s="112"/>
      <c r="I896" s="112"/>
      <c r="J896" s="112"/>
      <c r="K896" s="112"/>
      <c r="L896" s="112"/>
      <c r="M896" s="112"/>
      <c r="N896" s="112"/>
      <c r="O896" s="112"/>
      <c r="P896" s="112"/>
      <c r="Q896" s="112"/>
      <c r="R896" s="112"/>
      <c r="S896" s="112"/>
      <c r="T896" s="112"/>
      <c r="U896" s="112"/>
      <c r="V896" s="112"/>
      <c r="W896" s="112"/>
      <c r="X896" s="112"/>
      <c r="Y896" s="112"/>
      <c r="Z896" s="112"/>
    </row>
    <row r="897" spans="1:26">
      <c r="A897" s="112"/>
      <c r="B897" s="112"/>
      <c r="C897" s="112"/>
      <c r="D897" s="112"/>
      <c r="E897" s="112"/>
      <c r="F897" s="112"/>
      <c r="G897" s="112"/>
      <c r="H897" s="112"/>
      <c r="I897" s="112"/>
      <c r="J897" s="112"/>
      <c r="K897" s="112"/>
      <c r="L897" s="112"/>
      <c r="M897" s="112"/>
      <c r="N897" s="112"/>
      <c r="O897" s="112"/>
      <c r="P897" s="112"/>
      <c r="Q897" s="112"/>
      <c r="R897" s="112"/>
      <c r="S897" s="112"/>
      <c r="T897" s="112"/>
      <c r="U897" s="112"/>
      <c r="V897" s="112"/>
      <c r="W897" s="112"/>
      <c r="X897" s="112"/>
      <c r="Y897" s="112"/>
      <c r="Z897" s="112"/>
    </row>
    <row r="898" spans="1:26">
      <c r="A898" s="112"/>
      <c r="B898" s="112"/>
      <c r="C898" s="112"/>
      <c r="D898" s="112"/>
      <c r="E898" s="112"/>
      <c r="F898" s="112"/>
      <c r="G898" s="112"/>
      <c r="H898" s="112"/>
      <c r="I898" s="112"/>
      <c r="J898" s="112"/>
      <c r="K898" s="112"/>
      <c r="L898" s="112"/>
      <c r="M898" s="112"/>
      <c r="N898" s="112"/>
      <c r="O898" s="112"/>
      <c r="P898" s="112"/>
      <c r="Q898" s="112"/>
      <c r="R898" s="112"/>
      <c r="S898" s="112"/>
      <c r="T898" s="112"/>
      <c r="U898" s="112"/>
      <c r="V898" s="112"/>
      <c r="W898" s="112"/>
      <c r="X898" s="112"/>
      <c r="Y898" s="112"/>
      <c r="Z898" s="112"/>
    </row>
    <row r="899" spans="1:26">
      <c r="A899" s="112"/>
      <c r="B899" s="112"/>
      <c r="C899" s="112"/>
      <c r="D899" s="112"/>
      <c r="E899" s="112"/>
      <c r="F899" s="112"/>
      <c r="G899" s="112"/>
      <c r="H899" s="112"/>
      <c r="I899" s="112"/>
      <c r="J899" s="112"/>
      <c r="K899" s="112"/>
      <c r="L899" s="112"/>
      <c r="M899" s="112"/>
      <c r="N899" s="112"/>
      <c r="O899" s="112"/>
      <c r="P899" s="112"/>
      <c r="Q899" s="112"/>
      <c r="R899" s="112"/>
      <c r="S899" s="112"/>
      <c r="T899" s="112"/>
      <c r="U899" s="112"/>
      <c r="V899" s="112"/>
      <c r="W899" s="112"/>
      <c r="X899" s="112"/>
      <c r="Y899" s="112"/>
      <c r="Z899" s="112"/>
    </row>
    <row r="900" spans="1:26">
      <c r="A900" s="112"/>
      <c r="B900" s="112"/>
      <c r="C900" s="112"/>
      <c r="D900" s="112"/>
      <c r="E900" s="112"/>
      <c r="F900" s="112"/>
      <c r="G900" s="112"/>
      <c r="H900" s="112"/>
      <c r="I900" s="112"/>
      <c r="J900" s="112"/>
      <c r="K900" s="112"/>
      <c r="L900" s="112"/>
      <c r="M900" s="112"/>
      <c r="N900" s="112"/>
      <c r="O900" s="112"/>
      <c r="P900" s="112"/>
      <c r="Q900" s="112"/>
      <c r="R900" s="112"/>
      <c r="S900" s="112"/>
      <c r="T900" s="112"/>
      <c r="U900" s="112"/>
      <c r="V900" s="112"/>
      <c r="W900" s="112"/>
      <c r="X900" s="112"/>
      <c r="Y900" s="112"/>
      <c r="Z900" s="112"/>
    </row>
    <row r="901" spans="1:26">
      <c r="A901" s="112"/>
      <c r="B901" s="112"/>
      <c r="C901" s="112"/>
      <c r="D901" s="112"/>
      <c r="E901" s="112"/>
      <c r="F901" s="112"/>
      <c r="G901" s="112"/>
      <c r="H901" s="112"/>
      <c r="I901" s="112"/>
      <c r="J901" s="112"/>
      <c r="K901" s="112"/>
      <c r="L901" s="112"/>
      <c r="M901" s="112"/>
      <c r="N901" s="112"/>
      <c r="O901" s="112"/>
      <c r="P901" s="112"/>
      <c r="Q901" s="112"/>
      <c r="R901" s="112"/>
      <c r="S901" s="112"/>
      <c r="T901" s="112"/>
      <c r="U901" s="112"/>
      <c r="V901" s="112"/>
      <c r="W901" s="112"/>
      <c r="X901" s="112"/>
      <c r="Y901" s="112"/>
      <c r="Z901" s="112"/>
    </row>
    <row r="902" spans="1:26">
      <c r="A902" s="112"/>
      <c r="B902" s="112"/>
      <c r="C902" s="112"/>
      <c r="D902" s="112"/>
      <c r="E902" s="112"/>
      <c r="F902" s="112"/>
      <c r="G902" s="112"/>
      <c r="H902" s="112"/>
      <c r="I902" s="112"/>
      <c r="J902" s="112"/>
      <c r="K902" s="112"/>
      <c r="L902" s="112"/>
      <c r="M902" s="112"/>
      <c r="N902" s="112"/>
      <c r="O902" s="112"/>
      <c r="P902" s="112"/>
      <c r="Q902" s="112"/>
      <c r="R902" s="112"/>
      <c r="S902" s="112"/>
      <c r="T902" s="112"/>
      <c r="U902" s="112"/>
      <c r="V902" s="112"/>
      <c r="W902" s="112"/>
      <c r="X902" s="112"/>
      <c r="Y902" s="112"/>
      <c r="Z902" s="112"/>
    </row>
    <row r="903" spans="1:26">
      <c r="A903" s="112"/>
      <c r="B903" s="112"/>
      <c r="C903" s="112"/>
      <c r="D903" s="112"/>
      <c r="E903" s="112"/>
      <c r="F903" s="112"/>
      <c r="G903" s="112"/>
      <c r="H903" s="112"/>
      <c r="I903" s="112"/>
      <c r="J903" s="112"/>
      <c r="K903" s="112"/>
      <c r="L903" s="112"/>
      <c r="M903" s="112"/>
      <c r="N903" s="112"/>
      <c r="O903" s="112"/>
      <c r="P903" s="112"/>
      <c r="Q903" s="112"/>
      <c r="R903" s="112"/>
      <c r="S903" s="112"/>
      <c r="T903" s="112"/>
      <c r="U903" s="112"/>
      <c r="V903" s="112"/>
      <c r="W903" s="112"/>
      <c r="X903" s="112"/>
      <c r="Y903" s="112"/>
      <c r="Z903" s="112"/>
    </row>
    <row r="904" spans="1:26">
      <c r="A904" s="112"/>
      <c r="B904" s="112"/>
      <c r="C904" s="112"/>
      <c r="D904" s="112"/>
      <c r="E904" s="112"/>
      <c r="F904" s="112"/>
      <c r="G904" s="112"/>
      <c r="H904" s="112"/>
      <c r="I904" s="112"/>
      <c r="J904" s="112"/>
      <c r="K904" s="112"/>
      <c r="L904" s="112"/>
      <c r="M904" s="112"/>
      <c r="N904" s="112"/>
      <c r="O904" s="112"/>
      <c r="P904" s="112"/>
      <c r="Q904" s="112"/>
      <c r="R904" s="112"/>
      <c r="S904" s="112"/>
      <c r="T904" s="112"/>
      <c r="U904" s="112"/>
      <c r="V904" s="112"/>
      <c r="W904" s="112"/>
      <c r="X904" s="112"/>
      <c r="Y904" s="112"/>
      <c r="Z904" s="112"/>
    </row>
    <row r="905" spans="1:26">
      <c r="A905" s="112"/>
      <c r="B905" s="112"/>
      <c r="C905" s="112"/>
      <c r="D905" s="112"/>
      <c r="E905" s="112"/>
      <c r="F905" s="112"/>
      <c r="G905" s="112"/>
      <c r="H905" s="112"/>
      <c r="I905" s="112"/>
      <c r="J905" s="112"/>
      <c r="K905" s="112"/>
      <c r="L905" s="112"/>
      <c r="M905" s="112"/>
      <c r="N905" s="112"/>
      <c r="O905" s="112"/>
      <c r="P905" s="112"/>
      <c r="Q905" s="112"/>
      <c r="R905" s="112"/>
      <c r="S905" s="112"/>
      <c r="T905" s="112"/>
      <c r="U905" s="112"/>
      <c r="V905" s="112"/>
      <c r="W905" s="112"/>
      <c r="X905" s="112"/>
      <c r="Y905" s="112"/>
      <c r="Z905" s="112"/>
    </row>
    <row r="906" spans="1:26">
      <c r="A906" s="112"/>
      <c r="B906" s="112"/>
      <c r="C906" s="112"/>
      <c r="D906" s="112"/>
      <c r="E906" s="112"/>
      <c r="F906" s="112"/>
      <c r="G906" s="112"/>
      <c r="H906" s="112"/>
      <c r="I906" s="112"/>
      <c r="J906" s="112"/>
      <c r="K906" s="112"/>
      <c r="L906" s="112"/>
      <c r="M906" s="112"/>
      <c r="N906" s="112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  <c r="Y906" s="112"/>
      <c r="Z906" s="112"/>
    </row>
    <row r="907" spans="1:26">
      <c r="A907" s="112"/>
      <c r="B907" s="112"/>
      <c r="C907" s="112"/>
      <c r="D907" s="112"/>
      <c r="E907" s="112"/>
      <c r="F907" s="112"/>
      <c r="G907" s="112"/>
      <c r="H907" s="112"/>
      <c r="I907" s="112"/>
      <c r="J907" s="112"/>
      <c r="K907" s="112"/>
      <c r="L907" s="112"/>
      <c r="M907" s="112"/>
      <c r="N907" s="112"/>
      <c r="O907" s="112"/>
      <c r="P907" s="112"/>
      <c r="Q907" s="112"/>
      <c r="R907" s="112"/>
      <c r="S907" s="112"/>
      <c r="T907" s="112"/>
      <c r="U907" s="112"/>
      <c r="V907" s="112"/>
      <c r="W907" s="112"/>
      <c r="X907" s="112"/>
      <c r="Y907" s="112"/>
      <c r="Z907" s="112"/>
    </row>
    <row r="908" spans="1:26">
      <c r="A908" s="112"/>
      <c r="B908" s="112"/>
      <c r="C908" s="112"/>
      <c r="D908" s="112"/>
      <c r="E908" s="112"/>
      <c r="F908" s="112"/>
      <c r="G908" s="112"/>
      <c r="H908" s="112"/>
      <c r="I908" s="112"/>
      <c r="J908" s="112"/>
      <c r="K908" s="112"/>
      <c r="L908" s="112"/>
      <c r="M908" s="112"/>
      <c r="N908" s="112"/>
      <c r="O908" s="112"/>
      <c r="P908" s="112"/>
      <c r="Q908" s="112"/>
      <c r="R908" s="112"/>
      <c r="S908" s="112"/>
      <c r="T908" s="112"/>
      <c r="U908" s="112"/>
      <c r="V908" s="112"/>
      <c r="W908" s="112"/>
      <c r="X908" s="112"/>
      <c r="Y908" s="112"/>
      <c r="Z908" s="112"/>
    </row>
    <row r="909" spans="1:26">
      <c r="A909" s="112"/>
      <c r="B909" s="112"/>
      <c r="C909" s="112"/>
      <c r="D909" s="112"/>
      <c r="E909" s="112"/>
      <c r="F909" s="112"/>
      <c r="G909" s="112"/>
      <c r="H909" s="112"/>
      <c r="I909" s="112"/>
      <c r="J909" s="112"/>
      <c r="K909" s="112"/>
      <c r="L909" s="112"/>
      <c r="M909" s="112"/>
      <c r="N909" s="112"/>
      <c r="O909" s="112"/>
      <c r="P909" s="112"/>
      <c r="Q909" s="112"/>
      <c r="R909" s="112"/>
      <c r="S909" s="112"/>
      <c r="T909" s="112"/>
      <c r="U909" s="112"/>
      <c r="V909" s="112"/>
      <c r="W909" s="112"/>
      <c r="X909" s="112"/>
      <c r="Y909" s="112"/>
      <c r="Z909" s="112"/>
    </row>
    <row r="910" spans="1:26">
      <c r="A910" s="112"/>
      <c r="B910" s="112"/>
      <c r="C910" s="112"/>
      <c r="D910" s="112"/>
      <c r="E910" s="112"/>
      <c r="F910" s="112"/>
      <c r="G910" s="112"/>
      <c r="H910" s="112"/>
      <c r="I910" s="112"/>
      <c r="J910" s="112"/>
      <c r="K910" s="112"/>
      <c r="L910" s="112"/>
      <c r="M910" s="112"/>
      <c r="N910" s="112"/>
      <c r="O910" s="112"/>
      <c r="P910" s="112"/>
      <c r="Q910" s="112"/>
      <c r="R910" s="112"/>
      <c r="S910" s="112"/>
      <c r="T910" s="112"/>
      <c r="U910" s="112"/>
      <c r="V910" s="112"/>
      <c r="W910" s="112"/>
      <c r="X910" s="112"/>
      <c r="Y910" s="112"/>
      <c r="Z910" s="112"/>
    </row>
    <row r="911" spans="1:26">
      <c r="A911" s="112"/>
      <c r="B911" s="112"/>
      <c r="C911" s="112"/>
      <c r="D911" s="112"/>
      <c r="E911" s="112"/>
      <c r="F911" s="112"/>
      <c r="G911" s="112"/>
      <c r="H911" s="112"/>
      <c r="I911" s="112"/>
      <c r="J911" s="112"/>
      <c r="K911" s="112"/>
      <c r="L911" s="112"/>
      <c r="M911" s="112"/>
      <c r="N911" s="112"/>
      <c r="O911" s="112"/>
      <c r="P911" s="112"/>
      <c r="Q911" s="112"/>
      <c r="R911" s="112"/>
      <c r="S911" s="112"/>
      <c r="T911" s="112"/>
      <c r="U911" s="112"/>
      <c r="V911" s="112"/>
      <c r="W911" s="112"/>
      <c r="X911" s="112"/>
      <c r="Y911" s="112"/>
      <c r="Z911" s="112"/>
    </row>
    <row r="912" spans="1:26">
      <c r="A912" s="112"/>
      <c r="B912" s="112"/>
      <c r="C912" s="112"/>
      <c r="D912" s="112"/>
      <c r="E912" s="112"/>
      <c r="F912" s="112"/>
      <c r="G912" s="112"/>
      <c r="H912" s="112"/>
      <c r="I912" s="112"/>
      <c r="J912" s="112"/>
      <c r="K912" s="112"/>
      <c r="L912" s="112"/>
      <c r="M912" s="112"/>
      <c r="N912" s="112"/>
      <c r="O912" s="112"/>
      <c r="P912" s="112"/>
      <c r="Q912" s="112"/>
      <c r="R912" s="112"/>
      <c r="S912" s="112"/>
      <c r="T912" s="112"/>
      <c r="U912" s="112"/>
      <c r="V912" s="112"/>
      <c r="W912" s="112"/>
      <c r="X912" s="112"/>
      <c r="Y912" s="112"/>
      <c r="Z912" s="112"/>
    </row>
    <row r="913" spans="1:26">
      <c r="A913" s="112"/>
      <c r="B913" s="112"/>
      <c r="C913" s="112"/>
      <c r="D913" s="112"/>
      <c r="E913" s="112"/>
      <c r="F913" s="112"/>
      <c r="G913" s="112"/>
      <c r="H913" s="112"/>
      <c r="I913" s="112"/>
      <c r="J913" s="112"/>
      <c r="K913" s="112"/>
      <c r="L913" s="112"/>
      <c r="M913" s="112"/>
      <c r="N913" s="112"/>
      <c r="O913" s="112"/>
      <c r="P913" s="112"/>
      <c r="Q913" s="112"/>
      <c r="R913" s="112"/>
      <c r="S913" s="112"/>
      <c r="T913" s="112"/>
      <c r="U913" s="112"/>
      <c r="V913" s="112"/>
      <c r="W913" s="112"/>
      <c r="X913" s="112"/>
      <c r="Y913" s="112"/>
      <c r="Z913" s="112"/>
    </row>
    <row r="914" spans="1:26">
      <c r="A914" s="112"/>
      <c r="B914" s="112"/>
      <c r="C914" s="112"/>
      <c r="D914" s="112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</row>
    <row r="915" spans="1:26">
      <c r="A915" s="112"/>
      <c r="B915" s="112"/>
      <c r="C915" s="112"/>
      <c r="D915" s="112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</row>
    <row r="916" spans="1:26">
      <c r="A916" s="112"/>
      <c r="B916" s="112"/>
      <c r="C916" s="112"/>
      <c r="D916" s="112"/>
      <c r="E916" s="112"/>
      <c r="F916" s="112"/>
      <c r="G916" s="112"/>
      <c r="H916" s="112"/>
      <c r="I916" s="112"/>
      <c r="J916" s="112"/>
      <c r="K916" s="112"/>
      <c r="L916" s="112"/>
      <c r="M916" s="112"/>
      <c r="N916" s="112"/>
      <c r="O916" s="112"/>
      <c r="P916" s="112"/>
      <c r="Q916" s="112"/>
      <c r="R916" s="112"/>
      <c r="S916" s="112"/>
      <c r="T916" s="112"/>
      <c r="U916" s="112"/>
      <c r="V916" s="112"/>
      <c r="W916" s="112"/>
      <c r="X916" s="112"/>
      <c r="Y916" s="112"/>
      <c r="Z916" s="112"/>
    </row>
    <row r="917" spans="1:26">
      <c r="A917" s="112"/>
      <c r="B917" s="112"/>
      <c r="C917" s="112"/>
      <c r="D917" s="112"/>
      <c r="E917" s="112"/>
      <c r="F917" s="112"/>
      <c r="G917" s="112"/>
      <c r="H917" s="112"/>
      <c r="I917" s="112"/>
      <c r="J917" s="112"/>
      <c r="K917" s="112"/>
      <c r="L917" s="112"/>
      <c r="M917" s="112"/>
      <c r="N917" s="112"/>
      <c r="O917" s="112"/>
      <c r="P917" s="112"/>
      <c r="Q917" s="112"/>
      <c r="R917" s="112"/>
      <c r="S917" s="112"/>
      <c r="T917" s="112"/>
      <c r="U917" s="112"/>
      <c r="V917" s="112"/>
      <c r="W917" s="112"/>
      <c r="X917" s="112"/>
      <c r="Y917" s="112"/>
      <c r="Z917" s="112"/>
    </row>
    <row r="918" spans="1:26">
      <c r="A918" s="112"/>
      <c r="B918" s="112"/>
      <c r="C918" s="112"/>
      <c r="D918" s="112"/>
      <c r="E918" s="112"/>
      <c r="F918" s="112"/>
      <c r="G918" s="112"/>
      <c r="H918" s="112"/>
      <c r="I918" s="112"/>
      <c r="J918" s="112"/>
      <c r="K918" s="112"/>
      <c r="L918" s="112"/>
      <c r="M918" s="112"/>
      <c r="N918" s="112"/>
      <c r="O918" s="112"/>
      <c r="P918" s="112"/>
      <c r="Q918" s="112"/>
      <c r="R918" s="112"/>
      <c r="S918" s="112"/>
      <c r="T918" s="112"/>
      <c r="U918" s="112"/>
      <c r="V918" s="112"/>
      <c r="W918" s="112"/>
      <c r="X918" s="112"/>
      <c r="Y918" s="112"/>
      <c r="Z918" s="112"/>
    </row>
    <row r="919" spans="1:26">
      <c r="A919" s="112"/>
      <c r="B919" s="112"/>
      <c r="C919" s="112"/>
      <c r="D919" s="112"/>
      <c r="E919" s="112"/>
      <c r="F919" s="112"/>
      <c r="G919" s="112"/>
      <c r="H919" s="112"/>
      <c r="I919" s="112"/>
      <c r="J919" s="112"/>
      <c r="K919" s="112"/>
      <c r="L919" s="112"/>
      <c r="M919" s="112"/>
      <c r="N919" s="112"/>
      <c r="O919" s="112"/>
      <c r="P919" s="112"/>
      <c r="Q919" s="112"/>
      <c r="R919" s="112"/>
      <c r="S919" s="112"/>
      <c r="T919" s="112"/>
      <c r="U919" s="112"/>
      <c r="V919" s="112"/>
      <c r="W919" s="112"/>
      <c r="X919" s="112"/>
      <c r="Y919" s="112"/>
      <c r="Z919" s="112"/>
    </row>
    <row r="920" spans="1:26">
      <c r="A920" s="112"/>
      <c r="B920" s="112"/>
      <c r="C920" s="112"/>
      <c r="D920" s="112"/>
      <c r="E920" s="112"/>
      <c r="F920" s="112"/>
      <c r="G920" s="112"/>
      <c r="H920" s="112"/>
      <c r="I920" s="112"/>
      <c r="J920" s="112"/>
      <c r="K920" s="112"/>
      <c r="L920" s="112"/>
      <c r="M920" s="112"/>
      <c r="N920" s="112"/>
      <c r="O920" s="112"/>
      <c r="P920" s="112"/>
      <c r="Q920" s="112"/>
      <c r="R920" s="112"/>
      <c r="S920" s="112"/>
      <c r="T920" s="112"/>
      <c r="U920" s="112"/>
      <c r="V920" s="112"/>
      <c r="W920" s="112"/>
      <c r="X920" s="112"/>
      <c r="Y920" s="112"/>
      <c r="Z920" s="112"/>
    </row>
    <row r="921" spans="1:26">
      <c r="A921" s="112"/>
      <c r="B921" s="112"/>
      <c r="C921" s="112"/>
      <c r="D921" s="112"/>
      <c r="E921" s="112"/>
      <c r="F921" s="112"/>
      <c r="G921" s="112"/>
      <c r="H921" s="112"/>
      <c r="I921" s="112"/>
      <c r="J921" s="112"/>
      <c r="K921" s="112"/>
      <c r="L921" s="112"/>
      <c r="M921" s="112"/>
      <c r="N921" s="112"/>
      <c r="O921" s="112"/>
      <c r="P921" s="112"/>
      <c r="Q921" s="112"/>
      <c r="R921" s="112"/>
      <c r="S921" s="112"/>
      <c r="T921" s="112"/>
      <c r="U921" s="112"/>
      <c r="V921" s="112"/>
      <c r="W921" s="112"/>
      <c r="X921" s="112"/>
      <c r="Y921" s="112"/>
      <c r="Z921" s="112"/>
    </row>
    <row r="922" spans="1:26">
      <c r="A922" s="112"/>
      <c r="B922" s="112"/>
      <c r="C922" s="112"/>
      <c r="D922" s="112"/>
      <c r="E922" s="112"/>
      <c r="F922" s="112"/>
      <c r="G922" s="112"/>
      <c r="H922" s="112"/>
      <c r="I922" s="112"/>
      <c r="J922" s="112"/>
      <c r="K922" s="112"/>
      <c r="L922" s="112"/>
      <c r="M922" s="112"/>
      <c r="N922" s="112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  <c r="Y922" s="112"/>
      <c r="Z922" s="112"/>
    </row>
    <row r="923" spans="1:26">
      <c r="A923" s="112"/>
      <c r="B923" s="112"/>
      <c r="C923" s="112"/>
      <c r="D923" s="112"/>
      <c r="E923" s="112"/>
      <c r="F923" s="112"/>
      <c r="G923" s="112"/>
      <c r="H923" s="112"/>
      <c r="I923" s="112"/>
      <c r="J923" s="112"/>
      <c r="K923" s="112"/>
      <c r="L923" s="112"/>
      <c r="M923" s="112"/>
      <c r="N923" s="112"/>
      <c r="O923" s="112"/>
      <c r="P923" s="112"/>
      <c r="Q923" s="112"/>
      <c r="R923" s="112"/>
      <c r="S923" s="112"/>
      <c r="T923" s="112"/>
      <c r="U923" s="112"/>
      <c r="V923" s="112"/>
      <c r="W923" s="112"/>
      <c r="X923" s="112"/>
      <c r="Y923" s="112"/>
      <c r="Z923" s="112"/>
    </row>
    <row r="924" spans="1:26">
      <c r="A924" s="112"/>
      <c r="B924" s="112"/>
      <c r="C924" s="112"/>
      <c r="D924" s="112"/>
      <c r="E924" s="112"/>
      <c r="F924" s="112"/>
      <c r="G924" s="112"/>
      <c r="H924" s="112"/>
      <c r="I924" s="112"/>
      <c r="J924" s="112"/>
      <c r="K924" s="112"/>
      <c r="L924" s="112"/>
      <c r="M924" s="112"/>
      <c r="N924" s="112"/>
      <c r="O924" s="112"/>
      <c r="P924" s="112"/>
      <c r="Q924" s="112"/>
      <c r="R924" s="112"/>
      <c r="S924" s="112"/>
      <c r="T924" s="112"/>
      <c r="U924" s="112"/>
      <c r="V924" s="112"/>
      <c r="W924" s="112"/>
      <c r="X924" s="112"/>
      <c r="Y924" s="112"/>
      <c r="Z924" s="112"/>
    </row>
    <row r="925" spans="1:26">
      <c r="A925" s="112"/>
      <c r="B925" s="112"/>
      <c r="C925" s="112"/>
      <c r="D925" s="112"/>
      <c r="E925" s="112"/>
      <c r="F925" s="112"/>
      <c r="G925" s="112"/>
      <c r="H925" s="112"/>
      <c r="I925" s="112"/>
      <c r="J925" s="112"/>
      <c r="K925" s="112"/>
      <c r="L925" s="112"/>
      <c r="M925" s="112"/>
      <c r="N925" s="112"/>
      <c r="O925" s="112"/>
      <c r="P925" s="112"/>
      <c r="Q925" s="112"/>
      <c r="R925" s="112"/>
      <c r="S925" s="112"/>
      <c r="T925" s="112"/>
      <c r="U925" s="112"/>
      <c r="V925" s="112"/>
      <c r="W925" s="112"/>
      <c r="X925" s="112"/>
      <c r="Y925" s="112"/>
      <c r="Z925" s="112"/>
    </row>
    <row r="926" spans="1:26">
      <c r="A926" s="112"/>
      <c r="B926" s="112"/>
      <c r="C926" s="112"/>
      <c r="D926" s="112"/>
      <c r="E926" s="112"/>
      <c r="F926" s="112"/>
      <c r="G926" s="112"/>
      <c r="H926" s="112"/>
      <c r="I926" s="112"/>
      <c r="J926" s="112"/>
      <c r="K926" s="112"/>
      <c r="L926" s="112"/>
      <c r="M926" s="112"/>
      <c r="N926" s="112"/>
      <c r="O926" s="112"/>
      <c r="P926" s="112"/>
      <c r="Q926" s="112"/>
      <c r="R926" s="112"/>
      <c r="S926" s="112"/>
      <c r="T926" s="112"/>
      <c r="U926" s="112"/>
      <c r="V926" s="112"/>
      <c r="W926" s="112"/>
      <c r="X926" s="112"/>
      <c r="Y926" s="112"/>
      <c r="Z926" s="112"/>
    </row>
    <row r="927" spans="1:26">
      <c r="A927" s="112"/>
      <c r="B927" s="112"/>
      <c r="C927" s="112"/>
      <c r="D927" s="112"/>
      <c r="E927" s="112"/>
      <c r="F927" s="112"/>
      <c r="G927" s="112"/>
      <c r="H927" s="112"/>
      <c r="I927" s="112"/>
      <c r="J927" s="112"/>
      <c r="K927" s="112"/>
      <c r="L927" s="112"/>
      <c r="M927" s="112"/>
      <c r="N927" s="112"/>
      <c r="O927" s="112"/>
      <c r="P927" s="112"/>
      <c r="Q927" s="112"/>
      <c r="R927" s="112"/>
      <c r="S927" s="112"/>
      <c r="T927" s="112"/>
      <c r="U927" s="112"/>
      <c r="V927" s="112"/>
      <c r="W927" s="112"/>
      <c r="X927" s="112"/>
      <c r="Y927" s="112"/>
      <c r="Z927" s="112"/>
    </row>
    <row r="928" spans="1:26">
      <c r="A928" s="112"/>
      <c r="B928" s="112"/>
      <c r="C928" s="112"/>
      <c r="D928" s="112"/>
      <c r="E928" s="112"/>
      <c r="F928" s="112"/>
      <c r="G928" s="112"/>
      <c r="H928" s="112"/>
      <c r="I928" s="112"/>
      <c r="J928" s="112"/>
      <c r="K928" s="112"/>
      <c r="L928" s="112"/>
      <c r="M928" s="112"/>
      <c r="N928" s="112"/>
      <c r="O928" s="112"/>
      <c r="P928" s="112"/>
      <c r="Q928" s="112"/>
      <c r="R928" s="112"/>
      <c r="S928" s="112"/>
      <c r="T928" s="112"/>
      <c r="U928" s="112"/>
      <c r="V928" s="112"/>
      <c r="W928" s="112"/>
      <c r="X928" s="112"/>
      <c r="Y928" s="112"/>
      <c r="Z928" s="112"/>
    </row>
    <row r="929" spans="1:26">
      <c r="A929" s="112"/>
      <c r="B929" s="112"/>
      <c r="C929" s="112"/>
      <c r="D929" s="112"/>
      <c r="E929" s="112"/>
      <c r="F929" s="112"/>
      <c r="G929" s="112"/>
      <c r="H929" s="112"/>
      <c r="I929" s="112"/>
      <c r="J929" s="112"/>
      <c r="K929" s="112"/>
      <c r="L929" s="112"/>
      <c r="M929" s="112"/>
      <c r="N929" s="112"/>
      <c r="O929" s="112"/>
      <c r="P929" s="112"/>
      <c r="Q929" s="112"/>
      <c r="R929" s="112"/>
      <c r="S929" s="112"/>
      <c r="T929" s="112"/>
      <c r="U929" s="112"/>
      <c r="V929" s="112"/>
      <c r="W929" s="112"/>
      <c r="X929" s="112"/>
      <c r="Y929" s="112"/>
      <c r="Z929" s="112"/>
    </row>
    <row r="930" spans="1:26">
      <c r="A930" s="112"/>
      <c r="B930" s="112"/>
      <c r="C930" s="112"/>
      <c r="D930" s="112"/>
      <c r="E930" s="112"/>
      <c r="F930" s="112"/>
      <c r="G930" s="112"/>
      <c r="H930" s="112"/>
      <c r="I930" s="112"/>
      <c r="J930" s="112"/>
      <c r="K930" s="112"/>
      <c r="L930" s="112"/>
      <c r="M930" s="112"/>
      <c r="N930" s="112"/>
      <c r="O930" s="112"/>
      <c r="P930" s="112"/>
      <c r="Q930" s="112"/>
      <c r="R930" s="112"/>
      <c r="S930" s="112"/>
      <c r="T930" s="112"/>
      <c r="U930" s="112"/>
      <c r="V930" s="112"/>
      <c r="W930" s="112"/>
      <c r="X930" s="112"/>
      <c r="Y930" s="112"/>
      <c r="Z930" s="112"/>
    </row>
    <row r="931" spans="1:26">
      <c r="A931" s="112"/>
      <c r="B931" s="112"/>
      <c r="C931" s="112"/>
      <c r="D931" s="112"/>
      <c r="E931" s="112"/>
      <c r="F931" s="112"/>
      <c r="G931" s="112"/>
      <c r="H931" s="112"/>
      <c r="I931" s="112"/>
      <c r="J931" s="112"/>
      <c r="K931" s="112"/>
      <c r="L931" s="112"/>
      <c r="M931" s="112"/>
      <c r="N931" s="112"/>
      <c r="O931" s="112"/>
      <c r="P931" s="112"/>
      <c r="Q931" s="112"/>
      <c r="R931" s="112"/>
      <c r="S931" s="112"/>
      <c r="T931" s="112"/>
      <c r="U931" s="112"/>
      <c r="V931" s="112"/>
      <c r="W931" s="112"/>
      <c r="X931" s="112"/>
      <c r="Y931" s="112"/>
      <c r="Z931" s="112"/>
    </row>
    <row r="932" spans="1:26">
      <c r="A932" s="112"/>
      <c r="B932" s="112"/>
      <c r="C932" s="112"/>
      <c r="D932" s="112"/>
      <c r="E932" s="112"/>
      <c r="F932" s="112"/>
      <c r="G932" s="112"/>
      <c r="H932" s="112"/>
      <c r="I932" s="112"/>
      <c r="J932" s="112"/>
      <c r="K932" s="112"/>
      <c r="L932" s="112"/>
      <c r="M932" s="112"/>
      <c r="N932" s="112"/>
      <c r="O932" s="112"/>
      <c r="P932" s="112"/>
      <c r="Q932" s="112"/>
      <c r="R932" s="112"/>
      <c r="S932" s="112"/>
      <c r="T932" s="112"/>
      <c r="U932" s="112"/>
      <c r="V932" s="112"/>
      <c r="W932" s="112"/>
      <c r="X932" s="112"/>
      <c r="Y932" s="112"/>
      <c r="Z932" s="112"/>
    </row>
    <row r="933" spans="1:26">
      <c r="A933" s="112"/>
      <c r="B933" s="112"/>
      <c r="C933" s="112"/>
      <c r="D933" s="112"/>
      <c r="E933" s="112"/>
      <c r="F933" s="112"/>
      <c r="G933" s="112"/>
      <c r="H933" s="112"/>
      <c r="I933" s="112"/>
      <c r="J933" s="112"/>
      <c r="K933" s="112"/>
      <c r="L933" s="112"/>
      <c r="M933" s="112"/>
      <c r="N933" s="112"/>
      <c r="O933" s="112"/>
      <c r="P933" s="112"/>
      <c r="Q933" s="112"/>
      <c r="R933" s="112"/>
      <c r="S933" s="112"/>
      <c r="T933" s="112"/>
      <c r="U933" s="112"/>
      <c r="V933" s="112"/>
      <c r="W933" s="112"/>
      <c r="X933" s="112"/>
      <c r="Y933" s="112"/>
      <c r="Z933" s="112"/>
    </row>
    <row r="934" spans="1:26">
      <c r="A934" s="112"/>
      <c r="B934" s="112"/>
      <c r="C934" s="112"/>
      <c r="D934" s="112"/>
      <c r="E934" s="112"/>
      <c r="F934" s="112"/>
      <c r="G934" s="112"/>
      <c r="H934" s="112"/>
      <c r="I934" s="112"/>
      <c r="J934" s="112"/>
      <c r="K934" s="112"/>
      <c r="L934" s="112"/>
      <c r="M934" s="112"/>
      <c r="N934" s="112"/>
      <c r="O934" s="112"/>
      <c r="P934" s="112"/>
      <c r="Q934" s="112"/>
      <c r="R934" s="112"/>
      <c r="S934" s="112"/>
      <c r="T934" s="112"/>
      <c r="U934" s="112"/>
      <c r="V934" s="112"/>
      <c r="W934" s="112"/>
      <c r="X934" s="112"/>
      <c r="Y934" s="112"/>
      <c r="Z934" s="112"/>
    </row>
    <row r="935" spans="1:26">
      <c r="A935" s="112"/>
      <c r="B935" s="112"/>
      <c r="C935" s="112"/>
      <c r="D935" s="112"/>
      <c r="E935" s="112"/>
      <c r="F935" s="112"/>
      <c r="G935" s="112"/>
      <c r="H935" s="112"/>
      <c r="I935" s="112"/>
      <c r="J935" s="112"/>
      <c r="K935" s="112"/>
      <c r="L935" s="112"/>
      <c r="M935" s="112"/>
      <c r="N935" s="112"/>
      <c r="O935" s="112"/>
      <c r="P935" s="112"/>
      <c r="Q935" s="112"/>
      <c r="R935" s="112"/>
      <c r="S935" s="112"/>
      <c r="T935" s="112"/>
      <c r="U935" s="112"/>
      <c r="V935" s="112"/>
      <c r="W935" s="112"/>
      <c r="X935" s="112"/>
      <c r="Y935" s="112"/>
      <c r="Z935" s="112"/>
    </row>
    <row r="936" spans="1:26">
      <c r="A936" s="112"/>
      <c r="B936" s="112"/>
      <c r="C936" s="112"/>
      <c r="D936" s="112"/>
      <c r="E936" s="112"/>
      <c r="F936" s="112"/>
      <c r="G936" s="112"/>
      <c r="H936" s="112"/>
      <c r="I936" s="112"/>
      <c r="J936" s="112"/>
      <c r="K936" s="112"/>
      <c r="L936" s="112"/>
      <c r="M936" s="112"/>
      <c r="N936" s="112"/>
      <c r="O936" s="112"/>
      <c r="P936" s="112"/>
      <c r="Q936" s="112"/>
      <c r="R936" s="112"/>
      <c r="S936" s="112"/>
      <c r="T936" s="112"/>
      <c r="U936" s="112"/>
      <c r="V936" s="112"/>
      <c r="W936" s="112"/>
      <c r="X936" s="112"/>
      <c r="Y936" s="112"/>
      <c r="Z936" s="112"/>
    </row>
    <row r="937" spans="1:26">
      <c r="A937" s="112"/>
      <c r="B937" s="112"/>
      <c r="C937" s="112"/>
      <c r="D937" s="112"/>
      <c r="E937" s="112"/>
      <c r="F937" s="112"/>
      <c r="G937" s="112"/>
      <c r="H937" s="112"/>
      <c r="I937" s="112"/>
      <c r="J937" s="112"/>
      <c r="K937" s="112"/>
      <c r="L937" s="112"/>
      <c r="M937" s="112"/>
      <c r="N937" s="112"/>
      <c r="O937" s="112"/>
      <c r="P937" s="112"/>
      <c r="Q937" s="112"/>
      <c r="R937" s="112"/>
      <c r="S937" s="112"/>
      <c r="T937" s="112"/>
      <c r="U937" s="112"/>
      <c r="V937" s="112"/>
      <c r="W937" s="112"/>
      <c r="X937" s="112"/>
      <c r="Y937" s="112"/>
      <c r="Z937" s="112"/>
    </row>
    <row r="938" spans="1:26">
      <c r="A938" s="112"/>
      <c r="B938" s="112"/>
      <c r="C938" s="112"/>
      <c r="D938" s="112"/>
      <c r="E938" s="112"/>
      <c r="F938" s="112"/>
      <c r="G938" s="112"/>
      <c r="H938" s="112"/>
      <c r="I938" s="112"/>
      <c r="J938" s="112"/>
      <c r="K938" s="112"/>
      <c r="L938" s="112"/>
      <c r="M938" s="112"/>
      <c r="N938" s="112"/>
      <c r="O938" s="112"/>
      <c r="P938" s="112"/>
      <c r="Q938" s="112"/>
      <c r="R938" s="112"/>
      <c r="S938" s="112"/>
      <c r="T938" s="112"/>
      <c r="U938" s="112"/>
      <c r="V938" s="112"/>
      <c r="W938" s="112"/>
      <c r="X938" s="112"/>
      <c r="Y938" s="112"/>
      <c r="Z938" s="112"/>
    </row>
    <row r="939" spans="1:26">
      <c r="A939" s="112"/>
      <c r="B939" s="112"/>
      <c r="C939" s="112"/>
      <c r="D939" s="112"/>
      <c r="E939" s="112"/>
      <c r="F939" s="112"/>
      <c r="G939" s="112"/>
      <c r="H939" s="112"/>
      <c r="I939" s="112"/>
      <c r="J939" s="112"/>
      <c r="K939" s="112"/>
      <c r="L939" s="112"/>
      <c r="M939" s="112"/>
      <c r="N939" s="112"/>
      <c r="O939" s="112"/>
      <c r="P939" s="112"/>
      <c r="Q939" s="112"/>
      <c r="R939" s="112"/>
      <c r="S939" s="112"/>
      <c r="T939" s="112"/>
      <c r="U939" s="112"/>
      <c r="V939" s="112"/>
      <c r="W939" s="112"/>
      <c r="X939" s="112"/>
      <c r="Y939" s="112"/>
      <c r="Z939" s="112"/>
    </row>
    <row r="940" spans="1:26">
      <c r="A940" s="112"/>
      <c r="B940" s="112"/>
      <c r="C940" s="112"/>
      <c r="D940" s="112"/>
      <c r="E940" s="112"/>
      <c r="F940" s="112"/>
      <c r="G940" s="112"/>
      <c r="H940" s="112"/>
      <c r="I940" s="112"/>
      <c r="J940" s="112"/>
      <c r="K940" s="112"/>
      <c r="L940" s="112"/>
      <c r="M940" s="112"/>
      <c r="N940" s="112"/>
      <c r="O940" s="112"/>
      <c r="P940" s="112"/>
      <c r="Q940" s="112"/>
      <c r="R940" s="112"/>
      <c r="S940" s="112"/>
      <c r="T940" s="112"/>
      <c r="U940" s="112"/>
      <c r="V940" s="112"/>
      <c r="W940" s="112"/>
      <c r="X940" s="112"/>
      <c r="Y940" s="112"/>
      <c r="Z940" s="112"/>
    </row>
    <row r="941" spans="1:26">
      <c r="A941" s="112"/>
      <c r="B941" s="112"/>
      <c r="C941" s="112"/>
      <c r="D941" s="112"/>
      <c r="E941" s="112"/>
      <c r="F941" s="112"/>
      <c r="G941" s="112"/>
      <c r="H941" s="112"/>
      <c r="I941" s="112"/>
      <c r="J941" s="112"/>
      <c r="K941" s="112"/>
      <c r="L941" s="112"/>
      <c r="M941" s="112"/>
      <c r="N941" s="112"/>
      <c r="O941" s="112"/>
      <c r="P941" s="112"/>
      <c r="Q941" s="112"/>
      <c r="R941" s="112"/>
      <c r="S941" s="112"/>
      <c r="T941" s="112"/>
      <c r="U941" s="112"/>
      <c r="V941" s="112"/>
      <c r="W941" s="112"/>
      <c r="X941" s="112"/>
      <c r="Y941" s="112"/>
      <c r="Z941" s="112"/>
    </row>
    <row r="942" spans="1:26">
      <c r="A942" s="112"/>
      <c r="B942" s="112"/>
      <c r="C942" s="112"/>
      <c r="D942" s="112"/>
      <c r="E942" s="112"/>
      <c r="F942" s="112"/>
      <c r="G942" s="112"/>
      <c r="H942" s="112"/>
      <c r="I942" s="112"/>
      <c r="J942" s="112"/>
      <c r="K942" s="112"/>
      <c r="L942" s="112"/>
      <c r="M942" s="112"/>
      <c r="N942" s="112"/>
      <c r="O942" s="112"/>
      <c r="P942" s="112"/>
      <c r="Q942" s="112"/>
      <c r="R942" s="112"/>
      <c r="S942" s="112"/>
      <c r="T942" s="112"/>
      <c r="U942" s="112"/>
      <c r="V942" s="112"/>
      <c r="W942" s="112"/>
      <c r="X942" s="112"/>
      <c r="Y942" s="112"/>
      <c r="Z942" s="112"/>
    </row>
    <row r="943" spans="1:26">
      <c r="A943" s="112"/>
      <c r="B943" s="112"/>
      <c r="C943" s="112"/>
      <c r="D943" s="112"/>
      <c r="E943" s="112"/>
      <c r="F943" s="112"/>
      <c r="G943" s="112"/>
      <c r="H943" s="112"/>
      <c r="I943" s="112"/>
      <c r="J943" s="112"/>
      <c r="K943" s="112"/>
      <c r="L943" s="112"/>
      <c r="M943" s="112"/>
      <c r="N943" s="112"/>
      <c r="O943" s="112"/>
      <c r="P943" s="112"/>
      <c r="Q943" s="112"/>
      <c r="R943" s="112"/>
      <c r="S943" s="112"/>
      <c r="T943" s="112"/>
      <c r="U943" s="112"/>
      <c r="V943" s="112"/>
      <c r="W943" s="112"/>
      <c r="X943" s="112"/>
      <c r="Y943" s="112"/>
      <c r="Z943" s="112"/>
    </row>
    <row r="944" spans="1:26">
      <c r="A944" s="112"/>
      <c r="B944" s="112"/>
      <c r="C944" s="112"/>
      <c r="D944" s="112"/>
      <c r="E944" s="112"/>
      <c r="F944" s="112"/>
      <c r="G944" s="112"/>
      <c r="H944" s="112"/>
      <c r="I944" s="112"/>
      <c r="J944" s="112"/>
      <c r="K944" s="112"/>
      <c r="L944" s="112"/>
      <c r="M944" s="112"/>
      <c r="N944" s="112"/>
      <c r="O944" s="112"/>
      <c r="P944" s="112"/>
      <c r="Q944" s="112"/>
      <c r="R944" s="112"/>
      <c r="S944" s="112"/>
      <c r="T944" s="112"/>
      <c r="U944" s="112"/>
      <c r="V944" s="112"/>
      <c r="W944" s="112"/>
      <c r="X944" s="112"/>
      <c r="Y944" s="112"/>
      <c r="Z944" s="112"/>
    </row>
    <row r="945" spans="1:26">
      <c r="A945" s="112"/>
      <c r="B945" s="112"/>
      <c r="C945" s="112"/>
      <c r="D945" s="112"/>
      <c r="E945" s="112"/>
      <c r="F945" s="112"/>
      <c r="G945" s="112"/>
      <c r="H945" s="112"/>
      <c r="I945" s="112"/>
      <c r="J945" s="112"/>
      <c r="K945" s="112"/>
      <c r="L945" s="112"/>
      <c r="M945" s="112"/>
      <c r="N945" s="112"/>
      <c r="O945" s="112"/>
      <c r="P945" s="112"/>
      <c r="Q945" s="112"/>
      <c r="R945" s="112"/>
      <c r="S945" s="112"/>
      <c r="T945" s="112"/>
      <c r="U945" s="112"/>
      <c r="V945" s="112"/>
      <c r="W945" s="112"/>
      <c r="X945" s="112"/>
      <c r="Y945" s="112"/>
      <c r="Z945" s="112"/>
    </row>
    <row r="946" spans="1:26">
      <c r="A946" s="112"/>
      <c r="B946" s="112"/>
      <c r="C946" s="112"/>
      <c r="D946" s="112"/>
      <c r="E946" s="112"/>
      <c r="F946" s="112"/>
      <c r="G946" s="112"/>
      <c r="H946" s="112"/>
      <c r="I946" s="112"/>
      <c r="J946" s="112"/>
      <c r="K946" s="112"/>
      <c r="L946" s="112"/>
      <c r="M946" s="112"/>
      <c r="N946" s="112"/>
      <c r="O946" s="112"/>
      <c r="P946" s="112"/>
      <c r="Q946" s="112"/>
      <c r="R946" s="112"/>
      <c r="S946" s="112"/>
      <c r="T946" s="112"/>
      <c r="U946" s="112"/>
      <c r="V946" s="112"/>
      <c r="W946" s="112"/>
      <c r="X946" s="112"/>
      <c r="Y946" s="112"/>
      <c r="Z946" s="112"/>
    </row>
    <row r="947" spans="1:26">
      <c r="A947" s="112"/>
      <c r="B947" s="112"/>
      <c r="C947" s="112"/>
      <c r="D947" s="112"/>
      <c r="E947" s="112"/>
      <c r="F947" s="112"/>
      <c r="G947" s="112"/>
      <c r="H947" s="112"/>
      <c r="I947" s="112"/>
      <c r="J947" s="112"/>
      <c r="K947" s="112"/>
      <c r="L947" s="112"/>
      <c r="M947" s="112"/>
      <c r="N947" s="112"/>
      <c r="O947" s="112"/>
      <c r="P947" s="112"/>
      <c r="Q947" s="112"/>
      <c r="R947" s="112"/>
      <c r="S947" s="112"/>
      <c r="T947" s="112"/>
      <c r="U947" s="112"/>
      <c r="V947" s="112"/>
      <c r="W947" s="112"/>
      <c r="X947" s="112"/>
      <c r="Y947" s="112"/>
      <c r="Z947" s="112"/>
    </row>
    <row r="948" spans="1:26">
      <c r="A948" s="112"/>
      <c r="B948" s="112"/>
      <c r="C948" s="112"/>
      <c r="D948" s="112"/>
      <c r="E948" s="112"/>
      <c r="F948" s="112"/>
      <c r="G948" s="112"/>
      <c r="H948" s="112"/>
      <c r="I948" s="112"/>
      <c r="J948" s="112"/>
      <c r="K948" s="112"/>
      <c r="L948" s="112"/>
      <c r="M948" s="112"/>
      <c r="N948" s="112"/>
      <c r="O948" s="112"/>
      <c r="P948" s="112"/>
      <c r="Q948" s="112"/>
      <c r="R948" s="112"/>
      <c r="S948" s="112"/>
      <c r="T948" s="112"/>
      <c r="U948" s="112"/>
      <c r="V948" s="112"/>
      <c r="W948" s="112"/>
      <c r="X948" s="112"/>
      <c r="Y948" s="112"/>
      <c r="Z948" s="112"/>
    </row>
    <row r="949" spans="1:26">
      <c r="A949" s="112"/>
      <c r="B949" s="112"/>
      <c r="C949" s="112"/>
      <c r="D949" s="112"/>
      <c r="E949" s="112"/>
      <c r="F949" s="112"/>
      <c r="G949" s="112"/>
      <c r="H949" s="112"/>
      <c r="I949" s="112"/>
      <c r="J949" s="112"/>
      <c r="K949" s="112"/>
      <c r="L949" s="112"/>
      <c r="M949" s="112"/>
      <c r="N949" s="112"/>
      <c r="O949" s="112"/>
      <c r="P949" s="112"/>
      <c r="Q949" s="112"/>
      <c r="R949" s="112"/>
      <c r="S949" s="112"/>
      <c r="T949" s="112"/>
      <c r="U949" s="112"/>
      <c r="V949" s="112"/>
      <c r="W949" s="112"/>
      <c r="X949" s="112"/>
      <c r="Y949" s="112"/>
      <c r="Z949" s="112"/>
    </row>
    <row r="950" spans="1:26">
      <c r="A950" s="112"/>
      <c r="B950" s="112"/>
      <c r="C950" s="112"/>
      <c r="D950" s="112"/>
      <c r="E950" s="112"/>
      <c r="F950" s="112"/>
      <c r="G950" s="112"/>
      <c r="H950" s="112"/>
      <c r="I950" s="112"/>
      <c r="J950" s="112"/>
      <c r="K950" s="112"/>
      <c r="L950" s="112"/>
      <c r="M950" s="112"/>
      <c r="N950" s="112"/>
      <c r="O950" s="112"/>
      <c r="P950" s="112"/>
      <c r="Q950" s="112"/>
      <c r="R950" s="112"/>
      <c r="S950" s="112"/>
      <c r="T950" s="112"/>
      <c r="U950" s="112"/>
      <c r="V950" s="112"/>
      <c r="W950" s="112"/>
      <c r="X950" s="112"/>
      <c r="Y950" s="112"/>
      <c r="Z950" s="112"/>
    </row>
    <row r="951" spans="1:26">
      <c r="A951" s="112"/>
      <c r="B951" s="112"/>
      <c r="C951" s="112"/>
      <c r="D951" s="112"/>
      <c r="E951" s="112"/>
      <c r="F951" s="112"/>
      <c r="G951" s="112"/>
      <c r="H951" s="112"/>
      <c r="I951" s="112"/>
      <c r="J951" s="112"/>
      <c r="K951" s="112"/>
      <c r="L951" s="112"/>
      <c r="M951" s="112"/>
      <c r="N951" s="112"/>
      <c r="O951" s="112"/>
      <c r="P951" s="112"/>
      <c r="Q951" s="112"/>
      <c r="R951" s="112"/>
      <c r="S951" s="112"/>
      <c r="T951" s="112"/>
      <c r="U951" s="112"/>
      <c r="V951" s="112"/>
      <c r="W951" s="112"/>
      <c r="X951" s="112"/>
      <c r="Y951" s="112"/>
      <c r="Z951" s="112"/>
    </row>
    <row r="952" spans="1:26">
      <c r="A952" s="112"/>
      <c r="B952" s="112"/>
      <c r="C952" s="112"/>
      <c r="D952" s="112"/>
      <c r="E952" s="112"/>
      <c r="F952" s="112"/>
      <c r="G952" s="112"/>
      <c r="H952" s="112"/>
      <c r="I952" s="112"/>
      <c r="J952" s="112"/>
      <c r="K952" s="112"/>
      <c r="L952" s="112"/>
      <c r="M952" s="112"/>
      <c r="N952" s="112"/>
      <c r="O952" s="112"/>
      <c r="P952" s="112"/>
      <c r="Q952" s="112"/>
      <c r="R952" s="112"/>
      <c r="S952" s="112"/>
      <c r="T952" s="112"/>
      <c r="U952" s="112"/>
      <c r="V952" s="112"/>
      <c r="W952" s="112"/>
      <c r="X952" s="112"/>
      <c r="Y952" s="112"/>
      <c r="Z952" s="112"/>
    </row>
    <row r="953" spans="1:26">
      <c r="A953" s="112"/>
      <c r="B953" s="112"/>
      <c r="C953" s="112"/>
      <c r="D953" s="112"/>
      <c r="E953" s="112"/>
      <c r="F953" s="112"/>
      <c r="G953" s="112"/>
      <c r="H953" s="112"/>
      <c r="I953" s="112"/>
      <c r="J953" s="112"/>
      <c r="K953" s="112"/>
      <c r="L953" s="112"/>
      <c r="M953" s="112"/>
      <c r="N953" s="112"/>
      <c r="O953" s="112"/>
      <c r="P953" s="112"/>
      <c r="Q953" s="112"/>
      <c r="R953" s="112"/>
      <c r="S953" s="112"/>
      <c r="T953" s="112"/>
      <c r="U953" s="112"/>
      <c r="V953" s="112"/>
      <c r="W953" s="112"/>
      <c r="X953" s="112"/>
      <c r="Y953" s="112"/>
      <c r="Z953" s="112"/>
    </row>
    <row r="954" spans="1:26">
      <c r="A954" s="112"/>
      <c r="B954" s="112"/>
      <c r="C954" s="112"/>
      <c r="D954" s="112"/>
      <c r="E954" s="112"/>
      <c r="F954" s="112"/>
      <c r="G954" s="112"/>
      <c r="H954" s="112"/>
      <c r="I954" s="112"/>
      <c r="J954" s="112"/>
      <c r="K954" s="112"/>
      <c r="L954" s="112"/>
      <c r="M954" s="112"/>
      <c r="N954" s="112"/>
      <c r="O954" s="112"/>
      <c r="P954" s="112"/>
      <c r="Q954" s="112"/>
      <c r="R954" s="112"/>
      <c r="S954" s="112"/>
      <c r="T954" s="112"/>
      <c r="U954" s="112"/>
      <c r="V954" s="112"/>
      <c r="W954" s="112"/>
      <c r="X954" s="112"/>
      <c r="Y954" s="112"/>
      <c r="Z954" s="112"/>
    </row>
    <row r="955" spans="1:26">
      <c r="A955" s="112"/>
      <c r="B955" s="112"/>
      <c r="C955" s="112"/>
      <c r="D955" s="112"/>
      <c r="E955" s="112"/>
      <c r="F955" s="112"/>
      <c r="G955" s="112"/>
      <c r="H955" s="112"/>
      <c r="I955" s="112"/>
      <c r="J955" s="112"/>
      <c r="K955" s="112"/>
      <c r="L955" s="112"/>
      <c r="M955" s="112"/>
      <c r="N955" s="112"/>
      <c r="O955" s="112"/>
      <c r="P955" s="112"/>
      <c r="Q955" s="112"/>
      <c r="R955" s="112"/>
      <c r="S955" s="112"/>
      <c r="T955" s="112"/>
      <c r="U955" s="112"/>
      <c r="V955" s="112"/>
      <c r="W955" s="112"/>
      <c r="X955" s="112"/>
      <c r="Y955" s="112"/>
      <c r="Z955" s="112"/>
    </row>
    <row r="956" spans="1:26">
      <c r="A956" s="112"/>
      <c r="B956" s="112"/>
      <c r="C956" s="112"/>
      <c r="D956" s="112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</row>
    <row r="957" spans="1:26">
      <c r="A957" s="112"/>
      <c r="B957" s="112"/>
      <c r="C957" s="112"/>
      <c r="D957" s="112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</row>
    <row r="958" spans="1:26">
      <c r="A958" s="112"/>
      <c r="B958" s="112"/>
      <c r="C958" s="112"/>
      <c r="D958" s="112"/>
      <c r="E958" s="112"/>
      <c r="F958" s="112"/>
      <c r="G958" s="112"/>
      <c r="H958" s="112"/>
      <c r="I958" s="112"/>
      <c r="J958" s="112"/>
      <c r="K958" s="112"/>
      <c r="L958" s="112"/>
      <c r="M958" s="112"/>
      <c r="N958" s="112"/>
      <c r="O958" s="112"/>
      <c r="P958" s="112"/>
      <c r="Q958" s="112"/>
      <c r="R958" s="112"/>
      <c r="S958" s="112"/>
      <c r="T958" s="112"/>
      <c r="U958" s="112"/>
      <c r="V958" s="112"/>
      <c r="W958" s="112"/>
      <c r="X958" s="112"/>
      <c r="Y958" s="112"/>
      <c r="Z958" s="112"/>
    </row>
    <row r="959" spans="1:26">
      <c r="A959" s="112"/>
      <c r="B959" s="112"/>
      <c r="C959" s="112"/>
      <c r="D959" s="112"/>
      <c r="E959" s="112"/>
      <c r="F959" s="112"/>
      <c r="G959" s="112"/>
      <c r="H959" s="112"/>
      <c r="I959" s="112"/>
      <c r="J959" s="112"/>
      <c r="K959" s="112"/>
      <c r="L959" s="112"/>
      <c r="M959" s="112"/>
      <c r="N959" s="112"/>
      <c r="O959" s="112"/>
      <c r="P959" s="112"/>
      <c r="Q959" s="112"/>
      <c r="R959" s="112"/>
      <c r="S959" s="112"/>
      <c r="T959" s="112"/>
      <c r="U959" s="112"/>
      <c r="V959" s="112"/>
      <c r="W959" s="112"/>
      <c r="X959" s="112"/>
      <c r="Y959" s="112"/>
      <c r="Z959" s="112"/>
    </row>
    <row r="960" spans="1:26">
      <c r="A960" s="112"/>
      <c r="B960" s="112"/>
      <c r="C960" s="112"/>
      <c r="D960" s="112"/>
      <c r="E960" s="112"/>
      <c r="F960" s="112"/>
      <c r="G960" s="112"/>
      <c r="H960" s="112"/>
      <c r="I960" s="112"/>
      <c r="J960" s="112"/>
      <c r="K960" s="112"/>
      <c r="L960" s="112"/>
      <c r="M960" s="112"/>
      <c r="N960" s="112"/>
      <c r="O960" s="112"/>
      <c r="P960" s="112"/>
      <c r="Q960" s="112"/>
      <c r="R960" s="112"/>
      <c r="S960" s="112"/>
      <c r="T960" s="112"/>
      <c r="U960" s="112"/>
      <c r="V960" s="112"/>
      <c r="W960" s="112"/>
      <c r="X960" s="112"/>
      <c r="Y960" s="112"/>
      <c r="Z960" s="112"/>
    </row>
    <row r="961" spans="1:26">
      <c r="A961" s="112"/>
      <c r="B961" s="112"/>
      <c r="C961" s="112"/>
      <c r="D961" s="112"/>
      <c r="E961" s="112"/>
      <c r="F961" s="112"/>
      <c r="G961" s="112"/>
      <c r="H961" s="112"/>
      <c r="I961" s="112"/>
      <c r="J961" s="112"/>
      <c r="K961" s="112"/>
      <c r="L961" s="112"/>
      <c r="M961" s="112"/>
      <c r="N961" s="112"/>
      <c r="O961" s="112"/>
      <c r="P961" s="112"/>
      <c r="Q961" s="112"/>
      <c r="R961" s="112"/>
      <c r="S961" s="112"/>
      <c r="T961" s="112"/>
      <c r="U961" s="112"/>
      <c r="V961" s="112"/>
      <c r="W961" s="112"/>
      <c r="X961" s="112"/>
      <c r="Y961" s="112"/>
      <c r="Z961" s="112"/>
    </row>
    <row r="962" spans="1:26">
      <c r="A962" s="112"/>
      <c r="B962" s="112"/>
      <c r="C962" s="112"/>
      <c r="D962" s="112"/>
      <c r="E962" s="112"/>
      <c r="F962" s="112"/>
      <c r="G962" s="112"/>
      <c r="H962" s="112"/>
      <c r="I962" s="112"/>
      <c r="J962" s="112"/>
      <c r="K962" s="112"/>
      <c r="L962" s="112"/>
      <c r="M962" s="112"/>
      <c r="N962" s="112"/>
      <c r="O962" s="112"/>
      <c r="P962" s="112"/>
      <c r="Q962" s="112"/>
      <c r="R962" s="112"/>
      <c r="S962" s="112"/>
      <c r="T962" s="112"/>
      <c r="U962" s="112"/>
      <c r="V962" s="112"/>
      <c r="W962" s="112"/>
      <c r="X962" s="112"/>
      <c r="Y962" s="112"/>
      <c r="Z962" s="112"/>
    </row>
    <row r="963" spans="1:26">
      <c r="A963" s="112"/>
      <c r="B963" s="112"/>
      <c r="C963" s="112"/>
      <c r="D963" s="112"/>
      <c r="E963" s="112"/>
      <c r="F963" s="112"/>
      <c r="G963" s="112"/>
      <c r="H963" s="112"/>
      <c r="I963" s="112"/>
      <c r="J963" s="112"/>
      <c r="K963" s="112"/>
      <c r="L963" s="112"/>
      <c r="M963" s="112"/>
      <c r="N963" s="112"/>
      <c r="O963" s="112"/>
      <c r="P963" s="112"/>
      <c r="Q963" s="112"/>
      <c r="R963" s="112"/>
      <c r="S963" s="112"/>
      <c r="T963" s="112"/>
      <c r="U963" s="112"/>
      <c r="V963" s="112"/>
      <c r="W963" s="112"/>
      <c r="X963" s="112"/>
      <c r="Y963" s="112"/>
      <c r="Z963" s="112"/>
    </row>
    <row r="964" spans="1:26">
      <c r="A964" s="112"/>
      <c r="B964" s="112"/>
      <c r="C964" s="112"/>
      <c r="D964" s="112"/>
      <c r="E964" s="112"/>
      <c r="F964" s="112"/>
      <c r="G964" s="112"/>
      <c r="H964" s="112"/>
      <c r="I964" s="112"/>
      <c r="J964" s="112"/>
      <c r="K964" s="112"/>
      <c r="L964" s="112"/>
      <c r="M964" s="112"/>
      <c r="N964" s="112"/>
      <c r="O964" s="112"/>
      <c r="P964" s="112"/>
      <c r="Q964" s="112"/>
      <c r="R964" s="112"/>
      <c r="S964" s="112"/>
      <c r="T964" s="112"/>
      <c r="U964" s="112"/>
      <c r="V964" s="112"/>
      <c r="W964" s="112"/>
      <c r="X964" s="112"/>
      <c r="Y964" s="112"/>
      <c r="Z964" s="112"/>
    </row>
    <row r="965" spans="1:26">
      <c r="A965" s="112"/>
      <c r="B965" s="112"/>
      <c r="C965" s="112"/>
      <c r="D965" s="112"/>
      <c r="E965" s="112"/>
      <c r="F965" s="112"/>
      <c r="G965" s="112"/>
      <c r="H965" s="112"/>
      <c r="I965" s="112"/>
      <c r="J965" s="112"/>
      <c r="K965" s="112"/>
      <c r="L965" s="112"/>
      <c r="M965" s="112"/>
      <c r="N965" s="112"/>
      <c r="O965" s="112"/>
      <c r="P965" s="112"/>
      <c r="Q965" s="112"/>
      <c r="R965" s="112"/>
      <c r="S965" s="112"/>
      <c r="T965" s="112"/>
      <c r="U965" s="112"/>
      <c r="V965" s="112"/>
      <c r="W965" s="112"/>
      <c r="X965" s="112"/>
      <c r="Y965" s="112"/>
      <c r="Z965" s="112"/>
    </row>
    <row r="966" spans="1:26">
      <c r="A966" s="112"/>
      <c r="B966" s="112"/>
      <c r="C966" s="112"/>
      <c r="D966" s="112"/>
      <c r="E966" s="112"/>
      <c r="F966" s="112"/>
      <c r="G966" s="112"/>
      <c r="H966" s="112"/>
      <c r="I966" s="112"/>
      <c r="J966" s="112"/>
      <c r="K966" s="112"/>
      <c r="L966" s="112"/>
      <c r="M966" s="112"/>
      <c r="N966" s="112"/>
      <c r="O966" s="112"/>
      <c r="P966" s="112"/>
      <c r="Q966" s="112"/>
      <c r="R966" s="112"/>
      <c r="S966" s="112"/>
      <c r="T966" s="112"/>
      <c r="U966" s="112"/>
      <c r="V966" s="112"/>
      <c r="W966" s="112"/>
      <c r="X966" s="112"/>
      <c r="Y966" s="112"/>
      <c r="Z966" s="112"/>
    </row>
    <row r="967" spans="1:26">
      <c r="A967" s="112"/>
      <c r="B967" s="112"/>
      <c r="C967" s="112"/>
      <c r="D967" s="112"/>
      <c r="E967" s="112"/>
      <c r="F967" s="112"/>
      <c r="G967" s="112"/>
      <c r="H967" s="112"/>
      <c r="I967" s="112"/>
      <c r="J967" s="112"/>
      <c r="K967" s="112"/>
      <c r="L967" s="112"/>
      <c r="M967" s="112"/>
      <c r="N967" s="112"/>
      <c r="O967" s="112"/>
      <c r="P967" s="112"/>
      <c r="Q967" s="112"/>
      <c r="R967" s="112"/>
      <c r="S967" s="112"/>
      <c r="T967" s="112"/>
      <c r="U967" s="112"/>
      <c r="V967" s="112"/>
      <c r="W967" s="112"/>
      <c r="X967" s="112"/>
      <c r="Y967" s="112"/>
      <c r="Z967" s="112"/>
    </row>
    <row r="968" spans="1:26">
      <c r="A968" s="112"/>
      <c r="B968" s="112"/>
      <c r="C968" s="112"/>
      <c r="D968" s="112"/>
      <c r="E968" s="112"/>
      <c r="F968" s="112"/>
      <c r="G968" s="112"/>
      <c r="H968" s="112"/>
      <c r="I968" s="112"/>
      <c r="J968" s="112"/>
      <c r="K968" s="112"/>
      <c r="L968" s="112"/>
      <c r="M968" s="112"/>
      <c r="N968" s="112"/>
      <c r="O968" s="112"/>
      <c r="P968" s="112"/>
      <c r="Q968" s="112"/>
      <c r="R968" s="112"/>
      <c r="S968" s="112"/>
      <c r="T968" s="112"/>
      <c r="U968" s="112"/>
      <c r="V968" s="112"/>
      <c r="W968" s="112"/>
      <c r="X968" s="112"/>
      <c r="Y968" s="112"/>
      <c r="Z968" s="112"/>
    </row>
    <row r="969" spans="1:26">
      <c r="A969" s="112"/>
      <c r="B969" s="112"/>
      <c r="C969" s="112"/>
      <c r="D969" s="112"/>
      <c r="E969" s="112"/>
      <c r="F969" s="112"/>
      <c r="G969" s="112"/>
      <c r="H969" s="112"/>
      <c r="I969" s="112"/>
      <c r="J969" s="112"/>
      <c r="K969" s="112"/>
      <c r="L969" s="112"/>
      <c r="M969" s="112"/>
      <c r="N969" s="112"/>
      <c r="O969" s="112"/>
      <c r="P969" s="112"/>
      <c r="Q969" s="112"/>
      <c r="R969" s="112"/>
      <c r="S969" s="112"/>
      <c r="T969" s="112"/>
      <c r="U969" s="112"/>
      <c r="V969" s="112"/>
      <c r="W969" s="112"/>
      <c r="X969" s="112"/>
      <c r="Y969" s="112"/>
      <c r="Z969" s="112"/>
    </row>
    <row r="970" spans="1:26">
      <c r="A970" s="112"/>
      <c r="B970" s="112"/>
      <c r="C970" s="112"/>
      <c r="D970" s="112"/>
      <c r="E970" s="112"/>
      <c r="F970" s="112"/>
      <c r="G970" s="112"/>
      <c r="H970" s="112"/>
      <c r="I970" s="112"/>
      <c r="J970" s="112"/>
      <c r="K970" s="112"/>
      <c r="L970" s="112"/>
      <c r="M970" s="112"/>
      <c r="N970" s="112"/>
      <c r="O970" s="112"/>
      <c r="P970" s="112"/>
      <c r="Q970" s="112"/>
      <c r="R970" s="112"/>
      <c r="S970" s="112"/>
      <c r="T970" s="112"/>
      <c r="U970" s="112"/>
      <c r="V970" s="112"/>
      <c r="W970" s="112"/>
      <c r="X970" s="112"/>
      <c r="Y970" s="112"/>
      <c r="Z970" s="112"/>
    </row>
    <row r="971" spans="1:26">
      <c r="A971" s="112"/>
      <c r="B971" s="112"/>
      <c r="C971" s="112"/>
      <c r="D971" s="112"/>
      <c r="E971" s="112"/>
      <c r="F971" s="112"/>
      <c r="G971" s="112"/>
      <c r="H971" s="112"/>
      <c r="I971" s="112"/>
      <c r="J971" s="112"/>
      <c r="K971" s="112"/>
      <c r="L971" s="112"/>
      <c r="M971" s="112"/>
      <c r="N971" s="112"/>
      <c r="O971" s="112"/>
      <c r="P971" s="112"/>
      <c r="Q971" s="112"/>
      <c r="R971" s="112"/>
      <c r="S971" s="112"/>
      <c r="T971" s="112"/>
      <c r="U971" s="112"/>
      <c r="V971" s="112"/>
      <c r="W971" s="112"/>
      <c r="X971" s="112"/>
      <c r="Y971" s="112"/>
      <c r="Z971" s="112"/>
    </row>
    <row r="972" spans="1:26">
      <c r="A972" s="112"/>
      <c r="B972" s="112"/>
      <c r="C972" s="112"/>
      <c r="D972" s="112"/>
      <c r="E972" s="112"/>
      <c r="F972" s="112"/>
      <c r="G972" s="112"/>
      <c r="H972" s="112"/>
      <c r="I972" s="112"/>
      <c r="J972" s="112"/>
      <c r="K972" s="112"/>
      <c r="L972" s="112"/>
      <c r="M972" s="112"/>
      <c r="N972" s="112"/>
      <c r="O972" s="112"/>
      <c r="P972" s="112"/>
      <c r="Q972" s="112"/>
      <c r="R972" s="112"/>
      <c r="S972" s="112"/>
      <c r="T972" s="112"/>
      <c r="U972" s="112"/>
      <c r="V972" s="112"/>
      <c r="W972" s="112"/>
      <c r="X972" s="112"/>
      <c r="Y972" s="112"/>
      <c r="Z972" s="112"/>
    </row>
    <row r="973" spans="1:26">
      <c r="A973" s="112"/>
      <c r="B973" s="112"/>
      <c r="C973" s="112"/>
      <c r="D973" s="112"/>
      <c r="E973" s="112"/>
      <c r="F973" s="112"/>
      <c r="G973" s="112"/>
      <c r="H973" s="112"/>
      <c r="I973" s="112"/>
      <c r="J973" s="112"/>
      <c r="K973" s="112"/>
      <c r="L973" s="112"/>
      <c r="M973" s="112"/>
      <c r="N973" s="112"/>
      <c r="O973" s="112"/>
      <c r="P973" s="112"/>
      <c r="Q973" s="112"/>
      <c r="R973" s="112"/>
      <c r="S973" s="112"/>
      <c r="T973" s="112"/>
      <c r="U973" s="112"/>
      <c r="V973" s="112"/>
      <c r="W973" s="112"/>
      <c r="X973" s="112"/>
      <c r="Y973" s="112"/>
      <c r="Z973" s="112"/>
    </row>
    <row r="974" spans="1:26">
      <c r="A974" s="112"/>
      <c r="B974" s="112"/>
      <c r="C974" s="112"/>
      <c r="D974" s="112"/>
      <c r="E974" s="112"/>
      <c r="F974" s="112"/>
      <c r="G974" s="112"/>
      <c r="H974" s="112"/>
      <c r="I974" s="112"/>
      <c r="J974" s="112"/>
      <c r="K974" s="112"/>
      <c r="L974" s="112"/>
      <c r="M974" s="112"/>
      <c r="N974" s="112"/>
      <c r="O974" s="112"/>
      <c r="P974" s="112"/>
      <c r="Q974" s="112"/>
      <c r="R974" s="112"/>
      <c r="S974" s="112"/>
      <c r="T974" s="112"/>
      <c r="U974" s="112"/>
      <c r="V974" s="112"/>
      <c r="W974" s="112"/>
      <c r="X974" s="112"/>
      <c r="Y974" s="112"/>
      <c r="Z974" s="112"/>
    </row>
    <row r="975" spans="1:26">
      <c r="A975" s="112"/>
      <c r="B975" s="112"/>
      <c r="C975" s="112"/>
      <c r="D975" s="112"/>
      <c r="E975" s="112"/>
      <c r="F975" s="112"/>
      <c r="G975" s="112"/>
      <c r="H975" s="112"/>
      <c r="I975" s="112"/>
      <c r="J975" s="112"/>
      <c r="K975" s="112"/>
      <c r="L975" s="112"/>
      <c r="M975" s="112"/>
      <c r="N975" s="112"/>
      <c r="O975" s="112"/>
      <c r="P975" s="112"/>
      <c r="Q975" s="112"/>
      <c r="R975" s="112"/>
      <c r="S975" s="112"/>
      <c r="T975" s="112"/>
      <c r="U975" s="112"/>
      <c r="V975" s="112"/>
      <c r="W975" s="112"/>
      <c r="X975" s="112"/>
      <c r="Y975" s="112"/>
      <c r="Z975" s="112"/>
    </row>
    <row r="976" spans="1:26">
      <c r="A976" s="112"/>
      <c r="B976" s="112"/>
      <c r="C976" s="112"/>
      <c r="D976" s="112"/>
      <c r="E976" s="112"/>
      <c r="F976" s="112"/>
      <c r="G976" s="112"/>
      <c r="H976" s="112"/>
      <c r="I976" s="112"/>
      <c r="J976" s="112"/>
      <c r="K976" s="112"/>
      <c r="L976" s="112"/>
      <c r="M976" s="112"/>
      <c r="N976" s="112"/>
      <c r="O976" s="112"/>
      <c r="P976" s="112"/>
      <c r="Q976" s="112"/>
      <c r="R976" s="112"/>
      <c r="S976" s="112"/>
      <c r="T976" s="112"/>
      <c r="U976" s="112"/>
      <c r="V976" s="112"/>
      <c r="W976" s="112"/>
      <c r="X976" s="112"/>
      <c r="Y976" s="112"/>
      <c r="Z976" s="112"/>
    </row>
    <row r="977" spans="1:26">
      <c r="A977" s="112"/>
      <c r="B977" s="112"/>
      <c r="C977" s="112"/>
      <c r="D977" s="112"/>
      <c r="E977" s="112"/>
      <c r="F977" s="112"/>
      <c r="G977" s="112"/>
      <c r="H977" s="112"/>
      <c r="I977" s="112"/>
      <c r="J977" s="112"/>
      <c r="K977" s="112"/>
      <c r="L977" s="112"/>
      <c r="M977" s="112"/>
      <c r="N977" s="112"/>
      <c r="O977" s="112"/>
      <c r="P977" s="112"/>
      <c r="Q977" s="112"/>
      <c r="R977" s="112"/>
      <c r="S977" s="112"/>
      <c r="T977" s="112"/>
      <c r="U977" s="112"/>
      <c r="V977" s="112"/>
      <c r="W977" s="112"/>
      <c r="X977" s="112"/>
      <c r="Y977" s="112"/>
      <c r="Z977" s="112"/>
    </row>
    <row r="978" spans="1:26">
      <c r="A978" s="112"/>
      <c r="B978" s="112"/>
      <c r="C978" s="112"/>
      <c r="D978" s="112"/>
      <c r="E978" s="112"/>
      <c r="F978" s="112"/>
      <c r="G978" s="112"/>
      <c r="H978" s="112"/>
      <c r="I978" s="112"/>
      <c r="J978" s="112"/>
      <c r="K978" s="112"/>
      <c r="L978" s="112"/>
      <c r="M978" s="112"/>
      <c r="N978" s="112"/>
      <c r="O978" s="112"/>
      <c r="P978" s="112"/>
      <c r="Q978" s="112"/>
      <c r="R978" s="112"/>
      <c r="S978" s="112"/>
      <c r="T978" s="112"/>
      <c r="U978" s="112"/>
      <c r="V978" s="112"/>
      <c r="W978" s="112"/>
      <c r="X978" s="112"/>
      <c r="Y978" s="112"/>
      <c r="Z978" s="112"/>
    </row>
    <row r="979" spans="1:26">
      <c r="A979" s="112"/>
      <c r="B979" s="112"/>
      <c r="C979" s="112"/>
      <c r="D979" s="112"/>
      <c r="E979" s="112"/>
      <c r="F979" s="112"/>
      <c r="G979" s="112"/>
      <c r="H979" s="112"/>
      <c r="I979" s="112"/>
      <c r="J979" s="112"/>
      <c r="K979" s="112"/>
      <c r="L979" s="112"/>
      <c r="M979" s="112"/>
      <c r="N979" s="112"/>
      <c r="O979" s="112"/>
      <c r="P979" s="112"/>
      <c r="Q979" s="112"/>
      <c r="R979" s="112"/>
      <c r="S979" s="112"/>
      <c r="T979" s="112"/>
      <c r="U979" s="112"/>
      <c r="V979" s="112"/>
      <c r="W979" s="112"/>
      <c r="X979" s="112"/>
      <c r="Y979" s="112"/>
      <c r="Z979" s="112"/>
    </row>
    <row r="980" spans="1:26">
      <c r="A980" s="112"/>
      <c r="B980" s="112"/>
      <c r="C980" s="112"/>
      <c r="D980" s="112"/>
      <c r="E980" s="112"/>
      <c r="F980" s="112"/>
      <c r="G980" s="112"/>
      <c r="H980" s="112"/>
      <c r="I980" s="112"/>
      <c r="J980" s="112"/>
      <c r="K980" s="112"/>
      <c r="L980" s="112"/>
      <c r="M980" s="112"/>
      <c r="N980" s="112"/>
      <c r="O980" s="112"/>
      <c r="P980" s="112"/>
      <c r="Q980" s="112"/>
      <c r="R980" s="112"/>
      <c r="S980" s="112"/>
      <c r="T980" s="112"/>
      <c r="U980" s="112"/>
      <c r="V980" s="112"/>
      <c r="W980" s="112"/>
      <c r="X980" s="112"/>
      <c r="Y980" s="112"/>
      <c r="Z980" s="112"/>
    </row>
    <row r="981" spans="1:26">
      <c r="A981" s="112"/>
      <c r="B981" s="112"/>
      <c r="C981" s="112"/>
      <c r="D981" s="112"/>
      <c r="E981" s="112"/>
      <c r="F981" s="112"/>
      <c r="G981" s="112"/>
      <c r="H981" s="112"/>
      <c r="I981" s="112"/>
      <c r="J981" s="112"/>
      <c r="K981" s="112"/>
      <c r="L981" s="112"/>
      <c r="M981" s="112"/>
      <c r="N981" s="112"/>
      <c r="O981" s="112"/>
      <c r="P981" s="112"/>
      <c r="Q981" s="112"/>
      <c r="R981" s="112"/>
      <c r="S981" s="112"/>
      <c r="T981" s="112"/>
      <c r="U981" s="112"/>
      <c r="V981" s="112"/>
      <c r="W981" s="112"/>
      <c r="X981" s="112"/>
      <c r="Y981" s="112"/>
      <c r="Z981" s="112"/>
    </row>
    <row r="982" spans="1:26">
      <c r="A982" s="112"/>
      <c r="B982" s="112"/>
      <c r="C982" s="112"/>
      <c r="D982" s="112"/>
      <c r="E982" s="112"/>
      <c r="F982" s="112"/>
      <c r="G982" s="112"/>
      <c r="H982" s="112"/>
      <c r="I982" s="112"/>
      <c r="J982" s="112"/>
      <c r="K982" s="112"/>
      <c r="L982" s="112"/>
      <c r="M982" s="112"/>
      <c r="N982" s="112"/>
      <c r="O982" s="112"/>
      <c r="P982" s="112"/>
      <c r="Q982" s="112"/>
      <c r="R982" s="112"/>
      <c r="S982" s="112"/>
      <c r="T982" s="112"/>
      <c r="U982" s="112"/>
      <c r="V982" s="112"/>
      <c r="W982" s="112"/>
      <c r="X982" s="112"/>
      <c r="Y982" s="112"/>
      <c r="Z982" s="112"/>
    </row>
    <row r="983" spans="1:26">
      <c r="A983" s="112"/>
      <c r="B983" s="112"/>
      <c r="C983" s="112"/>
      <c r="D983" s="112"/>
      <c r="E983" s="112"/>
      <c r="F983" s="112"/>
      <c r="G983" s="112"/>
      <c r="H983" s="112"/>
      <c r="I983" s="112"/>
      <c r="J983" s="112"/>
      <c r="K983" s="112"/>
      <c r="L983" s="112"/>
      <c r="M983" s="112"/>
      <c r="N983" s="112"/>
      <c r="O983" s="112"/>
      <c r="P983" s="112"/>
      <c r="Q983" s="112"/>
      <c r="R983" s="112"/>
      <c r="S983" s="112"/>
      <c r="T983" s="112"/>
      <c r="U983" s="112"/>
      <c r="V983" s="112"/>
      <c r="W983" s="112"/>
      <c r="X983" s="112"/>
      <c r="Y983" s="112"/>
      <c r="Z983" s="112"/>
    </row>
    <row r="984" spans="1:26">
      <c r="A984" s="112"/>
      <c r="B984" s="112"/>
      <c r="C984" s="112"/>
      <c r="D984" s="112"/>
      <c r="E984" s="112"/>
      <c r="F984" s="112"/>
      <c r="G984" s="112"/>
      <c r="H984" s="112"/>
      <c r="I984" s="112"/>
      <c r="J984" s="112"/>
      <c r="K984" s="112"/>
      <c r="L984" s="112"/>
      <c r="M984" s="112"/>
      <c r="N984" s="112"/>
      <c r="O984" s="112"/>
      <c r="P984" s="112"/>
      <c r="Q984" s="112"/>
      <c r="R984" s="112"/>
      <c r="S984" s="112"/>
      <c r="T984" s="112"/>
      <c r="U984" s="112"/>
      <c r="V984" s="112"/>
      <c r="W984" s="112"/>
      <c r="X984" s="112"/>
      <c r="Y984" s="112"/>
      <c r="Z984" s="112"/>
    </row>
    <row r="985" spans="1:26">
      <c r="A985" s="112"/>
      <c r="B985" s="112"/>
      <c r="C985" s="112"/>
      <c r="D985" s="112"/>
      <c r="E985" s="112"/>
      <c r="F985" s="112"/>
      <c r="G985" s="112"/>
      <c r="H985" s="112"/>
      <c r="I985" s="112"/>
      <c r="J985" s="112"/>
      <c r="K985" s="112"/>
      <c r="L985" s="112"/>
      <c r="M985" s="112"/>
      <c r="N985" s="112"/>
      <c r="O985" s="112"/>
      <c r="P985" s="112"/>
      <c r="Q985" s="112"/>
      <c r="R985" s="112"/>
      <c r="S985" s="112"/>
      <c r="T985" s="112"/>
      <c r="U985" s="112"/>
      <c r="V985" s="112"/>
      <c r="W985" s="112"/>
      <c r="X985" s="112"/>
      <c r="Y985" s="112"/>
      <c r="Z985" s="112"/>
    </row>
    <row r="986" spans="1:26">
      <c r="A986" s="112"/>
      <c r="B986" s="112"/>
      <c r="C986" s="112"/>
      <c r="D986" s="112"/>
      <c r="E986" s="112"/>
      <c r="F986" s="112"/>
      <c r="G986" s="112"/>
      <c r="H986" s="112"/>
      <c r="I986" s="112"/>
      <c r="J986" s="112"/>
      <c r="K986" s="112"/>
      <c r="L986" s="112"/>
      <c r="M986" s="112"/>
      <c r="N986" s="112"/>
      <c r="O986" s="112"/>
      <c r="P986" s="112"/>
      <c r="Q986" s="112"/>
      <c r="R986" s="112"/>
      <c r="S986" s="112"/>
      <c r="T986" s="112"/>
      <c r="U986" s="112"/>
      <c r="V986" s="112"/>
      <c r="W986" s="112"/>
      <c r="X986" s="112"/>
      <c r="Y986" s="112"/>
      <c r="Z986" s="112"/>
    </row>
    <row r="987" spans="1:26">
      <c r="A987" s="112"/>
      <c r="B987" s="112"/>
      <c r="C987" s="112"/>
      <c r="D987" s="112"/>
      <c r="E987" s="112"/>
      <c r="F987" s="112"/>
      <c r="G987" s="112"/>
      <c r="H987" s="112"/>
      <c r="I987" s="112"/>
      <c r="J987" s="112"/>
      <c r="K987" s="112"/>
      <c r="L987" s="112"/>
      <c r="M987" s="112"/>
      <c r="N987" s="112"/>
      <c r="O987" s="112"/>
      <c r="P987" s="112"/>
      <c r="Q987" s="112"/>
      <c r="R987" s="112"/>
      <c r="S987" s="112"/>
      <c r="T987" s="112"/>
      <c r="U987" s="112"/>
      <c r="V987" s="112"/>
      <c r="W987" s="112"/>
      <c r="X987" s="112"/>
      <c r="Y987" s="112"/>
      <c r="Z987" s="112"/>
    </row>
    <row r="988" spans="1:26">
      <c r="A988" s="112"/>
      <c r="B988" s="112"/>
      <c r="C988" s="112"/>
      <c r="D988" s="112"/>
      <c r="E988" s="112"/>
      <c r="F988" s="112"/>
      <c r="G988" s="112"/>
      <c r="H988" s="112"/>
      <c r="I988" s="112"/>
      <c r="J988" s="112"/>
      <c r="K988" s="112"/>
      <c r="L988" s="112"/>
      <c r="M988" s="112"/>
      <c r="N988" s="112"/>
      <c r="O988" s="112"/>
      <c r="P988" s="112"/>
      <c r="Q988" s="112"/>
      <c r="R988" s="112"/>
      <c r="S988" s="112"/>
      <c r="T988" s="112"/>
      <c r="U988" s="112"/>
      <c r="V988" s="112"/>
      <c r="W988" s="112"/>
      <c r="X988" s="112"/>
      <c r="Y988" s="112"/>
      <c r="Z988" s="112"/>
    </row>
    <row r="989" spans="1:26">
      <c r="A989" s="112"/>
      <c r="B989" s="112"/>
      <c r="C989" s="112"/>
      <c r="D989" s="112"/>
      <c r="E989" s="112"/>
      <c r="F989" s="112"/>
      <c r="G989" s="112"/>
      <c r="H989" s="112"/>
      <c r="I989" s="112"/>
      <c r="J989" s="112"/>
      <c r="K989" s="112"/>
      <c r="L989" s="112"/>
      <c r="M989" s="112"/>
      <c r="N989" s="112"/>
      <c r="O989" s="112"/>
      <c r="P989" s="112"/>
      <c r="Q989" s="112"/>
      <c r="R989" s="112"/>
      <c r="S989" s="112"/>
      <c r="T989" s="112"/>
      <c r="U989" s="112"/>
      <c r="V989" s="112"/>
      <c r="W989" s="112"/>
      <c r="X989" s="112"/>
      <c r="Y989" s="112"/>
      <c r="Z989" s="112"/>
    </row>
    <row r="990" spans="1:26">
      <c r="A990" s="112"/>
      <c r="B990" s="112"/>
      <c r="C990" s="112"/>
      <c r="D990" s="112"/>
      <c r="E990" s="112"/>
      <c r="F990" s="112"/>
      <c r="G990" s="112"/>
      <c r="H990" s="112"/>
      <c r="I990" s="112"/>
      <c r="J990" s="112"/>
      <c r="K990" s="112"/>
      <c r="L990" s="112"/>
      <c r="M990" s="112"/>
      <c r="N990" s="112"/>
      <c r="O990" s="112"/>
      <c r="P990" s="112"/>
      <c r="Q990" s="112"/>
      <c r="R990" s="112"/>
      <c r="S990" s="112"/>
      <c r="T990" s="112"/>
      <c r="U990" s="112"/>
      <c r="V990" s="112"/>
      <c r="W990" s="112"/>
      <c r="X990" s="112"/>
      <c r="Y990" s="112"/>
      <c r="Z990" s="112"/>
    </row>
    <row r="991" spans="1:26">
      <c r="A991" s="112"/>
      <c r="B991" s="112"/>
      <c r="C991" s="112"/>
      <c r="D991" s="112"/>
      <c r="E991" s="112"/>
      <c r="F991" s="112"/>
      <c r="G991" s="112"/>
      <c r="H991" s="112"/>
      <c r="I991" s="112"/>
      <c r="J991" s="112"/>
      <c r="K991" s="112"/>
      <c r="L991" s="112"/>
      <c r="M991" s="112"/>
      <c r="N991" s="112"/>
      <c r="O991" s="112"/>
      <c r="P991" s="112"/>
      <c r="Q991" s="112"/>
      <c r="R991" s="112"/>
      <c r="S991" s="112"/>
      <c r="T991" s="112"/>
      <c r="U991" s="112"/>
      <c r="V991" s="112"/>
      <c r="W991" s="112"/>
      <c r="X991" s="112"/>
      <c r="Y991" s="112"/>
      <c r="Z991" s="112"/>
    </row>
    <row r="992" spans="1:26">
      <c r="A992" s="112"/>
      <c r="B992" s="112"/>
      <c r="C992" s="112"/>
      <c r="D992" s="112"/>
      <c r="E992" s="112"/>
      <c r="F992" s="112"/>
      <c r="G992" s="112"/>
      <c r="H992" s="112"/>
      <c r="I992" s="112"/>
      <c r="J992" s="112"/>
      <c r="K992" s="112"/>
      <c r="L992" s="112"/>
      <c r="M992" s="112"/>
      <c r="N992" s="112"/>
      <c r="O992" s="112"/>
      <c r="P992" s="112"/>
      <c r="Q992" s="112"/>
      <c r="R992" s="112"/>
      <c r="S992" s="112"/>
      <c r="T992" s="112"/>
      <c r="U992" s="112"/>
      <c r="V992" s="112"/>
      <c r="W992" s="112"/>
      <c r="X992" s="112"/>
      <c r="Y992" s="112"/>
      <c r="Z992" s="112"/>
    </row>
    <row r="993" spans="1:26">
      <c r="A993" s="112"/>
      <c r="B993" s="112"/>
      <c r="C993" s="112"/>
      <c r="D993" s="112"/>
      <c r="E993" s="112"/>
      <c r="F993" s="112"/>
      <c r="G993" s="112"/>
      <c r="H993" s="112"/>
      <c r="I993" s="112"/>
      <c r="J993" s="112"/>
      <c r="K993" s="112"/>
      <c r="L993" s="112"/>
      <c r="M993" s="112"/>
      <c r="N993" s="112"/>
      <c r="O993" s="112"/>
      <c r="P993" s="112"/>
      <c r="Q993" s="112"/>
      <c r="R993" s="112"/>
      <c r="S993" s="112"/>
      <c r="T993" s="112"/>
      <c r="U993" s="112"/>
      <c r="V993" s="112"/>
      <c r="W993" s="112"/>
      <c r="X993" s="112"/>
      <c r="Y993" s="112"/>
      <c r="Z993" s="112"/>
    </row>
    <row r="994" spans="1:26">
      <c r="A994" s="112"/>
      <c r="B994" s="112"/>
      <c r="C994" s="112"/>
      <c r="D994" s="112"/>
      <c r="E994" s="112"/>
      <c r="F994" s="112"/>
      <c r="G994" s="112"/>
      <c r="H994" s="112"/>
      <c r="I994" s="112"/>
      <c r="J994" s="112"/>
      <c r="K994" s="112"/>
      <c r="L994" s="112"/>
      <c r="M994" s="112"/>
      <c r="N994" s="112"/>
      <c r="O994" s="112"/>
      <c r="P994" s="112"/>
      <c r="Q994" s="112"/>
      <c r="R994" s="112"/>
      <c r="S994" s="112"/>
      <c r="T994" s="112"/>
      <c r="U994" s="112"/>
      <c r="V994" s="112"/>
      <c r="W994" s="112"/>
      <c r="X994" s="112"/>
      <c r="Y994" s="112"/>
      <c r="Z994" s="112"/>
    </row>
    <row r="995" spans="1:26">
      <c r="A995" s="112"/>
      <c r="B995" s="112"/>
      <c r="C995" s="112"/>
      <c r="D995" s="112"/>
      <c r="E995" s="112"/>
      <c r="F995" s="112"/>
      <c r="G995" s="112"/>
      <c r="H995" s="112"/>
      <c r="I995" s="112"/>
      <c r="J995" s="112"/>
      <c r="K995" s="112"/>
      <c r="L995" s="112"/>
      <c r="M995" s="112"/>
      <c r="N995" s="112"/>
      <c r="O995" s="112"/>
      <c r="P995" s="112"/>
      <c r="Q995" s="112"/>
      <c r="R995" s="112"/>
      <c r="S995" s="112"/>
      <c r="T995" s="112"/>
      <c r="U995" s="112"/>
      <c r="V995" s="112"/>
      <c r="W995" s="112"/>
      <c r="X995" s="112"/>
      <c r="Y995" s="112"/>
      <c r="Z995" s="112"/>
    </row>
    <row r="996" spans="1:26">
      <c r="A996" s="112"/>
      <c r="B996" s="112"/>
      <c r="C996" s="112"/>
      <c r="D996" s="112"/>
      <c r="E996" s="112"/>
      <c r="F996" s="112"/>
      <c r="G996" s="112"/>
      <c r="H996" s="112"/>
      <c r="I996" s="112"/>
      <c r="J996" s="112"/>
      <c r="K996" s="112"/>
      <c r="L996" s="112"/>
      <c r="M996" s="112"/>
      <c r="N996" s="112"/>
      <c r="O996" s="112"/>
      <c r="P996" s="112"/>
      <c r="Q996" s="112"/>
      <c r="R996" s="112"/>
      <c r="S996" s="112"/>
      <c r="T996" s="112"/>
      <c r="U996" s="112"/>
      <c r="V996" s="112"/>
      <c r="W996" s="112"/>
      <c r="X996" s="112"/>
      <c r="Y996" s="112"/>
      <c r="Z996" s="112"/>
    </row>
    <row r="997" spans="1:26">
      <c r="A997" s="112"/>
      <c r="B997" s="112"/>
      <c r="C997" s="112"/>
      <c r="D997" s="112"/>
      <c r="E997" s="112"/>
      <c r="F997" s="112"/>
      <c r="G997" s="112"/>
      <c r="H997" s="112"/>
      <c r="I997" s="112"/>
      <c r="J997" s="112"/>
      <c r="K997" s="112"/>
      <c r="L997" s="112"/>
      <c r="M997" s="112"/>
      <c r="N997" s="112"/>
      <c r="O997" s="112"/>
      <c r="P997" s="112"/>
      <c r="Q997" s="112"/>
      <c r="R997" s="112"/>
      <c r="S997" s="112"/>
      <c r="T997" s="112"/>
      <c r="U997" s="112"/>
      <c r="V997" s="112"/>
      <c r="W997" s="112"/>
      <c r="X997" s="112"/>
      <c r="Y997" s="112"/>
      <c r="Z997" s="112"/>
    </row>
    <row r="998" spans="1:26">
      <c r="A998" s="112"/>
      <c r="B998" s="112"/>
      <c r="C998" s="112"/>
      <c r="D998" s="112"/>
      <c r="E998" s="112"/>
      <c r="F998" s="112"/>
      <c r="G998" s="112"/>
      <c r="H998" s="112"/>
      <c r="I998" s="112"/>
      <c r="J998" s="112"/>
      <c r="K998" s="112"/>
      <c r="L998" s="112"/>
      <c r="M998" s="112"/>
      <c r="N998" s="112"/>
      <c r="O998" s="112"/>
      <c r="P998" s="112"/>
      <c r="Q998" s="112"/>
      <c r="R998" s="112"/>
      <c r="S998" s="112"/>
      <c r="T998" s="112"/>
      <c r="U998" s="112"/>
      <c r="V998" s="112"/>
      <c r="W998" s="112"/>
      <c r="X998" s="112"/>
      <c r="Y998" s="112"/>
      <c r="Z998" s="112"/>
    </row>
    <row r="999" spans="1:26">
      <c r="A999" s="112"/>
      <c r="B999" s="112"/>
      <c r="C999" s="112"/>
      <c r="D999" s="112"/>
      <c r="E999" s="112"/>
      <c r="F999" s="112"/>
      <c r="G999" s="112"/>
      <c r="H999" s="112"/>
      <c r="I999" s="112"/>
      <c r="J999" s="112"/>
      <c r="K999" s="112"/>
      <c r="L999" s="112"/>
      <c r="M999" s="112"/>
      <c r="N999" s="112"/>
      <c r="O999" s="112"/>
      <c r="P999" s="112"/>
      <c r="Q999" s="112"/>
      <c r="R999" s="112"/>
      <c r="S999" s="112"/>
      <c r="T999" s="112"/>
      <c r="U999" s="112"/>
      <c r="V999" s="112"/>
      <c r="W999" s="112"/>
      <c r="X999" s="112"/>
      <c r="Y999" s="112"/>
      <c r="Z999" s="112"/>
    </row>
    <row r="1000" spans="1:26">
      <c r="A1000" s="112"/>
      <c r="B1000" s="112"/>
      <c r="C1000" s="112"/>
      <c r="D1000" s="112"/>
      <c r="E1000" s="112"/>
      <c r="F1000" s="112"/>
      <c r="G1000" s="112"/>
      <c r="H1000" s="112"/>
      <c r="I1000" s="112"/>
      <c r="J1000" s="112"/>
      <c r="K1000" s="112"/>
      <c r="L1000" s="112"/>
      <c r="M1000" s="112"/>
      <c r="N1000" s="112"/>
      <c r="O1000" s="112"/>
      <c r="P1000" s="112"/>
      <c r="Q1000" s="112"/>
      <c r="R1000" s="112"/>
      <c r="S1000" s="112"/>
      <c r="T1000" s="112"/>
      <c r="U1000" s="112"/>
      <c r="V1000" s="112"/>
      <c r="W1000" s="112"/>
      <c r="X1000" s="112"/>
      <c r="Y1000" s="112"/>
      <c r="Z1000" s="112"/>
    </row>
    <row r="1001" spans="1:26">
      <c r="A1001" s="112"/>
      <c r="B1001" s="112"/>
      <c r="C1001" s="112"/>
      <c r="D1001" s="112"/>
      <c r="E1001" s="112"/>
      <c r="F1001" s="112"/>
      <c r="G1001" s="112"/>
      <c r="H1001" s="112"/>
      <c r="I1001" s="112"/>
      <c r="J1001" s="112"/>
      <c r="K1001" s="112"/>
      <c r="L1001" s="112"/>
      <c r="M1001" s="112"/>
      <c r="N1001" s="112"/>
      <c r="O1001" s="112"/>
      <c r="P1001" s="112"/>
      <c r="Q1001" s="112"/>
      <c r="R1001" s="112"/>
      <c r="S1001" s="112"/>
      <c r="T1001" s="112"/>
      <c r="U1001" s="112"/>
      <c r="V1001" s="112"/>
      <c r="W1001" s="112"/>
      <c r="X1001" s="112"/>
      <c r="Y1001" s="112"/>
      <c r="Z1001" s="112"/>
    </row>
    <row r="1002" spans="1:26">
      <c r="A1002" s="112"/>
      <c r="B1002" s="112"/>
      <c r="C1002" s="112"/>
      <c r="D1002" s="112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2"/>
      <c r="Z1002" s="112"/>
    </row>
    <row r="1003" spans="1:26">
      <c r="A1003" s="112"/>
      <c r="B1003" s="112"/>
      <c r="C1003" s="112"/>
      <c r="D1003" s="112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2"/>
      <c r="Z1003" s="112"/>
    </row>
  </sheetData>
  <mergeCells count="7">
    <mergeCell ref="H39:I39"/>
    <mergeCell ref="H40:I40"/>
    <mergeCell ref="H34:I34"/>
    <mergeCell ref="H35:I35"/>
    <mergeCell ref="H36:I36"/>
    <mergeCell ref="H37:I37"/>
    <mergeCell ref="H38:I38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A874"/>
  <sheetViews>
    <sheetView showGridLines="0" topLeftCell="M18" workbookViewId="0">
      <selection activeCell="M19" sqref="M19"/>
    </sheetView>
  </sheetViews>
  <sheetFormatPr baseColWidth="10" defaultColWidth="12.7109375" defaultRowHeight="15" customHeight="1"/>
  <cols>
    <col min="1" max="1" width="5.140625" customWidth="1"/>
    <col min="2" max="2" width="42.140625" customWidth="1"/>
    <col min="3" max="3" width="20.5703125" customWidth="1"/>
    <col min="4" max="4" width="20.140625" customWidth="1"/>
    <col min="5" max="5" width="17.5703125" customWidth="1"/>
    <col min="6" max="6" width="36.7109375" customWidth="1"/>
    <col min="7" max="7" width="10.7109375" customWidth="1"/>
    <col min="8" max="8" width="5.28515625" customWidth="1"/>
    <col min="9" max="9" width="35.140625" customWidth="1"/>
    <col min="10" max="10" width="14.28515625" customWidth="1"/>
    <col min="11" max="11" width="21" customWidth="1"/>
    <col min="12" max="12" width="8.140625" customWidth="1"/>
    <col min="13" max="13" width="11.28515625" customWidth="1"/>
    <col min="14" max="14" width="10.28515625" bestFit="1" customWidth="1"/>
    <col min="15" max="15" width="32.28515625" customWidth="1"/>
    <col min="16" max="27" width="10.7109375" customWidth="1"/>
  </cols>
  <sheetData>
    <row r="1" spans="1:27" ht="15" customHeight="1">
      <c r="B1" s="159"/>
      <c r="C1" s="159"/>
      <c r="D1" s="159"/>
      <c r="E1" s="159"/>
      <c r="F1" s="159"/>
    </row>
    <row r="2" spans="1:27" ht="17.45" customHeight="1">
      <c r="A2" s="159"/>
      <c r="B2" s="983" t="s">
        <v>108</v>
      </c>
      <c r="C2" s="984"/>
      <c r="D2" s="984"/>
      <c r="E2" s="984"/>
      <c r="F2" s="985"/>
      <c r="G2" s="159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12.75" customHeight="1">
      <c r="B3" s="159"/>
      <c r="C3" s="159"/>
      <c r="D3" s="159"/>
      <c r="E3" s="159"/>
      <c r="F3" s="159"/>
      <c r="K3" s="33"/>
    </row>
    <row r="4" spans="1:27" ht="12.75" customHeight="1">
      <c r="A4" s="159"/>
      <c r="B4" s="978" t="s">
        <v>109</v>
      </c>
      <c r="C4" s="979"/>
      <c r="D4" s="979"/>
      <c r="E4" s="979"/>
      <c r="F4" s="980"/>
      <c r="G4" s="159"/>
      <c r="K4" s="33"/>
    </row>
    <row r="5" spans="1:27" ht="12.75" customHeight="1">
      <c r="A5" s="159"/>
      <c r="B5" s="195" t="s">
        <v>110</v>
      </c>
      <c r="C5" s="195" t="s">
        <v>111</v>
      </c>
      <c r="D5" s="195" t="s">
        <v>112</v>
      </c>
      <c r="E5" s="195" t="s">
        <v>113</v>
      </c>
      <c r="F5" s="195" t="s">
        <v>114</v>
      </c>
      <c r="G5" s="159"/>
      <c r="K5" s="33"/>
    </row>
    <row r="6" spans="1:27" ht="12.75" customHeight="1">
      <c r="A6" s="159"/>
      <c r="B6" s="195" t="s">
        <v>115</v>
      </c>
      <c r="C6" s="195">
        <v>1</v>
      </c>
      <c r="D6" s="559">
        <f>770000*InfoInicial!B31</f>
        <v>111650000</v>
      </c>
      <c r="E6" s="559">
        <f>D6*C6</f>
        <v>111650000</v>
      </c>
      <c r="F6" s="287" t="s">
        <v>116</v>
      </c>
      <c r="G6" s="159"/>
      <c r="K6" s="33"/>
    </row>
    <row r="7" spans="1:27" ht="12.75" customHeight="1">
      <c r="A7" s="159"/>
      <c r="C7" s="159"/>
      <c r="E7" s="159"/>
      <c r="F7" s="159"/>
      <c r="K7" s="33"/>
    </row>
    <row r="8" spans="1:27" ht="12.75" customHeight="1">
      <c r="B8" s="159"/>
      <c r="C8" s="159"/>
      <c r="D8" s="159"/>
      <c r="E8" s="159"/>
      <c r="F8" s="159"/>
    </row>
    <row r="9" spans="1:27" ht="12.75" customHeight="1">
      <c r="A9" s="159"/>
      <c r="B9" s="949" t="s">
        <v>117</v>
      </c>
      <c r="C9" s="981"/>
      <c r="D9" s="981"/>
      <c r="E9" s="981"/>
      <c r="F9" s="982"/>
      <c r="G9" t="s">
        <v>118</v>
      </c>
    </row>
    <row r="10" spans="1:27" ht="12.75" customHeight="1">
      <c r="B10" s="320" t="s">
        <v>119</v>
      </c>
      <c r="C10" s="320" t="s">
        <v>111</v>
      </c>
      <c r="D10" s="320" t="s">
        <v>120</v>
      </c>
      <c r="E10" s="320" t="s">
        <v>121</v>
      </c>
      <c r="F10" s="320" t="s">
        <v>122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2.75" customHeight="1">
      <c r="B11" s="288" t="s">
        <v>123</v>
      </c>
      <c r="C11" s="289">
        <v>6</v>
      </c>
      <c r="D11" s="290">
        <f>21999</f>
        <v>21999</v>
      </c>
      <c r="E11" s="290">
        <f>C11*D11</f>
        <v>131994</v>
      </c>
      <c r="F11" s="572" t="s">
        <v>124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ht="12.75" customHeight="1">
      <c r="B12" s="288" t="s">
        <v>125</v>
      </c>
      <c r="C12" s="289">
        <v>9</v>
      </c>
      <c r="D12" s="290">
        <f>31000</f>
        <v>31000</v>
      </c>
      <c r="E12" s="290">
        <f t="shared" ref="E12:E32" si="0">C12*D12</f>
        <v>279000</v>
      </c>
      <c r="F12" s="287" t="s">
        <v>126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ht="12.75" customHeight="1">
      <c r="B13" s="288" t="s">
        <v>127</v>
      </c>
      <c r="C13" s="289">
        <v>4</v>
      </c>
      <c r="D13" s="290">
        <f>148999</f>
        <v>148999</v>
      </c>
      <c r="E13" s="290">
        <f t="shared" si="0"/>
        <v>595996</v>
      </c>
      <c r="F13" s="291" t="s">
        <v>128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 ht="12.75" customHeight="1">
      <c r="B14" s="288" t="s">
        <v>129</v>
      </c>
      <c r="C14" s="289">
        <v>9</v>
      </c>
      <c r="D14" s="290">
        <v>179999</v>
      </c>
      <c r="E14" s="290">
        <f t="shared" si="0"/>
        <v>1619991</v>
      </c>
      <c r="F14" s="287" t="s">
        <v>130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spans="1:27" ht="12.75" customHeight="1">
      <c r="B15" s="288" t="s">
        <v>131</v>
      </c>
      <c r="C15" s="289">
        <v>11</v>
      </c>
      <c r="D15" s="290">
        <f>101290</f>
        <v>101290</v>
      </c>
      <c r="E15" s="290">
        <f t="shared" si="0"/>
        <v>1114190</v>
      </c>
      <c r="F15" s="572" t="s">
        <v>132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7" ht="12.75" customHeight="1">
      <c r="B16" s="288" t="s">
        <v>133</v>
      </c>
      <c r="C16" s="289">
        <v>3</v>
      </c>
      <c r="D16" s="290">
        <v>35800</v>
      </c>
      <c r="E16" s="290">
        <f t="shared" si="0"/>
        <v>107400</v>
      </c>
      <c r="F16" s="291" t="s">
        <v>134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spans="2:27" ht="12.75" customHeight="1">
      <c r="B17" s="288" t="s">
        <v>135</v>
      </c>
      <c r="C17" s="289">
        <v>8</v>
      </c>
      <c r="D17" s="290">
        <v>49000</v>
      </c>
      <c r="E17" s="290">
        <f t="shared" si="0"/>
        <v>392000</v>
      </c>
      <c r="F17" s="291" t="s">
        <v>136</v>
      </c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spans="2:27" ht="12.75" customHeight="1">
      <c r="B18" s="288" t="s">
        <v>137</v>
      </c>
      <c r="C18" s="289">
        <v>1</v>
      </c>
      <c r="D18" s="290">
        <v>24499</v>
      </c>
      <c r="E18" s="290">
        <f t="shared" si="0"/>
        <v>24499</v>
      </c>
      <c r="F18" s="291" t="s">
        <v>138</v>
      </c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spans="2:27" ht="12.75" customHeight="1">
      <c r="B19" s="288" t="s">
        <v>139</v>
      </c>
      <c r="C19" s="289">
        <v>6</v>
      </c>
      <c r="D19" s="290">
        <v>4577</v>
      </c>
      <c r="E19" s="290">
        <f t="shared" si="0"/>
        <v>27462</v>
      </c>
      <c r="F19" s="291" t="s">
        <v>140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</row>
    <row r="20" spans="2:27" ht="12.75" customHeight="1">
      <c r="B20" s="288" t="s">
        <v>141</v>
      </c>
      <c r="C20" s="289">
        <v>1</v>
      </c>
      <c r="D20" s="290">
        <v>27999</v>
      </c>
      <c r="E20" s="290">
        <f t="shared" si="0"/>
        <v>27999</v>
      </c>
      <c r="F20" s="291" t="s">
        <v>142</v>
      </c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2:27" ht="12.75" customHeight="1">
      <c r="B21" s="292" t="s">
        <v>143</v>
      </c>
      <c r="C21" s="289">
        <v>1</v>
      </c>
      <c r="D21" s="290">
        <v>44099</v>
      </c>
      <c r="E21" s="290">
        <f t="shared" si="0"/>
        <v>44099</v>
      </c>
      <c r="F21" s="291" t="s">
        <v>144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2:27" ht="12.75" customHeight="1">
      <c r="B22" s="288" t="s">
        <v>145</v>
      </c>
      <c r="C22" s="289">
        <v>1</v>
      </c>
      <c r="D22" s="290">
        <v>6419</v>
      </c>
      <c r="E22" s="290">
        <f t="shared" si="0"/>
        <v>6419</v>
      </c>
      <c r="F22" s="291" t="s">
        <v>146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</row>
    <row r="23" spans="2:27" ht="12.75" customHeight="1">
      <c r="B23" s="288" t="s">
        <v>147</v>
      </c>
      <c r="C23" s="289">
        <v>1</v>
      </c>
      <c r="D23" s="290">
        <v>30299</v>
      </c>
      <c r="E23" s="290">
        <f t="shared" si="0"/>
        <v>30299</v>
      </c>
      <c r="F23" s="291" t="s">
        <v>148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</row>
    <row r="24" spans="2:27" ht="12.75" customHeight="1">
      <c r="B24" s="288" t="s">
        <v>149</v>
      </c>
      <c r="C24" s="289">
        <v>1</v>
      </c>
      <c r="D24" s="290">
        <f>39999</f>
        <v>39999</v>
      </c>
      <c r="E24" s="290">
        <f t="shared" si="0"/>
        <v>39999</v>
      </c>
      <c r="F24" s="291" t="s">
        <v>150</v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</row>
    <row r="25" spans="2:27" ht="12.75" customHeight="1">
      <c r="B25" s="288" t="s">
        <v>151</v>
      </c>
      <c r="C25" s="289">
        <v>1</v>
      </c>
      <c r="D25" s="290">
        <v>52799</v>
      </c>
      <c r="E25" s="290">
        <f t="shared" si="0"/>
        <v>52799</v>
      </c>
      <c r="F25" s="291" t="s">
        <v>152</v>
      </c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</row>
    <row r="26" spans="2:27" ht="12.75" customHeight="1">
      <c r="B26" s="288" t="s">
        <v>153</v>
      </c>
      <c r="C26" s="289">
        <v>1</v>
      </c>
      <c r="D26" s="290">
        <v>2757</v>
      </c>
      <c r="E26" s="290">
        <f t="shared" si="0"/>
        <v>2757</v>
      </c>
      <c r="F26" s="291" t="s">
        <v>154</v>
      </c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</row>
    <row r="27" spans="2:27" ht="12.75" customHeight="1">
      <c r="B27" s="288" t="s">
        <v>155</v>
      </c>
      <c r="C27" s="289">
        <v>1</v>
      </c>
      <c r="D27" s="290">
        <v>128752</v>
      </c>
      <c r="E27" s="290">
        <f t="shared" si="0"/>
        <v>128752</v>
      </c>
      <c r="F27" s="287" t="s">
        <v>156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</row>
    <row r="28" spans="2:27" ht="12.75" customHeight="1">
      <c r="B28" s="288" t="s">
        <v>157</v>
      </c>
      <c r="C28" s="289">
        <v>11</v>
      </c>
      <c r="D28" s="290">
        <f>122484</f>
        <v>122484</v>
      </c>
      <c r="E28" s="290">
        <f t="shared" si="0"/>
        <v>1347324</v>
      </c>
      <c r="F28" s="287" t="s">
        <v>158</v>
      </c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</row>
    <row r="29" spans="2:27" ht="12.75" customHeight="1">
      <c r="B29" s="288" t="s">
        <v>159</v>
      </c>
      <c r="C29" s="289">
        <v>4</v>
      </c>
      <c r="D29" s="290">
        <f>3800</f>
        <v>3800</v>
      </c>
      <c r="E29" s="290">
        <f t="shared" si="0"/>
        <v>15200</v>
      </c>
      <c r="F29" s="291" t="s">
        <v>160</v>
      </c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</row>
    <row r="30" spans="2:27" ht="12.75" customHeight="1">
      <c r="B30" s="288" t="s">
        <v>161</v>
      </c>
      <c r="C30" s="289">
        <v>1</v>
      </c>
      <c r="D30" s="290">
        <f>18100</f>
        <v>18100</v>
      </c>
      <c r="E30" s="290">
        <f t="shared" si="0"/>
        <v>18100</v>
      </c>
      <c r="F30" s="291" t="s">
        <v>162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</row>
    <row r="31" spans="2:27" ht="12.75" customHeight="1">
      <c r="B31" s="288" t="s">
        <v>163</v>
      </c>
      <c r="C31" s="289">
        <v>4</v>
      </c>
      <c r="D31" s="290">
        <f>17900</f>
        <v>17900</v>
      </c>
      <c r="E31" s="290">
        <f t="shared" si="0"/>
        <v>71600</v>
      </c>
      <c r="F31" s="291" t="s">
        <v>164</v>
      </c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</row>
    <row r="32" spans="2:27" ht="12.75" customHeight="1">
      <c r="B32" s="575" t="s">
        <v>165</v>
      </c>
      <c r="C32" s="293">
        <v>10</v>
      </c>
      <c r="D32" s="294">
        <f>1615</f>
        <v>1615</v>
      </c>
      <c r="E32" s="294">
        <f t="shared" si="0"/>
        <v>16150</v>
      </c>
      <c r="F32" s="576" t="s">
        <v>166</v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</row>
    <row r="33" spans="1:27" ht="12.75" customHeight="1">
      <c r="A33" s="159"/>
      <c r="B33" s="573" t="s">
        <v>167</v>
      </c>
      <c r="C33" s="574">
        <v>2</v>
      </c>
      <c r="D33" s="290">
        <v>59900</v>
      </c>
      <c r="E33" s="290">
        <f>C33*D33</f>
        <v>119800</v>
      </c>
      <c r="F33" s="295" t="s">
        <v>168</v>
      </c>
      <c r="G33" s="159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ht="12.75" customHeight="1">
      <c r="A34" s="159"/>
      <c r="B34" s="573" t="s">
        <v>169</v>
      </c>
      <c r="C34" s="574">
        <v>1</v>
      </c>
      <c r="D34" s="290">
        <v>137000</v>
      </c>
      <c r="E34" s="290">
        <f>D34*C34</f>
        <v>137000</v>
      </c>
      <c r="F34" s="582" t="s">
        <v>170</v>
      </c>
      <c r="G34" s="159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2.75" customHeight="1">
      <c r="A35" s="159"/>
      <c r="B35" s="573" t="s">
        <v>171</v>
      </c>
      <c r="C35" s="574">
        <v>3</v>
      </c>
      <c r="D35" s="290">
        <v>62000</v>
      </c>
      <c r="E35" s="290">
        <f>D35*C35</f>
        <v>186000</v>
      </c>
      <c r="F35" s="582" t="s">
        <v>172</v>
      </c>
      <c r="G35" s="159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</row>
    <row r="36" spans="1:27" ht="12.75" customHeight="1">
      <c r="A36" s="159"/>
      <c r="B36" s="573" t="s">
        <v>173</v>
      </c>
      <c r="C36" s="574">
        <v>3</v>
      </c>
      <c r="D36" s="290">
        <v>45000</v>
      </c>
      <c r="E36" s="290">
        <f>D36*C36</f>
        <v>135000</v>
      </c>
      <c r="F36" s="582" t="s">
        <v>174</v>
      </c>
      <c r="G36" s="159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</row>
    <row r="37" spans="1:27" ht="12.75" customHeight="1">
      <c r="B37" s="577" t="s">
        <v>175</v>
      </c>
      <c r="C37" s="578">
        <f>SUM(C11:C33)</f>
        <v>97</v>
      </c>
      <c r="D37" s="579">
        <f>SUM(D11:D33)</f>
        <v>1154085</v>
      </c>
      <c r="E37" s="580">
        <f>SUM(E11:E36)</f>
        <v>6671829</v>
      </c>
      <c r="F37" s="581"/>
    </row>
    <row r="38" spans="1:27" ht="12.75" customHeight="1">
      <c r="B38" s="3"/>
      <c r="C38" s="159"/>
      <c r="D38" s="159"/>
      <c r="E38" s="159"/>
    </row>
    <row r="39" spans="1:27" ht="12.75" customHeight="1">
      <c r="B39" s="159"/>
      <c r="C39" s="159"/>
      <c r="D39" s="159"/>
      <c r="E39" s="159"/>
      <c r="F39" s="159"/>
    </row>
    <row r="40" spans="1:27" ht="12.75" customHeight="1">
      <c r="A40" s="159"/>
      <c r="B40" s="321" t="s">
        <v>176</v>
      </c>
      <c r="C40" s="322" t="s">
        <v>111</v>
      </c>
      <c r="D40" s="323" t="s">
        <v>112</v>
      </c>
      <c r="E40" s="322" t="s">
        <v>113</v>
      </c>
      <c r="F40" s="323" t="s">
        <v>114</v>
      </c>
    </row>
    <row r="41" spans="1:27" ht="12.75" customHeight="1">
      <c r="B41" s="296" t="s">
        <v>177</v>
      </c>
      <c r="C41" s="289">
        <f>6</f>
        <v>6</v>
      </c>
      <c r="D41" s="297">
        <f>5500*InfoInicial!B31</f>
        <v>797500</v>
      </c>
      <c r="E41" s="298">
        <f>C41*D41+(0.05*D41*C41)</f>
        <v>5024250</v>
      </c>
      <c r="F41" s="299" t="s">
        <v>178</v>
      </c>
      <c r="G41" t="s">
        <v>179</v>
      </c>
    </row>
    <row r="42" spans="1:27" ht="12.75" customHeight="1">
      <c r="B42" s="296" t="s">
        <v>180</v>
      </c>
      <c r="C42" s="289">
        <f>21</f>
        <v>21</v>
      </c>
      <c r="D42" s="297">
        <f>45*InfoInicial!B31</f>
        <v>6525</v>
      </c>
      <c r="E42" s="298">
        <f>C42*D42</f>
        <v>137025</v>
      </c>
      <c r="F42" s="300" t="s">
        <v>178</v>
      </c>
    </row>
    <row r="43" spans="1:27" ht="12.75" customHeight="1">
      <c r="B43" s="296" t="s">
        <v>181</v>
      </c>
      <c r="C43" s="289">
        <f>3</f>
        <v>3</v>
      </c>
      <c r="D43" s="297">
        <f>6200*InfoInicial!B31</f>
        <v>899000</v>
      </c>
      <c r="E43" s="298">
        <f>C43*D43+(0.05*D43*C43)</f>
        <v>2831850</v>
      </c>
      <c r="F43" s="300" t="s">
        <v>178</v>
      </c>
      <c r="G43" t="s">
        <v>179</v>
      </c>
    </row>
    <row r="44" spans="1:27" ht="12.75" customHeight="1">
      <c r="B44" s="296" t="s">
        <v>182</v>
      </c>
      <c r="C44" s="289">
        <f>6</f>
        <v>6</v>
      </c>
      <c r="D44" s="297">
        <f>6000*InfoInicial!B31</f>
        <v>870000</v>
      </c>
      <c r="E44" s="298">
        <f t="shared" ref="E44" si="1">C44*D44+(0.05*D44*C44)</f>
        <v>5481000</v>
      </c>
      <c r="F44" s="300" t="s">
        <v>178</v>
      </c>
      <c r="G44" t="s">
        <v>179</v>
      </c>
    </row>
    <row r="45" spans="1:27" ht="12.75" customHeight="1">
      <c r="B45" s="296" t="s">
        <v>183</v>
      </c>
      <c r="C45" s="289">
        <f>4</f>
        <v>4</v>
      </c>
      <c r="D45" s="297">
        <f>4780*InfoInicial!B31</f>
        <v>693100</v>
      </c>
      <c r="E45" s="298">
        <f>C45*D45+(0.05*D45*C45)</f>
        <v>2911020</v>
      </c>
      <c r="F45" s="300" t="s">
        <v>178</v>
      </c>
      <c r="G45" t="s">
        <v>179</v>
      </c>
    </row>
    <row r="46" spans="1:27" ht="12.75" customHeight="1">
      <c r="A46" s="159"/>
      <c r="B46" s="301" t="s">
        <v>175</v>
      </c>
      <c r="C46" s="301">
        <f>SUM(C41:C45)</f>
        <v>40</v>
      </c>
      <c r="D46" s="302">
        <f>SUM(D41:D45)</f>
        <v>3266125</v>
      </c>
      <c r="E46" s="303">
        <f>SUM(E41:E45)</f>
        <v>16385145</v>
      </c>
      <c r="F46" s="181"/>
    </row>
    <row r="47" spans="1:27" ht="12.75" customHeight="1">
      <c r="A47" s="159"/>
      <c r="B47" s="204"/>
      <c r="C47" s="204"/>
      <c r="D47" s="205"/>
      <c r="E47" s="205"/>
      <c r="F47" s="206"/>
      <c r="G47" s="207"/>
    </row>
    <row r="48" spans="1:27" ht="12.75" customHeight="1">
      <c r="A48" s="159"/>
      <c r="B48" s="324" t="s">
        <v>184</v>
      </c>
      <c r="C48" s="322" t="s">
        <v>111</v>
      </c>
      <c r="D48" s="323" t="s">
        <v>112</v>
      </c>
      <c r="E48" s="322" t="s">
        <v>113</v>
      </c>
      <c r="F48" s="323" t="s">
        <v>114</v>
      </c>
      <c r="G48" s="207"/>
    </row>
    <row r="49" spans="1:7" ht="12.75" customHeight="1">
      <c r="A49" s="159"/>
      <c r="B49" s="304" t="s">
        <v>185</v>
      </c>
      <c r="C49" s="305">
        <v>1</v>
      </c>
      <c r="D49" s="306">
        <f>17000*1.21*InfoInicial!B31</f>
        <v>2982650</v>
      </c>
      <c r="E49" s="307">
        <f>D49*C49+0.05*(C49*D49)</f>
        <v>3131782.5</v>
      </c>
      <c r="F49" s="300" t="s">
        <v>178</v>
      </c>
      <c r="G49" s="230" t="s">
        <v>179</v>
      </c>
    </row>
    <row r="50" spans="1:7" ht="12.75" customHeight="1">
      <c r="B50" s="159"/>
      <c r="C50" s="159"/>
      <c r="D50" s="159"/>
      <c r="E50" s="159"/>
      <c r="F50" s="159"/>
    </row>
    <row r="51" spans="1:7" ht="15.75" customHeight="1">
      <c r="A51" s="159"/>
      <c r="B51" s="986" t="s">
        <v>186</v>
      </c>
      <c r="C51" s="987"/>
      <c r="D51" s="987"/>
      <c r="E51" s="987"/>
      <c r="F51" s="988"/>
      <c r="G51" s="159"/>
    </row>
    <row r="52" spans="1:7" ht="12.75" customHeight="1">
      <c r="B52" s="159"/>
      <c r="C52" s="159"/>
      <c r="D52" s="159"/>
      <c r="E52" s="159"/>
      <c r="F52" s="159"/>
    </row>
    <row r="53" spans="1:7" ht="12.75" customHeight="1">
      <c r="A53" s="159"/>
      <c r="B53" s="949" t="s">
        <v>187</v>
      </c>
      <c r="C53" s="981"/>
      <c r="D53" s="981"/>
      <c r="E53" s="981"/>
      <c r="F53" s="982"/>
      <c r="G53" s="159"/>
    </row>
    <row r="54" spans="1:7" ht="12.75" customHeight="1">
      <c r="B54" s="159"/>
      <c r="C54" s="193"/>
      <c r="D54" s="325" t="s">
        <v>188</v>
      </c>
      <c r="E54" s="326" t="s">
        <v>122</v>
      </c>
      <c r="F54" s="159"/>
    </row>
    <row r="55" spans="1:7" ht="12.75" customHeight="1">
      <c r="C55" s="308" t="s">
        <v>187</v>
      </c>
      <c r="D55" s="309">
        <v>44640</v>
      </c>
      <c r="E55" s="310" t="s">
        <v>189</v>
      </c>
      <c r="F55" s="159"/>
    </row>
    <row r="56" spans="1:7" ht="12.75" customHeight="1">
      <c r="B56" s="159"/>
      <c r="C56" s="159"/>
      <c r="D56" s="159"/>
      <c r="E56" s="159"/>
      <c r="F56" s="159"/>
    </row>
    <row r="57" spans="1:7" ht="12.75" customHeight="1">
      <c r="A57" s="159"/>
      <c r="B57" s="949" t="s">
        <v>190</v>
      </c>
      <c r="C57" s="981"/>
      <c r="D57" s="981"/>
      <c r="E57" s="981"/>
      <c r="F57" s="982"/>
      <c r="G57" s="159"/>
    </row>
    <row r="58" spans="1:7" ht="12.75">
      <c r="B58" s="325" t="s">
        <v>191</v>
      </c>
      <c r="C58" s="325" t="s">
        <v>192</v>
      </c>
      <c r="D58" s="327" t="s">
        <v>188</v>
      </c>
      <c r="E58" s="327" t="s">
        <v>122</v>
      </c>
      <c r="F58" s="159"/>
    </row>
    <row r="59" spans="1:7" ht="12.75" customHeight="1">
      <c r="B59" s="311">
        <v>1865</v>
      </c>
      <c r="C59" s="311">
        <v>200</v>
      </c>
      <c r="D59" s="311">
        <f>B59*C59</f>
        <v>373000</v>
      </c>
      <c r="E59" s="312" t="s">
        <v>193</v>
      </c>
    </row>
    <row r="60" spans="1:7" ht="12.75" customHeight="1"/>
    <row r="61" spans="1:7" ht="12.75" customHeight="1">
      <c r="B61" s="159"/>
      <c r="C61" s="159"/>
      <c r="D61" s="159"/>
      <c r="E61" s="159"/>
      <c r="F61" s="159"/>
    </row>
    <row r="62" spans="1:7" ht="12.75" customHeight="1">
      <c r="A62" s="159"/>
      <c r="B62" s="949" t="s">
        <v>194</v>
      </c>
      <c r="C62" s="981"/>
      <c r="D62" s="981"/>
      <c r="E62" s="981"/>
      <c r="F62" s="982"/>
      <c r="G62" s="159"/>
    </row>
    <row r="63" spans="1:7" ht="12.75" customHeight="1">
      <c r="B63" s="320" t="s">
        <v>195</v>
      </c>
      <c r="C63" s="320" t="s">
        <v>111</v>
      </c>
      <c r="D63" s="320" t="s">
        <v>112</v>
      </c>
      <c r="E63" s="320" t="s">
        <v>122</v>
      </c>
      <c r="F63" s="159"/>
    </row>
    <row r="64" spans="1:7" ht="12.75" customHeight="1">
      <c r="B64" s="313" t="s">
        <v>196</v>
      </c>
      <c r="C64" s="288">
        <v>1</v>
      </c>
      <c r="D64" s="314">
        <f>2210+1020000</f>
        <v>1022210</v>
      </c>
      <c r="E64" s="315" t="s">
        <v>197</v>
      </c>
      <c r="F64" t="s">
        <v>198</v>
      </c>
    </row>
    <row r="65" spans="1:7" ht="12.75" customHeight="1">
      <c r="B65" s="313" t="s">
        <v>199</v>
      </c>
      <c r="C65" s="288">
        <v>1</v>
      </c>
      <c r="D65" s="314">
        <v>9750</v>
      </c>
      <c r="E65" s="316" t="s">
        <v>200</v>
      </c>
      <c r="F65" t="s">
        <v>201</v>
      </c>
    </row>
    <row r="66" spans="1:7" ht="12.75" customHeight="1">
      <c r="B66" s="313" t="s">
        <v>202</v>
      </c>
      <c r="C66" s="288">
        <v>1</v>
      </c>
      <c r="D66" s="314">
        <f>54700</f>
        <v>54700</v>
      </c>
      <c r="E66" s="317" t="s">
        <v>200</v>
      </c>
      <c r="F66" t="s">
        <v>203</v>
      </c>
    </row>
    <row r="67" spans="1:7" ht="12.75" customHeight="1">
      <c r="B67" s="313" t="s">
        <v>204</v>
      </c>
      <c r="C67" s="288">
        <v>1</v>
      </c>
      <c r="D67" s="314">
        <v>1563</v>
      </c>
      <c r="E67" s="316" t="s">
        <v>200</v>
      </c>
      <c r="F67" t="s">
        <v>203</v>
      </c>
    </row>
    <row r="68" spans="1:7" ht="12.75" customHeight="1">
      <c r="B68" s="313" t="s">
        <v>205</v>
      </c>
      <c r="C68" s="288">
        <v>1</v>
      </c>
      <c r="D68" s="314">
        <f>SUM(D66:D67)</f>
        <v>56263</v>
      </c>
      <c r="E68" s="315" t="s">
        <v>206</v>
      </c>
      <c r="F68" t="s">
        <v>207</v>
      </c>
    </row>
    <row r="69" spans="1:7" ht="12.75" customHeight="1">
      <c r="B69" s="313" t="s">
        <v>188</v>
      </c>
      <c r="C69" s="313" t="s">
        <v>200</v>
      </c>
      <c r="D69" s="318">
        <v>59900</v>
      </c>
      <c r="E69" s="319"/>
    </row>
    <row r="70" spans="1:7" ht="12.75" customHeight="1"/>
    <row r="71" spans="1:7" ht="12.75" customHeight="1">
      <c r="B71" s="978" t="s">
        <v>208</v>
      </c>
      <c r="C71" s="979"/>
      <c r="D71" s="979"/>
      <c r="E71" s="979"/>
      <c r="F71" s="980"/>
    </row>
    <row r="72" spans="1:7" ht="12.75" customHeight="1">
      <c r="A72" s="159"/>
      <c r="B72" s="195" t="s">
        <v>209</v>
      </c>
      <c r="C72" s="195" t="s">
        <v>112</v>
      </c>
      <c r="D72" s="195" t="s">
        <v>210</v>
      </c>
      <c r="E72" s="195" t="s">
        <v>113</v>
      </c>
      <c r="F72" s="560" t="s">
        <v>113</v>
      </c>
      <c r="G72" s="560"/>
    </row>
    <row r="73" spans="1:7" ht="12.75" customHeight="1">
      <c r="A73" s="159"/>
      <c r="B73" s="195" t="s">
        <v>211</v>
      </c>
      <c r="C73" s="561">
        <v>110000</v>
      </c>
      <c r="D73" s="195" t="s">
        <v>212</v>
      </c>
      <c r="E73" s="561">
        <f>C73*'InfoInicial-CálcAux'!C27</f>
        <v>18394200</v>
      </c>
      <c r="F73" s="562" t="s">
        <v>213</v>
      </c>
    </row>
    <row r="74" spans="1:7" ht="12.75" customHeight="1">
      <c r="A74" s="159"/>
      <c r="B74" s="195" t="s">
        <v>214</v>
      </c>
      <c r="C74" s="195"/>
      <c r="D74" s="195"/>
      <c r="E74" s="561">
        <v>1700000</v>
      </c>
      <c r="F74" s="562" t="s">
        <v>215</v>
      </c>
    </row>
    <row r="75" spans="1:7" ht="12.75" customHeight="1">
      <c r="A75" s="159"/>
      <c r="B75" s="195" t="s">
        <v>216</v>
      </c>
      <c r="C75" s="195">
        <v>7323</v>
      </c>
      <c r="D75" s="195" t="s">
        <v>217</v>
      </c>
      <c r="E75" s="561">
        <f>C75*'InfoInicial-CálcAux'!G31</f>
        <v>3515040</v>
      </c>
      <c r="F75" s="562" t="s">
        <v>218</v>
      </c>
    </row>
    <row r="76" spans="1:7" ht="12.75" customHeight="1">
      <c r="A76" s="159"/>
      <c r="B76" s="195" t="s">
        <v>219</v>
      </c>
      <c r="C76" s="195"/>
      <c r="D76" s="195"/>
      <c r="E76" s="561">
        <v>140600</v>
      </c>
      <c r="F76" s="562" t="s">
        <v>220</v>
      </c>
    </row>
    <row r="77" spans="1:7" ht="12.75" customHeight="1">
      <c r="A77" s="159"/>
      <c r="B77" s="195" t="s">
        <v>221</v>
      </c>
      <c r="C77" s="195"/>
      <c r="D77" s="195"/>
      <c r="E77" s="561">
        <v>1800000</v>
      </c>
      <c r="F77" s="562" t="s">
        <v>220</v>
      </c>
    </row>
    <row r="78" spans="1:7" ht="12.75" customHeight="1">
      <c r="A78" s="159"/>
      <c r="B78" s="195" t="s">
        <v>222</v>
      </c>
      <c r="C78" s="195" t="s">
        <v>223</v>
      </c>
      <c r="D78" s="195" t="s">
        <v>223</v>
      </c>
      <c r="E78" s="561">
        <f>E87</f>
        <v>808420</v>
      </c>
      <c r="F78" s="562"/>
    </row>
    <row r="79" spans="1:7" ht="12.75" customHeight="1">
      <c r="B79" s="565" t="s">
        <v>224</v>
      </c>
      <c r="C79" s="159"/>
      <c r="D79" s="159"/>
      <c r="E79" s="566">
        <f>SUM(E73:E78)</f>
        <v>26358260</v>
      </c>
    </row>
    <row r="80" spans="1:7" ht="12.75" customHeight="1"/>
    <row r="81" spans="2:6" ht="12.75" customHeight="1"/>
    <row r="82" spans="2:6" ht="12.75" customHeight="1">
      <c r="B82" s="978" t="s">
        <v>222</v>
      </c>
      <c r="C82" s="979"/>
      <c r="D82" s="979"/>
      <c r="E82" s="979"/>
      <c r="F82" s="980"/>
    </row>
    <row r="83" spans="2:6" ht="12.75" customHeight="1">
      <c r="B83" s="195" t="s">
        <v>209</v>
      </c>
      <c r="C83" s="195" t="s">
        <v>112</v>
      </c>
      <c r="D83" s="195" t="s">
        <v>111</v>
      </c>
      <c r="E83" s="195" t="s">
        <v>113</v>
      </c>
      <c r="F83" s="209" t="s">
        <v>113</v>
      </c>
    </row>
    <row r="84" spans="2:6" ht="12.75" customHeight="1">
      <c r="B84" s="195" t="s">
        <v>225</v>
      </c>
      <c r="C84" s="561">
        <f>12138</f>
        <v>12138</v>
      </c>
      <c r="D84" s="195">
        <f>20</f>
        <v>20</v>
      </c>
      <c r="E84" s="561">
        <f>C84*D84</f>
        <v>242760</v>
      </c>
      <c r="F84" s="564" t="s">
        <v>226</v>
      </c>
    </row>
    <row r="85" spans="2:6" ht="12.75" customHeight="1">
      <c r="B85" s="195" t="s">
        <v>227</v>
      </c>
      <c r="C85" s="561">
        <f>275000</f>
        <v>275000</v>
      </c>
      <c r="D85" s="195">
        <f>2</f>
        <v>2</v>
      </c>
      <c r="E85" s="561">
        <f>C85*D85</f>
        <v>550000</v>
      </c>
      <c r="F85" s="564" t="s">
        <v>228</v>
      </c>
    </row>
    <row r="86" spans="2:6" ht="12.75" customHeight="1">
      <c r="B86" s="195" t="s">
        <v>229</v>
      </c>
      <c r="C86" s="561">
        <f>522</f>
        <v>522</v>
      </c>
      <c r="D86" s="195">
        <f>30</f>
        <v>30</v>
      </c>
      <c r="E86" s="561">
        <f>C86*D86</f>
        <v>15660</v>
      </c>
      <c r="F86" s="564" t="s">
        <v>230</v>
      </c>
    </row>
    <row r="87" spans="2:6" ht="12.75" customHeight="1">
      <c r="B87" s="567" t="s">
        <v>224</v>
      </c>
      <c r="E87" s="568">
        <f>SUM(E84:E86)</f>
        <v>808420</v>
      </c>
    </row>
    <row r="88" spans="2:6" ht="12.75" customHeight="1"/>
    <row r="89" spans="2:6" ht="12.75" customHeight="1"/>
    <row r="90" spans="2:6" ht="12.75" customHeight="1"/>
    <row r="91" spans="2:6" ht="12.75" customHeight="1"/>
    <row r="92" spans="2:6" ht="12.75" customHeight="1"/>
    <row r="93" spans="2:6" ht="12.75" customHeight="1"/>
    <row r="94" spans="2:6" ht="12.75" customHeight="1"/>
    <row r="95" spans="2:6" ht="12.75" customHeight="1"/>
    <row r="96" spans="2: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</sheetData>
  <mergeCells count="9">
    <mergeCell ref="B82:F82"/>
    <mergeCell ref="B71:F71"/>
    <mergeCell ref="B57:F57"/>
    <mergeCell ref="B62:F62"/>
    <mergeCell ref="B2:F2"/>
    <mergeCell ref="B4:F4"/>
    <mergeCell ref="B9:F9"/>
    <mergeCell ref="B51:F51"/>
    <mergeCell ref="B53:F53"/>
  </mergeCells>
  <hyperlinks>
    <hyperlink ref="E59" r:id="rId1" xr:uid="{00000000-0004-0000-0200-000021000000}"/>
    <hyperlink ref="F16" r:id="rId2" location="searchVariation=MLA15712570&amp;position=3&amp;search_layout=stack&amp;type=product&amp;tracking_id=7b9e6bec-57d8-446f-8bc3-a4ad31366a67" display="https://www.mercadolibre.com.ar/impresora-multifuncion-canon-imageclass-mf264dw-con-wifi-negra-120v230v/p/MLA15712570?pdp_filters=category:MLA1676#searchVariation=MLA15712570&amp;position=3&amp;search_layout=stack&amp;type=product&amp;tracking_id=7b9e6bec-57d8-446f-8bc3-a4ad31366a67" xr:uid="{F142C1E2-7923-4FF9-8BB6-D4632A9BFD6F}"/>
    <hyperlink ref="F22" r:id="rId3" location="searchVariation=MLA15589099&amp;position=1&amp;search_layout=stack&amp;type=product&amp;tracking_id=b6a19907-4e9a-4b34-80d7-41e2ee314e58" xr:uid="{B89BA819-FAB3-4263-A0A9-10BE811A7E0B}"/>
    <hyperlink ref="F21" r:id="rId4" location="searchVariation=MLA17827341&amp;position=1&amp;search_layout=stack&amp;type=product&amp;tracking_id=cf35afda-f493-4217-b220-7f68514f6bc6" display="https://www.mercadolibre.com.ar/heladera-patrick-hpk135m00b01-blanca-con-freezer-264l-220v/p/MLA17827341?pdp_filters=category:MLA398582#searchVariation=MLA17827341&amp;position=1&amp;search_layout=stack&amp;type=product&amp;tracking_id=cf35afda-f493-4217-b220-7f68514f6bc6" xr:uid="{3E03FA61-5058-4D72-ADD5-300CC7DC3B90}"/>
    <hyperlink ref="F20" r:id="rId5" location="searchVariation=MLA16266563&amp;position=1&amp;search_layout=stack&amp;type=product&amp;tracking_id=7c9d82e7-eccc-457a-ba45-7cabe5d0d358" xr:uid="{C9CC7293-C2C7-444D-80B6-E92456BBB7F1}"/>
    <hyperlink ref="F11" r:id="rId6" location="D[A:escritorio%20de%20oficina" xr:uid="{E5A859D6-5B8B-4126-826C-3AE9DA30D463}"/>
    <hyperlink ref="F12" r:id="rId7" location="12676052" xr:uid="{F121E323-60DE-42DB-8D54-59B180CE3987}"/>
    <hyperlink ref="F13" r:id="rId8" location="searchVariation=MLA18705457&amp;position=1&amp;search_layout=stack&amp;type=product&amp;tracking_id=51262458-6bba-4c69-bf07-13fb2da80d18" display="https://www.mercadolibre.com.ar/aire-acondicionado-bgh-split-friocalor-3000-frigorias-blanco-220v-bs35wcat/p/MLA18705457?pdp_filters=category:MLA1644#searchVariation=MLA18705457&amp;position=1&amp;search_layout=stack&amp;type=product&amp;tracking_id=51262458-6bba-4c69-bf07-13fb2da80d18" xr:uid="{12F425B2-B097-4F33-95DB-BDCBCEC0E8FB}"/>
    <hyperlink ref="F15" r:id="rId9" location="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" display="https://articulo.mercadolibre.com.ar/MLA-1125288930-computadora-pc-cpu-solarmax-intel-core-i5-16gb-480-ssd-wifi-_JM#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" xr:uid="{9B7633B2-9D1A-4814-9D13-8C7ABF0C213B}"/>
    <hyperlink ref="F17" r:id="rId10" location="position=2&amp;search_layout=grid&amp;type=item&amp;tracking_id=0578791d-eb0b-48e2-88db-9723fd138cd3" xr:uid="{FF3BE663-DC6D-423E-82D4-C454B4622B5D}"/>
    <hyperlink ref="F18" r:id="rId11" location="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" display="https://articulo.mercadolibre.com.ar/MLA-611291859-caja-fuerte-digital-llave-tamano-apto-notebook-43x20x37cm-_JM#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" xr:uid="{F959C789-11E4-4B6A-86C9-1975C01772B5}"/>
    <hyperlink ref="F19" r:id="rId12" location="reco_item_pos=0&amp;reco_backend=machinalis-pdp-v2p&amp;reco_backend_type=low_level&amp;reco_client=pdp-v2p&amp;reco_id=14a3901e-a85c-46bb-90ae-509749f0aa93" xr:uid="{10C65A80-E917-41F0-B5F9-18D43E19C033}"/>
    <hyperlink ref="F23" r:id="rId13" location="searchVariation=MLA15237032&amp;position=2&amp;search_layout=grid&amp;type=product&amp;tracking_id=dada3120-26c1-48df-a83d-22f4b113ad10" xr:uid="{7A15F8BA-EB7F-4383-B26A-B2E4CC8C8DD2}"/>
    <hyperlink ref="F26" r:id="rId14" location="position=29&amp;search_layout=stack&amp;type=item&amp;tracking_id=d4da9a15-9b11-4042-8a49-f16b01251702" xr:uid="{F805DC05-95C9-45CE-941A-E0A0133F2899}"/>
    <hyperlink ref="F25" r:id="rId15" location="position=1&amp;search_layout=stack&amp;type=item&amp;tracking_id=cb9ebdf6-1f28-47f2-be8f-1df72e6725a6" xr:uid="{4932D623-689F-4A29-8318-CA2E1C5492E6}"/>
    <hyperlink ref="F33" r:id="rId16" location="position=1&amp;search_layout=stack&amp;type=item&amp;tracking_id=489b1133-0d3c-43f1-822c-c2d05b3eb548" xr:uid="{045352CC-636F-4C60-9C40-6A36CF9E8A6D}"/>
    <hyperlink ref="E55" r:id="rId17" xr:uid="{00000000-0004-0000-0200-000020000000}"/>
    <hyperlink ref="E64" r:id="rId18" xr:uid="{A0FB8D74-4724-46B7-925A-AEB9C8F0D866}"/>
    <hyperlink ref="E68" r:id="rId19" xr:uid="{0576D8DA-F53F-4BDC-8C05-98B05935EFB7}"/>
    <hyperlink ref="F6" r:id="rId20" location="position=1&amp;search_layout=grid&amp;type=item&amp;tracking_id=3282a7a9-e3ac-4b56-b7f2-59d12d40354e" xr:uid="{7E857271-CF14-477C-B87F-400B956A4C1C}"/>
    <hyperlink ref="F14" r:id="rId21" xr:uid="{BB65C7EE-570F-41FD-876F-EFB50FAB302B}"/>
    <hyperlink ref="F27" r:id="rId22" display="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" xr:uid="{8583BDB3-0220-48D6-97C7-9A6D59BC72CB}"/>
    <hyperlink ref="F73" r:id="rId23" location="position=4&amp;search_layout=stack&amp;type=item&amp;tracking_id=3b5033f1-e9c8-40a3-a0bd-57e63847851f" xr:uid="{85F83BF1-B8E7-4420-B41B-894A4F713B42}"/>
    <hyperlink ref="F76" r:id="rId24" xr:uid="{4CD758F2-58C5-4097-ACB8-3E5CB1D8A233}"/>
    <hyperlink ref="F75" r:id="rId25" xr:uid="{EE853C40-BBEA-464F-BA74-76175B76113F}"/>
    <hyperlink ref="F77" r:id="rId26" xr:uid="{B3253F08-8CBD-40B4-B938-10C26182A4F8}"/>
    <hyperlink ref="F84" r:id="rId27" location="position=4&amp;search_layout=stack&amp;type=item&amp;tracking_id=a3ee9889-4c16-4682-a0a9-2dad5ce30308" xr:uid="{9447AE47-A3DC-4FFB-9328-6D5A67672D26}"/>
    <hyperlink ref="F85" r:id="rId28" location="position=30&amp;search_layout=stack&amp;type=item&amp;tracking_id=7d2d7fcc-8f48-436e-9955-c65cd158abca" xr:uid="{7C57B7DF-2BF7-479D-9EEB-A759DA1F7B64}"/>
    <hyperlink ref="F86" r:id="rId29" location="searchVariation=56415635697&amp;position=6&amp;search_layout=stack&amp;type=item&amp;tracking_id=dbba8ec9-3ea5-4a44-a272-5ab550b2d7eb" display="https://articulo.mercadolibre.com.ar/MLA-856919586-llave-toma-corriente-doble-exterior-enchufe-aplicar-jeluz-_JM?searchVariation=56415635697#searchVariation=56415635697&amp;position=6&amp;search_layout=stack&amp;type=item&amp;tracking_id=dbba8ec9-3ea5-4a44-a272-5ab550b2d7eb" xr:uid="{1197C36B-61D5-4FCA-821D-AD8EAB5D7797}"/>
    <hyperlink ref="F28" r:id="rId30" xr:uid="{00AE1D93-D8C3-49A6-A630-21F26EB179DF}"/>
    <hyperlink ref="F34" r:id="rId31" xr:uid="{721B9BCF-5648-429E-8136-C5921DF71408}"/>
    <hyperlink ref="F35" r:id="rId32" location="searchVariation=174240299027&amp;position=3&amp;search_layout=grid&amp;type=item&amp;tracking_id=22c2007f-d6da-428e-a03f-def9688d5934" display="https://articulo.mercadolibre.com.ar/MLA-1124900352-silla-comedor-industrial-metal-reforzada-apilable-tolix-x6-_JM?searchVariation=174240299027#searchVariation=174240299027&amp;position=3&amp;search_layout=grid&amp;type=item&amp;tracking_id=22c2007f-d6da-428e-a03f-def9688d5934" xr:uid="{6DB24940-7FA4-4941-AF45-3E3A7764036B}"/>
    <hyperlink ref="F36" r:id="rId33" location="searchVariation=36130025560&amp;position=24&amp;search_layout=grid&amp;type=item&amp;tracking_id=ed2f0b67-c03d-48e6-ac40-acd109796042" display="https://articulo.mercadolibre.com.ar/MLA-723278664-mesa-industrial-80x180-patas-de-hierro-tapa-color-madera-_JM?searchVariation=36130025560#searchVariation=36130025560&amp;position=24&amp;search_layout=grid&amp;type=item&amp;tracking_id=ed2f0b67-c03d-48e6-ac40-acd109796042" xr:uid="{DECD6F7D-BE54-433D-901B-437E556C1F4C}"/>
  </hyperlink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G1000"/>
  <sheetViews>
    <sheetView showGridLines="0" zoomScaleNormal="100" workbookViewId="0">
      <selection activeCell="B3" sqref="B3"/>
    </sheetView>
  </sheetViews>
  <sheetFormatPr baseColWidth="10" defaultColWidth="12.7109375" defaultRowHeight="15" customHeight="1"/>
  <cols>
    <col min="1" max="3" width="10.7109375" customWidth="1"/>
    <col min="4" max="4" width="12.7109375" bestFit="1" customWidth="1"/>
    <col min="5" max="5" width="10.7109375" customWidth="1"/>
    <col min="6" max="6" width="18.42578125" bestFit="1" customWidth="1"/>
    <col min="7" max="7" width="6.42578125" customWidth="1"/>
    <col min="8" max="8" width="19.85546875" bestFit="1" customWidth="1"/>
    <col min="9" max="9" width="18.85546875" bestFit="1" customWidth="1"/>
    <col min="10" max="10" width="33.7109375" bestFit="1" customWidth="1"/>
    <col min="11" max="11" width="33.28515625" bestFit="1" customWidth="1"/>
    <col min="12" max="26" width="14.28515625" customWidth="1"/>
  </cols>
  <sheetData>
    <row r="1" spans="1:7" ht="12.75" customHeight="1">
      <c r="A1" s="36" t="s">
        <v>231</v>
      </c>
      <c r="E1" s="16" t="s">
        <v>232</v>
      </c>
    </row>
    <row r="2" spans="1:7" ht="12.75" customHeight="1">
      <c r="A2" s="4" t="s">
        <v>233</v>
      </c>
      <c r="B2" s="4">
        <f>234*1.15</f>
        <v>269.09999999999997</v>
      </c>
      <c r="C2" s="4" t="s">
        <v>234</v>
      </c>
    </row>
    <row r="3" spans="1:7" ht="12.75" customHeight="1">
      <c r="A3" s="37" t="s">
        <v>235</v>
      </c>
      <c r="D3" s="38"/>
    </row>
    <row r="4" spans="1:7" ht="12.75" customHeight="1">
      <c r="A4" s="16" t="s">
        <v>236</v>
      </c>
      <c r="D4" s="240">
        <f>(209.1*1000)/2.5</f>
        <v>83640</v>
      </c>
      <c r="E4" s="172" t="s">
        <v>20</v>
      </c>
      <c r="F4" s="183">
        <f>B2*D4</f>
        <v>22507523.999999996</v>
      </c>
    </row>
    <row r="5" spans="1:7" ht="12.75" customHeight="1">
      <c r="A5" s="16" t="s">
        <v>237</v>
      </c>
      <c r="D5" s="240">
        <f>(1407.45*1000)/2.5</f>
        <v>562980</v>
      </c>
      <c r="E5" s="172" t="s">
        <v>238</v>
      </c>
      <c r="F5" s="183">
        <f>D5*B2</f>
        <v>151497917.99999997</v>
      </c>
    </row>
    <row r="6" spans="1:7" ht="12.75" customHeight="1">
      <c r="D6" s="200"/>
      <c r="E6" s="200"/>
      <c r="F6" s="183"/>
    </row>
    <row r="7" spans="1:7" ht="12.75" customHeight="1">
      <c r="A7" s="16" t="s">
        <v>239</v>
      </c>
      <c r="D7" s="240">
        <f>SUM(D4:D5)</f>
        <v>646620</v>
      </c>
      <c r="E7" s="172" t="s">
        <v>20</v>
      </c>
      <c r="F7" s="183">
        <f>SUM(F4:F5)</f>
        <v>174005441.99999997</v>
      </c>
    </row>
    <row r="8" spans="1:7" ht="12.75" customHeight="1">
      <c r="D8" s="4"/>
      <c r="E8" s="4"/>
    </row>
    <row r="9" spans="1:7" ht="12.75" customHeight="1">
      <c r="A9" s="4"/>
      <c r="B9" s="4"/>
      <c r="C9" s="4"/>
    </row>
    <row r="10" spans="1:7" ht="12.75" customHeight="1">
      <c r="A10" s="4" t="s">
        <v>240</v>
      </c>
      <c r="B10" s="4"/>
      <c r="C10" s="4">
        <f>'InfoInicial-CálcAux'!K19*'CA Inv AT'!B2</f>
        <v>435014.463429</v>
      </c>
    </row>
    <row r="11" spans="1:7" ht="12.75" customHeight="1">
      <c r="A11" s="4"/>
      <c r="B11" s="4"/>
      <c r="C11" s="4"/>
      <c r="D11" s="4"/>
      <c r="E11" s="4"/>
      <c r="F11" s="4"/>
      <c r="G11" s="4"/>
    </row>
    <row r="12" spans="1:7" ht="12.75" customHeight="1">
      <c r="A12" s="4"/>
      <c r="B12" s="4"/>
      <c r="C12" s="4"/>
      <c r="D12" s="4"/>
      <c r="E12" s="4"/>
      <c r="F12" s="4"/>
      <c r="G12" s="4"/>
    </row>
    <row r="13" spans="1:7" ht="12.75" customHeight="1">
      <c r="A13" s="4"/>
      <c r="B13" s="4"/>
      <c r="C13" s="4"/>
      <c r="D13" s="4"/>
      <c r="E13" s="4"/>
      <c r="F13" s="4"/>
      <c r="G13" s="4"/>
    </row>
    <row r="14" spans="1:7" ht="12.75" customHeight="1">
      <c r="A14" s="4"/>
      <c r="B14" s="4"/>
      <c r="C14" s="4"/>
    </row>
    <row r="15" spans="1:7" ht="12.75" customHeight="1">
      <c r="A15" s="4"/>
      <c r="B15" s="4"/>
      <c r="C15" s="4"/>
    </row>
    <row r="16" spans="1:7" ht="12.75" customHeight="1">
      <c r="A16" s="4"/>
      <c r="B16" s="4"/>
      <c r="C16" s="4"/>
    </row>
    <row r="17" spans="1:3" ht="12.75" customHeight="1">
      <c r="A17" s="4"/>
      <c r="B17" s="4"/>
      <c r="C17" s="4"/>
    </row>
    <row r="18" spans="1:3" ht="12.75" customHeight="1"/>
    <row r="19" spans="1:3" ht="12.75" customHeight="1"/>
    <row r="20" spans="1:3" ht="12.75" customHeight="1"/>
    <row r="21" spans="1:3" ht="12.75" customHeight="1"/>
    <row r="22" spans="1:3" ht="12.75" customHeight="1"/>
    <row r="23" spans="1:3" ht="12.75" customHeight="1"/>
    <row r="24" spans="1:3" ht="12.75" customHeight="1"/>
    <row r="25" spans="1:3" ht="12.75" customHeight="1"/>
    <row r="26" spans="1:3" ht="12.75" customHeight="1"/>
    <row r="27" spans="1:3" ht="12.75" customHeight="1"/>
    <row r="28" spans="1:3" ht="12.75" customHeight="1"/>
    <row r="29" spans="1:3" ht="12.75" customHeight="1"/>
    <row r="30" spans="1:3" ht="12.75" customHeight="1"/>
    <row r="31" spans="1:3" ht="12.75" customHeight="1"/>
    <row r="32" spans="1: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2.7109375" defaultRowHeight="15" customHeight="1"/>
  <cols>
    <col min="1" max="6" width="10.7109375" customWidth="1"/>
    <col min="7" max="26" width="14.285156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AF1002"/>
  <sheetViews>
    <sheetView showGridLines="0" topLeftCell="F41" zoomScale="70" zoomScaleNormal="70" workbookViewId="0">
      <selection activeCell="F41" sqref="F41"/>
    </sheetView>
  </sheetViews>
  <sheetFormatPr baseColWidth="10" defaultColWidth="12.7109375" defaultRowHeight="15" customHeight="1"/>
  <cols>
    <col min="1" max="1" width="4.140625" customWidth="1"/>
    <col min="2" max="2" width="12.28515625" customWidth="1"/>
    <col min="3" max="3" width="30.5703125" customWidth="1"/>
    <col min="4" max="4" width="19.140625" customWidth="1"/>
    <col min="5" max="5" width="31.28515625" customWidth="1"/>
    <col min="6" max="6" width="15.5703125" customWidth="1"/>
    <col min="7" max="7" width="18.7109375" customWidth="1"/>
    <col min="8" max="8" width="19.5703125" customWidth="1"/>
    <col min="9" max="9" width="17.42578125" bestFit="1" customWidth="1"/>
    <col min="10" max="10" width="20.5703125" customWidth="1"/>
    <col min="11" max="11" width="18.85546875" customWidth="1"/>
    <col min="12" max="12" width="29" customWidth="1"/>
    <col min="13" max="13" width="17.5703125" customWidth="1"/>
    <col min="14" max="14" width="16.7109375" customWidth="1"/>
    <col min="15" max="15" width="13.5703125" customWidth="1"/>
    <col min="16" max="18" width="17.7109375" customWidth="1"/>
    <col min="19" max="19" width="21.7109375" customWidth="1"/>
    <col min="20" max="20" width="18.85546875" customWidth="1"/>
    <col min="21" max="21" width="16.5703125" customWidth="1"/>
    <col min="22" max="22" width="21.28515625" customWidth="1"/>
    <col min="23" max="23" width="23.42578125" customWidth="1"/>
    <col min="24" max="24" width="10.7109375" customWidth="1"/>
    <col min="25" max="25" width="6.7109375" customWidth="1"/>
    <col min="26" max="32" width="10.7109375" customWidth="1"/>
  </cols>
  <sheetData>
    <row r="1" spans="1:14" ht="15" customHeight="1"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14" ht="12.75" customHeight="1">
      <c r="B2" s="994" t="s">
        <v>241</v>
      </c>
      <c r="C2" s="995"/>
      <c r="D2" s="995"/>
      <c r="E2" s="995"/>
      <c r="F2" s="995"/>
      <c r="G2" s="995"/>
      <c r="H2" s="995"/>
      <c r="I2" s="995"/>
      <c r="J2" s="995"/>
      <c r="K2" s="996"/>
      <c r="M2" s="159"/>
    </row>
    <row r="3" spans="1:14" ht="17.25" customHeight="1">
      <c r="B3" s="165" t="s">
        <v>242</v>
      </c>
      <c r="C3" s="167" t="s">
        <v>243</v>
      </c>
      <c r="D3" s="194"/>
      <c r="E3" s="167" t="s">
        <v>111</v>
      </c>
      <c r="F3" s="166" t="s">
        <v>244</v>
      </c>
      <c r="G3" s="169" t="s">
        <v>245</v>
      </c>
      <c r="H3" s="169" t="s">
        <v>246</v>
      </c>
      <c r="I3" s="169" t="s">
        <v>247</v>
      </c>
      <c r="J3" s="170" t="s">
        <v>248</v>
      </c>
      <c r="K3" s="168" t="s">
        <v>122</v>
      </c>
      <c r="M3" s="159"/>
    </row>
    <row r="4" spans="1:14" ht="13.5" customHeight="1">
      <c r="B4" s="328" t="s">
        <v>249</v>
      </c>
      <c r="C4" s="329" t="s">
        <v>250</v>
      </c>
      <c r="D4" s="330"/>
      <c r="E4" s="331">
        <v>1</v>
      </c>
      <c r="F4" s="332">
        <v>1</v>
      </c>
      <c r="G4" s="333" t="s">
        <v>238</v>
      </c>
      <c r="H4" s="334">
        <f>18930/50</f>
        <v>378.6</v>
      </c>
      <c r="I4" s="335">
        <f>H4*'InfoInicial-CálcAux'!$C$7</f>
        <v>204444000</v>
      </c>
      <c r="J4" s="336">
        <f>H4*'InfoInicial-CálcAux'!$D$7</f>
        <v>286221600</v>
      </c>
      <c r="K4" s="337" t="s">
        <v>251</v>
      </c>
      <c r="M4" s="159"/>
    </row>
    <row r="5" spans="1:14" ht="13.5" customHeight="1">
      <c r="B5" s="328" t="s">
        <v>252</v>
      </c>
      <c r="C5" s="338" t="s">
        <v>253</v>
      </c>
      <c r="D5" s="339"/>
      <c r="E5" s="331">
        <v>1</v>
      </c>
      <c r="F5" s="332">
        <v>2</v>
      </c>
      <c r="G5" s="340" t="s">
        <v>238</v>
      </c>
      <c r="H5" s="341">
        <f>(3600/6)/100</f>
        <v>6</v>
      </c>
      <c r="I5" s="335">
        <f>H5*'InfoInicial-CálcAux'!$C$7</f>
        <v>3240000</v>
      </c>
      <c r="J5" s="342">
        <f>H5*'InfoInicial-CálcAux'!$D$7</f>
        <v>4536000</v>
      </c>
      <c r="K5" s="343" t="s">
        <v>254</v>
      </c>
      <c r="M5" s="159"/>
    </row>
    <row r="6" spans="1:14" ht="12.75" customHeight="1">
      <c r="B6" s="328" t="s">
        <v>255</v>
      </c>
      <c r="C6" s="329" t="s">
        <v>256</v>
      </c>
      <c r="D6" s="330"/>
      <c r="E6" s="331">
        <v>4</v>
      </c>
      <c r="F6" s="332">
        <v>2.5</v>
      </c>
      <c r="G6" s="340" t="s">
        <v>257</v>
      </c>
      <c r="H6" s="344">
        <v>500</v>
      </c>
      <c r="I6" s="335">
        <f>H6*'InfoInicial-CálcAux'!$C$7+('InfoInicial-CálcAux'!$L$17/2.5)*H6</f>
        <v>601800000</v>
      </c>
      <c r="J6" s="342">
        <f>H6*'InfoInicial-CálcAux'!$D$7</f>
        <v>378000000</v>
      </c>
      <c r="K6" s="343" t="s">
        <v>258</v>
      </c>
      <c r="M6" s="159"/>
    </row>
    <row r="7" spans="1:14" ht="12.75" customHeight="1">
      <c r="B7" s="346" t="s">
        <v>259</v>
      </c>
      <c r="C7" s="347" t="s">
        <v>260</v>
      </c>
      <c r="D7" s="348"/>
      <c r="E7" s="332">
        <v>4</v>
      </c>
      <c r="F7" s="332">
        <v>4</v>
      </c>
      <c r="G7" s="340" t="s">
        <v>257</v>
      </c>
      <c r="H7" s="341">
        <f>'CA Inv AT'!B2</f>
        <v>269.09999999999997</v>
      </c>
      <c r="I7" s="345">
        <f>H7*'InfoInicial-CálcAux'!L17</f>
        <v>446436899.99999994</v>
      </c>
      <c r="J7" s="349">
        <f>H7*'InfoInicial-CálcAux'!D5*1000</f>
        <v>508598999.99999994</v>
      </c>
      <c r="K7" s="350" t="s">
        <v>261</v>
      </c>
      <c r="L7" s="159"/>
      <c r="M7" s="159"/>
    </row>
    <row r="8" spans="1:14" ht="12.75" customHeight="1">
      <c r="B8" s="346" t="s">
        <v>262</v>
      </c>
      <c r="C8" s="329" t="s">
        <v>263</v>
      </c>
      <c r="D8" s="351"/>
      <c r="E8" s="352">
        <v>1</v>
      </c>
      <c r="F8" s="352">
        <v>1</v>
      </c>
      <c r="G8" s="353" t="s">
        <v>238</v>
      </c>
      <c r="H8" s="354">
        <v>13.7</v>
      </c>
      <c r="I8" s="355">
        <f>H8*'InfoInicial-CálcAux'!C7</f>
        <v>7398000</v>
      </c>
      <c r="J8" s="356">
        <f>H8*'InfoInicial-CálcAux'!$D$7</f>
        <v>10357200</v>
      </c>
      <c r="K8" s="357" t="s">
        <v>264</v>
      </c>
      <c r="M8" s="159"/>
    </row>
    <row r="9" spans="1:14" ht="12.75" customHeight="1">
      <c r="D9" s="159"/>
      <c r="E9" s="358" t="s">
        <v>265</v>
      </c>
      <c r="F9" s="359"/>
      <c r="G9" s="360" t="s">
        <v>224</v>
      </c>
      <c r="H9" s="571">
        <f>SUM(H4:H8)</f>
        <v>1167.4000000000001</v>
      </c>
      <c r="I9" s="361">
        <f>SUM(I4:I8)</f>
        <v>1263318900</v>
      </c>
      <c r="J9" s="362">
        <f>SUM(J4:J8)</f>
        <v>1187713800</v>
      </c>
      <c r="K9" s="159"/>
      <c r="M9" s="159"/>
    </row>
    <row r="10" spans="1:14" ht="12.75" customHeight="1">
      <c r="H10" s="159"/>
      <c r="I10" s="159"/>
      <c r="J10" s="159"/>
      <c r="K10" s="159"/>
    </row>
    <row r="11" spans="1:14" ht="12.75" customHeight="1">
      <c r="B11">
        <f>'CA COSTOS'!H5</f>
        <v>6</v>
      </c>
      <c r="E11" s="23"/>
      <c r="I11" s="199"/>
    </row>
    <row r="12" spans="1:14" ht="12.75" customHeight="1">
      <c r="B12" s="171" t="s">
        <v>266</v>
      </c>
      <c r="E12" s="23"/>
    </row>
    <row r="13" spans="1:14" ht="12.75" customHeight="1">
      <c r="B13" s="159"/>
      <c r="C13" s="159"/>
      <c r="E13" s="23"/>
      <c r="G13" s="159"/>
      <c r="H13" s="159"/>
      <c r="K13" s="159"/>
    </row>
    <row r="14" spans="1:14" ht="12.75">
      <c r="A14" s="159"/>
      <c r="B14" s="1003" t="s">
        <v>267</v>
      </c>
      <c r="C14" s="1004"/>
      <c r="D14" s="188" t="s">
        <v>268</v>
      </c>
      <c r="E14" s="189" t="s">
        <v>269</v>
      </c>
      <c r="F14" s="190" t="s">
        <v>111</v>
      </c>
      <c r="G14" s="191" t="s">
        <v>270</v>
      </c>
      <c r="H14" s="192"/>
      <c r="I14" s="188" t="s">
        <v>271</v>
      </c>
      <c r="J14" s="190" t="s">
        <v>272</v>
      </c>
      <c r="K14" s="191" t="s">
        <v>122</v>
      </c>
      <c r="L14" s="164"/>
      <c r="M14" s="4"/>
      <c r="N14" s="4"/>
    </row>
    <row r="15" spans="1:14" ht="12.75" customHeight="1">
      <c r="A15" s="159"/>
      <c r="B15" s="1005" t="s">
        <v>273</v>
      </c>
      <c r="C15" s="1006"/>
      <c r="D15" s="363">
        <v>451829</v>
      </c>
      <c r="E15" s="364">
        <f>D15*1.43</f>
        <v>646115.47</v>
      </c>
      <c r="F15" s="365">
        <v>1</v>
      </c>
      <c r="G15" s="366">
        <f>E15*F15</f>
        <v>646115.47</v>
      </c>
      <c r="H15" s="1007" t="s">
        <v>274</v>
      </c>
      <c r="I15" s="1010">
        <f>SUM(G15:G24)</f>
        <v>3277058.07</v>
      </c>
      <c r="J15" s="368">
        <f>D15*0.83</f>
        <v>375018.07</v>
      </c>
      <c r="K15" s="369" t="s">
        <v>275</v>
      </c>
      <c r="L15" s="159"/>
    </row>
    <row r="16" spans="1:14" ht="12.75" customHeight="1">
      <c r="A16" s="159"/>
      <c r="B16" s="999" t="s">
        <v>276</v>
      </c>
      <c r="C16" s="1000"/>
      <c r="D16" s="372">
        <v>285884</v>
      </c>
      <c r="E16" s="366">
        <f>D16*1.43</f>
        <v>408814.12</v>
      </c>
      <c r="F16" s="373">
        <v>1</v>
      </c>
      <c r="G16" s="366">
        <f t="shared" ref="G16:G28" si="0">E16*F16</f>
        <v>408814.12</v>
      </c>
      <c r="H16" s="1008"/>
      <c r="I16" s="1011"/>
      <c r="J16" s="374">
        <f t="shared" ref="J16:J28" si="1">D16*0.83</f>
        <v>237283.72</v>
      </c>
      <c r="K16" s="369" t="s">
        <v>275</v>
      </c>
      <c r="L16" s="159"/>
    </row>
    <row r="17" spans="1:12" ht="12.75" customHeight="1">
      <c r="A17" s="159"/>
      <c r="B17" s="999" t="s">
        <v>277</v>
      </c>
      <c r="C17" s="1000"/>
      <c r="D17" s="372">
        <v>137602</v>
      </c>
      <c r="E17" s="366">
        <f t="shared" ref="E17:E28" si="2">D17*1.43</f>
        <v>196770.86</v>
      </c>
      <c r="F17" s="373">
        <v>1</v>
      </c>
      <c r="G17" s="366">
        <f t="shared" si="0"/>
        <v>196770.86</v>
      </c>
      <c r="H17" s="1008"/>
      <c r="I17" s="1011"/>
      <c r="J17" s="374">
        <f t="shared" si="1"/>
        <v>114209.65999999999</v>
      </c>
      <c r="K17" s="369" t="s">
        <v>278</v>
      </c>
      <c r="L17" s="159"/>
    </row>
    <row r="18" spans="1:12" ht="12.75" customHeight="1">
      <c r="A18" s="159"/>
      <c r="B18" s="370" t="s">
        <v>279</v>
      </c>
      <c r="C18" s="371"/>
      <c r="D18" s="372">
        <v>101156</v>
      </c>
      <c r="E18" s="366">
        <f t="shared" ref="E18:E27" si="3">D18*1.43</f>
        <v>144653.07999999999</v>
      </c>
      <c r="F18" s="373">
        <v>1</v>
      </c>
      <c r="G18" s="366">
        <f t="shared" ref="G18:G27" si="4">E18*F18</f>
        <v>144653.07999999999</v>
      </c>
      <c r="H18" s="1008"/>
      <c r="I18" s="1011"/>
      <c r="J18" s="374">
        <f t="shared" ref="J18:J27" si="5">D18*0.83</f>
        <v>83959.48</v>
      </c>
      <c r="K18" s="369" t="s">
        <v>278</v>
      </c>
      <c r="L18" s="159"/>
    </row>
    <row r="19" spans="1:12" ht="12.75" customHeight="1">
      <c r="A19" s="159"/>
      <c r="B19" s="370" t="s">
        <v>280</v>
      </c>
      <c r="C19" s="371"/>
      <c r="D19" s="372">
        <v>90584</v>
      </c>
      <c r="E19" s="366">
        <f t="shared" si="3"/>
        <v>129535.12</v>
      </c>
      <c r="F19" s="373">
        <v>1</v>
      </c>
      <c r="G19" s="366">
        <f t="shared" si="4"/>
        <v>129535.12</v>
      </c>
      <c r="H19" s="1008"/>
      <c r="I19" s="1011"/>
      <c r="J19" s="374">
        <f t="shared" si="5"/>
        <v>75184.72</v>
      </c>
      <c r="K19" s="369" t="s">
        <v>275</v>
      </c>
      <c r="L19" s="159"/>
    </row>
    <row r="20" spans="1:12" ht="12.75" customHeight="1">
      <c r="A20" s="159"/>
      <c r="B20" s="370" t="s">
        <v>281</v>
      </c>
      <c r="C20" s="371"/>
      <c r="D20" s="372">
        <v>108008</v>
      </c>
      <c r="E20" s="366">
        <f t="shared" si="3"/>
        <v>154451.44</v>
      </c>
      <c r="F20" s="373">
        <v>1</v>
      </c>
      <c r="G20" s="366">
        <f t="shared" si="4"/>
        <v>154451.44</v>
      </c>
      <c r="H20" s="1008"/>
      <c r="I20" s="1011"/>
      <c r="J20" s="374">
        <f t="shared" si="5"/>
        <v>89646.64</v>
      </c>
      <c r="K20" s="369" t="s">
        <v>282</v>
      </c>
      <c r="L20" s="159"/>
    </row>
    <row r="21" spans="1:12" ht="12.75" customHeight="1">
      <c r="A21" s="159"/>
      <c r="B21" s="370" t="s">
        <v>283</v>
      </c>
      <c r="C21" s="371"/>
      <c r="D21" s="372">
        <v>90584</v>
      </c>
      <c r="E21" s="366">
        <f t="shared" si="3"/>
        <v>129535.12</v>
      </c>
      <c r="F21" s="373">
        <v>1</v>
      </c>
      <c r="G21" s="366">
        <f t="shared" si="4"/>
        <v>129535.12</v>
      </c>
      <c r="H21" s="1008"/>
      <c r="I21" s="1011"/>
      <c r="J21" s="374">
        <f t="shared" si="5"/>
        <v>75184.72</v>
      </c>
      <c r="K21" s="369" t="s">
        <v>275</v>
      </c>
      <c r="L21" s="159"/>
    </row>
    <row r="22" spans="1:12" ht="12.75" customHeight="1">
      <c r="A22" s="159"/>
      <c r="B22" s="370" t="s">
        <v>284</v>
      </c>
      <c r="C22" s="371"/>
      <c r="D22" s="372">
        <v>106644</v>
      </c>
      <c r="E22" s="366">
        <f t="shared" si="3"/>
        <v>152500.91999999998</v>
      </c>
      <c r="F22" s="373">
        <v>1</v>
      </c>
      <c r="G22" s="366">
        <f t="shared" si="4"/>
        <v>152500.91999999998</v>
      </c>
      <c r="H22" s="1008"/>
      <c r="I22" s="1011"/>
      <c r="J22" s="374">
        <f t="shared" si="5"/>
        <v>88514.51999999999</v>
      </c>
      <c r="K22" s="369" t="s">
        <v>278</v>
      </c>
      <c r="L22" s="159"/>
    </row>
    <row r="23" spans="1:12" ht="12.75" customHeight="1">
      <c r="A23" s="159"/>
      <c r="B23" s="370" t="s">
        <v>285</v>
      </c>
      <c r="C23" s="371"/>
      <c r="D23" s="372">
        <v>106013</v>
      </c>
      <c r="E23" s="366">
        <f t="shared" si="3"/>
        <v>151598.59</v>
      </c>
      <c r="F23" s="373">
        <v>8</v>
      </c>
      <c r="G23" s="366">
        <f t="shared" si="4"/>
        <v>1212788.72</v>
      </c>
      <c r="H23" s="1008"/>
      <c r="I23" s="1011"/>
      <c r="J23" s="374">
        <f t="shared" si="5"/>
        <v>87990.79</v>
      </c>
      <c r="K23" s="369" t="s">
        <v>278</v>
      </c>
      <c r="L23" s="159"/>
    </row>
    <row r="24" spans="1:12" ht="12.75" customHeight="1">
      <c r="A24" s="159"/>
      <c r="B24" s="999" t="s">
        <v>286</v>
      </c>
      <c r="C24" s="1000"/>
      <c r="D24" s="372">
        <v>71254</v>
      </c>
      <c r="E24" s="366">
        <f t="shared" si="3"/>
        <v>101893.22</v>
      </c>
      <c r="F24" s="373">
        <v>1</v>
      </c>
      <c r="G24" s="366">
        <f t="shared" si="4"/>
        <v>101893.22</v>
      </c>
      <c r="H24" s="1009"/>
      <c r="I24" s="1012"/>
      <c r="J24" s="374">
        <f t="shared" si="5"/>
        <v>59140.82</v>
      </c>
      <c r="K24" s="376" t="s">
        <v>287</v>
      </c>
      <c r="L24" s="159"/>
    </row>
    <row r="25" spans="1:12" s="242" customFormat="1" ht="14.25" customHeight="1">
      <c r="A25" s="241"/>
      <c r="B25" s="1005" t="s">
        <v>288</v>
      </c>
      <c r="C25" s="1006"/>
      <c r="D25" s="367">
        <v>137602</v>
      </c>
      <c r="E25" s="377">
        <f t="shared" si="3"/>
        <v>196770.86</v>
      </c>
      <c r="F25" s="365">
        <v>1</v>
      </c>
      <c r="G25" s="377">
        <f t="shared" si="4"/>
        <v>196770.86</v>
      </c>
      <c r="H25" s="1007" t="s">
        <v>289</v>
      </c>
      <c r="I25" s="1010">
        <f>SUM(G25:G28)</f>
        <v>3884899.59</v>
      </c>
      <c r="J25" s="367">
        <f t="shared" si="5"/>
        <v>114209.65999999999</v>
      </c>
      <c r="K25" s="378" t="s">
        <v>290</v>
      </c>
      <c r="L25" s="241"/>
    </row>
    <row r="26" spans="1:12" ht="12.75" customHeight="1">
      <c r="A26" s="159"/>
      <c r="B26" s="999" t="s">
        <v>291</v>
      </c>
      <c r="C26" s="1000"/>
      <c r="D26" s="372">
        <v>120963</v>
      </c>
      <c r="E26" s="366">
        <f t="shared" si="3"/>
        <v>172977.09</v>
      </c>
      <c r="F26" s="373">
        <v>1</v>
      </c>
      <c r="G26" s="366">
        <f t="shared" si="4"/>
        <v>172977.09</v>
      </c>
      <c r="H26" s="1008"/>
      <c r="I26" s="1011"/>
      <c r="J26" s="372">
        <f t="shared" si="5"/>
        <v>100399.29</v>
      </c>
      <c r="K26" s="379" t="s">
        <v>292</v>
      </c>
      <c r="L26" s="159"/>
    </row>
    <row r="27" spans="1:12" ht="12.75" customHeight="1">
      <c r="A27" s="159"/>
      <c r="B27" s="999" t="s">
        <v>293</v>
      </c>
      <c r="C27" s="1000"/>
      <c r="D27" s="372">
        <v>118340</v>
      </c>
      <c r="E27" s="366">
        <f t="shared" si="3"/>
        <v>169226.19999999998</v>
      </c>
      <c r="F27" s="373">
        <v>1</v>
      </c>
      <c r="G27" s="366">
        <f t="shared" si="4"/>
        <v>169226.19999999998</v>
      </c>
      <c r="H27" s="1008"/>
      <c r="I27" s="1011"/>
      <c r="J27" s="372">
        <f t="shared" si="5"/>
        <v>98222.2</v>
      </c>
      <c r="K27" s="380" t="s">
        <v>292</v>
      </c>
      <c r="L27" s="159"/>
    </row>
    <row r="28" spans="1:12" ht="12.75" customHeight="1">
      <c r="A28" s="159"/>
      <c r="B28" s="1001" t="s">
        <v>294</v>
      </c>
      <c r="C28" s="1002"/>
      <c r="D28" s="381">
        <v>97492</v>
      </c>
      <c r="E28" s="382">
        <f t="shared" si="2"/>
        <v>139413.56</v>
      </c>
      <c r="F28" s="375">
        <v>24</v>
      </c>
      <c r="G28" s="382">
        <f t="shared" si="0"/>
        <v>3345925.44</v>
      </c>
      <c r="H28" s="1009"/>
      <c r="I28" s="1012"/>
      <c r="J28" s="381">
        <f t="shared" si="1"/>
        <v>80918.36</v>
      </c>
      <c r="K28" s="383"/>
      <c r="L28" s="159"/>
    </row>
    <row r="29" spans="1:12" ht="12.75" customHeight="1">
      <c r="B29" s="159"/>
      <c r="C29" s="159"/>
      <c r="D29" s="159"/>
      <c r="E29" s="159"/>
      <c r="F29" s="159"/>
      <c r="G29" s="381">
        <f>SUM(G15:G28)</f>
        <v>7161957.6600000001</v>
      </c>
      <c r="H29" s="159"/>
      <c r="I29" s="159"/>
      <c r="J29" s="384">
        <f>SUM(J15:J28)</f>
        <v>1679882.6500000001</v>
      </c>
      <c r="K29" s="159"/>
    </row>
    <row r="30" spans="1:12" ht="12.75" customHeight="1"/>
    <row r="31" spans="1:12" ht="12.75" customHeight="1">
      <c r="C31" s="36" t="s">
        <v>295</v>
      </c>
    </row>
    <row r="32" spans="1:12" ht="12.75" customHeight="1"/>
    <row r="33" spans="3:32" ht="12.75" customHeight="1">
      <c r="C33" s="173" t="s">
        <v>296</v>
      </c>
      <c r="D33" s="173"/>
      <c r="E33" s="173"/>
      <c r="F33" s="174"/>
      <c r="K33" s="173" t="s">
        <v>297</v>
      </c>
      <c r="L33" s="173"/>
      <c r="M33" s="37"/>
      <c r="N33" s="37" t="s">
        <v>298</v>
      </c>
      <c r="O33" s="37"/>
      <c r="P33" s="37"/>
      <c r="Q33" s="37"/>
      <c r="T33" s="37"/>
      <c r="W33" s="37"/>
      <c r="X33" s="37"/>
    </row>
    <row r="34" spans="3:32" ht="12.75" customHeight="1"/>
    <row r="35" spans="3:32" ht="12.75" customHeight="1">
      <c r="C35" s="4" t="s">
        <v>299</v>
      </c>
      <c r="E35" s="39">
        <f>'E-Inv AF y Am'!D57*0.95</f>
        <v>66625514.154095128</v>
      </c>
      <c r="G35" s="4" t="s">
        <v>300</v>
      </c>
      <c r="H35" s="39">
        <f>E35/E40</f>
        <v>161.10436134031781</v>
      </c>
      <c r="I35" s="4" t="s">
        <v>301</v>
      </c>
      <c r="K35" s="4" t="s">
        <v>299</v>
      </c>
      <c r="L35" s="39">
        <f>'E-Inv AF y Am'!D57*0.025</f>
        <v>1753303.004055135</v>
      </c>
      <c r="N35" s="4" t="s">
        <v>299</v>
      </c>
      <c r="O35" s="39">
        <f>L35</f>
        <v>1753303.004055135</v>
      </c>
      <c r="P35" s="4"/>
      <c r="Q35" s="4"/>
    </row>
    <row r="36" spans="3:32" ht="12.75" customHeight="1">
      <c r="C36" s="4" t="s">
        <v>302</v>
      </c>
      <c r="E36" s="39">
        <f>'E-Inv AF y Am'!E57*0.95</f>
        <v>66625514.154095128</v>
      </c>
      <c r="G36" s="4" t="s">
        <v>303</v>
      </c>
      <c r="H36" s="39">
        <f>E35/E38</f>
        <v>137.8337239624953</v>
      </c>
      <c r="I36" s="4" t="s">
        <v>304</v>
      </c>
      <c r="K36" s="4" t="s">
        <v>302</v>
      </c>
      <c r="L36" s="39">
        <f>'E-Inv AF y Am'!E57*0.025</f>
        <v>1753303.004055135</v>
      </c>
      <c r="N36" s="4" t="s">
        <v>302</v>
      </c>
      <c r="O36" s="39">
        <f>L36</f>
        <v>1753303.004055135</v>
      </c>
      <c r="P36" s="4"/>
      <c r="Q36" s="4"/>
    </row>
    <row r="37" spans="3:32" ht="12.75" customHeight="1">
      <c r="C37" s="4" t="s">
        <v>305</v>
      </c>
      <c r="E37" s="385">
        <f>1890*1000</f>
        <v>1890000</v>
      </c>
      <c r="F37" s="16" t="s">
        <v>306</v>
      </c>
      <c r="G37" s="16"/>
      <c r="L37" s="39"/>
    </row>
    <row r="38" spans="3:32" ht="12.75" customHeight="1">
      <c r="C38" s="4" t="s">
        <v>305</v>
      </c>
      <c r="E38" s="16">
        <f>ROUNDUP(E37/3.91,0)</f>
        <v>483376</v>
      </c>
      <c r="F38" s="16" t="s">
        <v>307</v>
      </c>
      <c r="R38" t="s">
        <v>308</v>
      </c>
      <c r="S38" t="s">
        <v>309</v>
      </c>
    </row>
    <row r="39" spans="3:32" ht="12.75" customHeight="1">
      <c r="C39" s="4" t="s">
        <v>310</v>
      </c>
      <c r="E39" s="385">
        <f>1617*1000</f>
        <v>1617000</v>
      </c>
      <c r="F39" s="16" t="s">
        <v>306</v>
      </c>
      <c r="R39" t="s">
        <v>311</v>
      </c>
      <c r="S39">
        <v>2989.49</v>
      </c>
    </row>
    <row r="40" spans="3:32" ht="12.75" customHeight="1">
      <c r="C40" s="4" t="s">
        <v>310</v>
      </c>
      <c r="E40" s="16">
        <f>ROUNDUP(E39/3.91,0)</f>
        <v>413555</v>
      </c>
      <c r="F40" t="s">
        <v>312</v>
      </c>
      <c r="R40" t="s">
        <v>313</v>
      </c>
      <c r="S40">
        <v>206.14</v>
      </c>
    </row>
    <row r="41" spans="3:32" ht="12.75" customHeight="1">
      <c r="C41" s="4" t="s">
        <v>314</v>
      </c>
      <c r="E41" s="39">
        <f>E36/E38</f>
        <v>137.8337239624953</v>
      </c>
      <c r="R41" t="s">
        <v>315</v>
      </c>
      <c r="S41">
        <v>1.64</v>
      </c>
    </row>
    <row r="42" spans="3:32" ht="12.75" customHeight="1">
      <c r="C42" s="4"/>
      <c r="D42" s="16"/>
      <c r="E42" s="39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3:32" ht="12.75" customHeight="1">
      <c r="C43" s="418"/>
      <c r="D43" s="419" t="s">
        <v>2</v>
      </c>
      <c r="E43" s="420" t="s">
        <v>3</v>
      </c>
      <c r="F43" s="419" t="s">
        <v>4</v>
      </c>
      <c r="G43" s="419" t="s">
        <v>5</v>
      </c>
      <c r="H43" s="421" t="s">
        <v>6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3:32" ht="12.75" customHeight="1">
      <c r="C44" s="422" t="s">
        <v>316</v>
      </c>
      <c r="D44" s="386">
        <f>E35</f>
        <v>66625514.154095128</v>
      </c>
      <c r="E44" s="386">
        <f>D44</f>
        <v>66625514.154095128</v>
      </c>
      <c r="F44" s="386">
        <f>E44</f>
        <v>66625514.154095128</v>
      </c>
      <c r="G44" s="386">
        <f>E36</f>
        <v>66625514.154095128</v>
      </c>
      <c r="H44" s="387">
        <f>G44</f>
        <v>66625514.154095128</v>
      </c>
      <c r="T44" s="226"/>
    </row>
    <row r="45" spans="3:32" ht="12.75" customHeight="1"/>
    <row r="46" spans="3:32" ht="12.75" customHeight="1">
      <c r="C46" s="49" t="s">
        <v>317</v>
      </c>
      <c r="D46" s="37"/>
      <c r="E46" s="37"/>
      <c r="O46" s="176"/>
      <c r="S46" s="250"/>
      <c r="T46" s="252"/>
    </row>
    <row r="47" spans="3:32" ht="12.75" customHeight="1">
      <c r="S47" s="251" t="s">
        <v>318</v>
      </c>
      <c r="T47" s="248">
        <f>T85</f>
        <v>0.2177429925981724</v>
      </c>
      <c r="U47" s="226">
        <f>SUM(U54:U66)/U73</f>
        <v>0.78225700740182746</v>
      </c>
    </row>
    <row r="48" spans="3:32" ht="12.75" customHeight="1">
      <c r="C48" s="4" t="s">
        <v>300</v>
      </c>
      <c r="D48" s="50">
        <f>H35*'InfoInicial-CálcAux'!L16</f>
        <v>6766383.176293348</v>
      </c>
      <c r="E48" s="51"/>
      <c r="S48" s="251" t="s">
        <v>319</v>
      </c>
      <c r="T48" s="178">
        <v>0.38</v>
      </c>
      <c r="U48" s="226">
        <f>SUM(U67:U72)/U73</f>
        <v>0.2177429925981724</v>
      </c>
    </row>
    <row r="49" spans="3:24" ht="12.75" customHeight="1">
      <c r="C49" s="4" t="s">
        <v>303</v>
      </c>
      <c r="D49" s="39">
        <f>H36*'InfoInicial-CálcAux'!M16</f>
        <v>5789016.4064248027</v>
      </c>
      <c r="S49" s="228" t="s">
        <v>320</v>
      </c>
      <c r="T49" s="249">
        <v>244</v>
      </c>
    </row>
    <row r="50" spans="3:24" ht="12.75" customHeight="1">
      <c r="C50" s="4" t="s">
        <v>321</v>
      </c>
      <c r="D50" s="39">
        <f>E41*'InfoInicial-CálcAux'!M16</f>
        <v>5789016.4064248027</v>
      </c>
    </row>
    <row r="51" spans="3:24" ht="12.75" customHeight="1">
      <c r="C51" s="4"/>
    </row>
    <row r="52" spans="3:24" ht="12.75" customHeight="1" thickBot="1">
      <c r="L52" s="224"/>
      <c r="M52" s="223"/>
      <c r="V52" s="209">
        <v>12</v>
      </c>
    </row>
    <row r="53" spans="3:24" ht="12.75" customHeight="1" thickBot="1">
      <c r="C53" s="978" t="s">
        <v>322</v>
      </c>
      <c r="D53" s="992"/>
      <c r="E53" s="992"/>
      <c r="F53" s="992"/>
      <c r="G53" s="992"/>
      <c r="H53" s="993"/>
      <c r="I53" s="223" t="s">
        <v>323</v>
      </c>
      <c r="K53" s="426" t="s">
        <v>110</v>
      </c>
      <c r="L53" s="427" t="s">
        <v>111</v>
      </c>
      <c r="M53" s="428" t="s">
        <v>324</v>
      </c>
      <c r="N53" s="427" t="s">
        <v>325</v>
      </c>
      <c r="O53" s="427" t="s">
        <v>326</v>
      </c>
      <c r="P53" s="427" t="s">
        <v>327</v>
      </c>
      <c r="Q53" s="427" t="s">
        <v>328</v>
      </c>
      <c r="R53" s="427" t="s">
        <v>329</v>
      </c>
      <c r="S53" s="427" t="s">
        <v>330</v>
      </c>
      <c r="T53" s="549" t="s">
        <v>331</v>
      </c>
      <c r="U53" s="550" t="s">
        <v>332</v>
      </c>
      <c r="V53" s="428" t="s">
        <v>333</v>
      </c>
      <c r="X53" s="159"/>
    </row>
    <row r="54" spans="3:24" ht="12.75" customHeight="1">
      <c r="C54" s="4"/>
      <c r="D54" s="4" t="s">
        <v>334</v>
      </c>
      <c r="E54" s="16" t="s">
        <v>335</v>
      </c>
      <c r="F54" s="16" t="s">
        <v>336</v>
      </c>
      <c r="G54" s="16" t="s">
        <v>337</v>
      </c>
      <c r="H54" s="3" t="s">
        <v>122</v>
      </c>
      <c r="K54" s="405" t="s">
        <v>338</v>
      </c>
      <c r="L54" s="406">
        <v>2</v>
      </c>
      <c r="M54" s="406">
        <f>6.048/12</f>
        <v>0.504</v>
      </c>
      <c r="N54" s="406">
        <f>L54*M54</f>
        <v>1.008</v>
      </c>
      <c r="O54" s="406">
        <f t="shared" ref="O54:O66" si="6">N54*$T$49*T54</f>
        <v>1475.712</v>
      </c>
      <c r="P54" s="406">
        <f t="shared" ref="P54:P66" si="7">L54*$T$48*M54</f>
        <v>0.38303999999999999</v>
      </c>
      <c r="Q54" s="406">
        <f t="shared" ref="Q54:Q67" si="8">P54*T54*$T$49</f>
        <v>560.77055999999993</v>
      </c>
      <c r="R54" s="406">
        <f t="shared" ref="R54:R66" si="9">M54*$T$48*L54</f>
        <v>0.38303999999999999</v>
      </c>
      <c r="S54" s="406">
        <f t="shared" ref="S54:S67" si="10">R54*T54*$T$49</f>
        <v>560.77055999999993</v>
      </c>
      <c r="T54" s="406">
        <v>6</v>
      </c>
      <c r="U54" s="413">
        <f>O54+Q54+S54</f>
        <v>2597.2531199999999</v>
      </c>
      <c r="V54" s="407">
        <f t="shared" ref="V54:V72" si="11">U54/$V$52</f>
        <v>216.43776</v>
      </c>
      <c r="X54" s="159"/>
    </row>
    <row r="55" spans="3:24" ht="15" customHeight="1">
      <c r="C55" s="4" t="s">
        <v>25</v>
      </c>
      <c r="D55" s="52">
        <f>O73</f>
        <v>2335719.5532799996</v>
      </c>
      <c r="E55" s="52">
        <f>D55/12*E61</f>
        <v>319215.00561493327</v>
      </c>
      <c r="F55" s="52">
        <f>$D$61/3+E55</f>
        <v>320211.50228159991</v>
      </c>
      <c r="G55" s="52">
        <f>F55*12</f>
        <v>3842538.0273791989</v>
      </c>
      <c r="H55" s="3" t="s">
        <v>339</v>
      </c>
      <c r="K55" s="408" t="s">
        <v>133</v>
      </c>
      <c r="L55" s="409">
        <v>5</v>
      </c>
      <c r="M55" s="409">
        <v>34.200000000000003</v>
      </c>
      <c r="N55" s="409">
        <f t="shared" ref="N55:N66" si="12">L55*M55</f>
        <v>171</v>
      </c>
      <c r="O55" s="409">
        <f t="shared" si="6"/>
        <v>83448</v>
      </c>
      <c r="P55" s="409">
        <f t="shared" si="7"/>
        <v>64.98</v>
      </c>
      <c r="Q55" s="409">
        <f t="shared" si="8"/>
        <v>31710.240000000002</v>
      </c>
      <c r="R55" s="409">
        <f t="shared" si="9"/>
        <v>64.98</v>
      </c>
      <c r="S55" s="409">
        <f t="shared" si="10"/>
        <v>31710.240000000002</v>
      </c>
      <c r="T55" s="409">
        <v>2</v>
      </c>
      <c r="U55" s="413">
        <f t="shared" ref="U55:U72" si="13">O55+Q55+S55</f>
        <v>146868.48000000001</v>
      </c>
      <c r="V55" s="410">
        <f t="shared" si="11"/>
        <v>12239.04</v>
      </c>
      <c r="X55" s="159"/>
    </row>
    <row r="56" spans="3:24" ht="12.75" customHeight="1">
      <c r="C56" s="4" t="s">
        <v>340</v>
      </c>
      <c r="D56" s="52">
        <f>S73</f>
        <v>887573.43024640006</v>
      </c>
      <c r="E56" s="52">
        <f>D56/12*E61</f>
        <v>121301.70213367465</v>
      </c>
      <c r="F56" s="52">
        <f t="shared" ref="F56:F57" si="14">$D$61/3+E56</f>
        <v>122298.19880034133</v>
      </c>
      <c r="G56" s="52">
        <f t="shared" ref="G56:G57" si="15">F56*12</f>
        <v>1467578.3856040959</v>
      </c>
      <c r="H56" s="3" t="s">
        <v>339</v>
      </c>
      <c r="K56" s="408" t="s">
        <v>341</v>
      </c>
      <c r="L56" s="409">
        <v>2</v>
      </c>
      <c r="M56" s="409">
        <f>147.84/12</f>
        <v>12.32</v>
      </c>
      <c r="N56" s="409">
        <f t="shared" si="12"/>
        <v>24.64</v>
      </c>
      <c r="O56" s="409">
        <f t="shared" si="6"/>
        <v>12024.32</v>
      </c>
      <c r="P56" s="409">
        <f t="shared" si="7"/>
        <v>9.3632000000000009</v>
      </c>
      <c r="Q56" s="409">
        <f t="shared" si="8"/>
        <v>4569.2416000000003</v>
      </c>
      <c r="R56" s="409">
        <f t="shared" si="9"/>
        <v>9.3632000000000009</v>
      </c>
      <c r="S56" s="409">
        <f t="shared" si="10"/>
        <v>4569.2416000000003</v>
      </c>
      <c r="T56" s="409">
        <v>2</v>
      </c>
      <c r="U56" s="413">
        <f>O56+Q56+S56</f>
        <v>21162.803200000002</v>
      </c>
      <c r="V56" s="410">
        <f t="shared" si="11"/>
        <v>1763.5669333333335</v>
      </c>
      <c r="X56" s="159"/>
    </row>
    <row r="57" spans="3:24" ht="12.75" customHeight="1">
      <c r="C57" s="4" t="s">
        <v>342</v>
      </c>
      <c r="D57" s="52">
        <f>Q73</f>
        <v>887573.43024640006</v>
      </c>
      <c r="E57" s="52">
        <f>D57/12*E61</f>
        <v>121301.70213367465</v>
      </c>
      <c r="F57" s="52">
        <f t="shared" si="14"/>
        <v>122298.19880034133</v>
      </c>
      <c r="G57" s="52">
        <f t="shared" si="15"/>
        <v>1467578.3856040959</v>
      </c>
      <c r="H57" s="3" t="s">
        <v>339</v>
      </c>
      <c r="K57" s="408" t="s">
        <v>343</v>
      </c>
      <c r="L57" s="409">
        <v>1</v>
      </c>
      <c r="M57" s="409">
        <f>777.6/12</f>
        <v>64.8</v>
      </c>
      <c r="N57" s="409">
        <f t="shared" si="12"/>
        <v>64.8</v>
      </c>
      <c r="O57" s="409">
        <f t="shared" si="6"/>
        <v>63244.799999999996</v>
      </c>
      <c r="P57" s="409">
        <f t="shared" si="7"/>
        <v>24.623999999999999</v>
      </c>
      <c r="Q57" s="409">
        <f t="shared" si="8"/>
        <v>24033.023999999998</v>
      </c>
      <c r="R57" s="409">
        <f t="shared" si="9"/>
        <v>24.623999999999999</v>
      </c>
      <c r="S57" s="409">
        <f t="shared" si="10"/>
        <v>24033.023999999998</v>
      </c>
      <c r="T57" s="409">
        <v>4</v>
      </c>
      <c r="U57" s="413">
        <f t="shared" si="13"/>
        <v>111310.848</v>
      </c>
      <c r="V57" s="410">
        <f t="shared" si="11"/>
        <v>9275.9040000000005</v>
      </c>
      <c r="X57" s="159"/>
    </row>
    <row r="58" spans="3:24" ht="12.75" customHeight="1">
      <c r="D58" s="16"/>
      <c r="E58" s="16"/>
      <c r="F58" s="16"/>
      <c r="G58" s="16"/>
      <c r="H58" s="4"/>
      <c r="K58" s="408" t="s">
        <v>344</v>
      </c>
      <c r="L58" s="409">
        <v>2</v>
      </c>
      <c r="M58" s="409">
        <f>2304/12</f>
        <v>192</v>
      </c>
      <c r="N58" s="409">
        <f t="shared" si="12"/>
        <v>384</v>
      </c>
      <c r="O58" s="409">
        <f t="shared" si="6"/>
        <v>281088</v>
      </c>
      <c r="P58" s="409">
        <f t="shared" si="7"/>
        <v>145.92000000000002</v>
      </c>
      <c r="Q58" s="409">
        <f t="shared" si="8"/>
        <v>106813.44000000002</v>
      </c>
      <c r="R58" s="409">
        <f t="shared" si="9"/>
        <v>145.92000000000002</v>
      </c>
      <c r="S58" s="409">
        <f t="shared" si="10"/>
        <v>106813.44000000002</v>
      </c>
      <c r="T58" s="409">
        <v>3</v>
      </c>
      <c r="U58" s="413">
        <f t="shared" si="13"/>
        <v>494714.88</v>
      </c>
      <c r="V58" s="410">
        <f t="shared" si="11"/>
        <v>41226.239999999998</v>
      </c>
      <c r="X58" s="159"/>
    </row>
    <row r="59" spans="3:24" ht="12.75" customHeight="1">
      <c r="C59" s="4"/>
      <c r="D59" s="16"/>
      <c r="E59" s="16"/>
      <c r="F59" s="16"/>
      <c r="G59" s="52"/>
      <c r="K59" s="408" t="s">
        <v>345</v>
      </c>
      <c r="L59" s="409">
        <v>4</v>
      </c>
      <c r="M59" s="409">
        <f>2557.44/12</f>
        <v>213.12</v>
      </c>
      <c r="N59" s="409">
        <f t="shared" si="12"/>
        <v>852.48</v>
      </c>
      <c r="O59" s="409">
        <f t="shared" si="6"/>
        <v>1664040.96</v>
      </c>
      <c r="P59" s="409">
        <f t="shared" si="7"/>
        <v>323.94240000000002</v>
      </c>
      <c r="Q59" s="409">
        <f t="shared" si="8"/>
        <v>632335.56480000005</v>
      </c>
      <c r="R59" s="409">
        <f t="shared" si="9"/>
        <v>323.94240000000002</v>
      </c>
      <c r="S59" s="409">
        <f t="shared" si="10"/>
        <v>632335.56480000005</v>
      </c>
      <c r="T59" s="409">
        <v>8</v>
      </c>
      <c r="U59" s="413">
        <f t="shared" si="13"/>
        <v>2928712.0895999996</v>
      </c>
      <c r="V59" s="410">
        <f t="shared" si="11"/>
        <v>244059.34079999998</v>
      </c>
      <c r="X59" s="159"/>
    </row>
    <row r="60" spans="3:24" ht="12.75" customHeight="1">
      <c r="C60" s="4" t="s">
        <v>334</v>
      </c>
      <c r="D60" s="163" t="s">
        <v>346</v>
      </c>
      <c r="E60" s="163" t="s">
        <v>335</v>
      </c>
      <c r="F60" s="16" t="s">
        <v>336</v>
      </c>
      <c r="G60" s="16"/>
      <c r="K60" s="408" t="s">
        <v>129</v>
      </c>
      <c r="L60" s="409">
        <v>2</v>
      </c>
      <c r="M60" s="409">
        <f>15.84/12</f>
        <v>1.32</v>
      </c>
      <c r="N60" s="409">
        <f t="shared" si="12"/>
        <v>2.64</v>
      </c>
      <c r="O60" s="409">
        <f t="shared" si="6"/>
        <v>5797.4400000000005</v>
      </c>
      <c r="P60" s="409">
        <f t="shared" si="7"/>
        <v>1.0032000000000001</v>
      </c>
      <c r="Q60" s="409">
        <f t="shared" si="8"/>
        <v>2203.0272</v>
      </c>
      <c r="R60" s="409">
        <f t="shared" si="9"/>
        <v>1.0032000000000001</v>
      </c>
      <c r="S60" s="409">
        <f t="shared" si="10"/>
        <v>2203.0272</v>
      </c>
      <c r="T60" s="409">
        <v>9</v>
      </c>
      <c r="U60" s="413">
        <f t="shared" si="13"/>
        <v>10203.494400000001</v>
      </c>
      <c r="V60" s="410">
        <f t="shared" si="11"/>
        <v>850.29120000000012</v>
      </c>
      <c r="X60" s="159"/>
    </row>
    <row r="61" spans="3:24" ht="12.75" customHeight="1">
      <c r="C61" s="388">
        <f>U73</f>
        <v>5271222.4812512007</v>
      </c>
      <c r="D61" s="64">
        <f>S39</f>
        <v>2989.49</v>
      </c>
      <c r="E61" s="63">
        <f>S41</f>
        <v>1.64</v>
      </c>
      <c r="F61" s="583">
        <f>D61+((C61/12)*E61)</f>
        <v>723389.89577099739</v>
      </c>
      <c r="K61" s="408" t="s">
        <v>347</v>
      </c>
      <c r="L61" s="409">
        <v>1</v>
      </c>
      <c r="M61" s="409">
        <v>0.13824</v>
      </c>
      <c r="N61" s="409">
        <f t="shared" si="12"/>
        <v>0.13824</v>
      </c>
      <c r="O61" s="409">
        <f t="shared" si="6"/>
        <v>67.461119999999994</v>
      </c>
      <c r="P61" s="409">
        <f t="shared" si="7"/>
        <v>5.25312E-2</v>
      </c>
      <c r="Q61" s="409">
        <f t="shared" si="8"/>
        <v>25.635225599999998</v>
      </c>
      <c r="R61" s="409">
        <f t="shared" si="9"/>
        <v>5.25312E-2</v>
      </c>
      <c r="S61" s="409">
        <f t="shared" si="10"/>
        <v>25.635225599999998</v>
      </c>
      <c r="T61" s="409">
        <v>2</v>
      </c>
      <c r="U61" s="413">
        <f t="shared" si="13"/>
        <v>118.73157119999999</v>
      </c>
      <c r="V61" s="410">
        <f t="shared" si="11"/>
        <v>9.8942975999999998</v>
      </c>
      <c r="X61" s="159"/>
    </row>
    <row r="62" spans="3:24" ht="12.75" customHeight="1">
      <c r="C62" s="33">
        <f>C61/12</f>
        <v>439268.54010426672</v>
      </c>
      <c r="D62" s="150" t="s">
        <v>348</v>
      </c>
      <c r="E62" s="150" t="s">
        <v>349</v>
      </c>
      <c r="K62" s="408" t="s">
        <v>350</v>
      </c>
      <c r="L62" s="409">
        <v>1</v>
      </c>
      <c r="M62" s="409">
        <v>0.7</v>
      </c>
      <c r="N62" s="409">
        <f>L62*M62</f>
        <v>0.7</v>
      </c>
      <c r="O62" s="409">
        <f t="shared" si="6"/>
        <v>1024.8</v>
      </c>
      <c r="P62" s="409">
        <f t="shared" si="7"/>
        <v>0.26599999999999996</v>
      </c>
      <c r="Q62" s="409">
        <f t="shared" si="8"/>
        <v>389.42399999999992</v>
      </c>
      <c r="R62" s="409">
        <f t="shared" si="9"/>
        <v>0.26599999999999996</v>
      </c>
      <c r="S62" s="409">
        <f t="shared" si="10"/>
        <v>389.42399999999992</v>
      </c>
      <c r="T62" s="409">
        <v>6</v>
      </c>
      <c r="U62" s="413">
        <f t="shared" si="13"/>
        <v>1803.6479999999999</v>
      </c>
      <c r="V62" s="410">
        <f t="shared" si="11"/>
        <v>150.304</v>
      </c>
      <c r="X62" s="159"/>
    </row>
    <row r="63" spans="3:24" ht="12.75" customHeight="1">
      <c r="C63" s="3" t="s">
        <v>351</v>
      </c>
      <c r="D63" s="389">
        <f>C62*E61/F61</f>
        <v>0.995867387673678</v>
      </c>
      <c r="K63" s="408" t="s">
        <v>151</v>
      </c>
      <c r="L63" s="409">
        <v>1</v>
      </c>
      <c r="M63" s="409">
        <v>0.20735999999999999</v>
      </c>
      <c r="N63" s="409">
        <f t="shared" si="12"/>
        <v>0.20735999999999999</v>
      </c>
      <c r="O63" s="409">
        <f t="shared" si="6"/>
        <v>1214.3001599999998</v>
      </c>
      <c r="P63" s="409">
        <f t="shared" si="7"/>
        <v>7.87968E-2</v>
      </c>
      <c r="Q63" s="409">
        <f t="shared" si="8"/>
        <v>461.4340608</v>
      </c>
      <c r="R63" s="409">
        <f t="shared" si="9"/>
        <v>7.87968E-2</v>
      </c>
      <c r="S63" s="409">
        <f t="shared" si="10"/>
        <v>461.4340608</v>
      </c>
      <c r="T63" s="409">
        <v>24</v>
      </c>
      <c r="U63" s="413">
        <f t="shared" si="13"/>
        <v>2137.1682815999998</v>
      </c>
      <c r="V63" s="410">
        <f t="shared" si="11"/>
        <v>178.09735679999997</v>
      </c>
      <c r="X63" s="159"/>
    </row>
    <row r="64" spans="3:24" ht="12.75" customHeight="1">
      <c r="C64" s="3" t="s">
        <v>352</v>
      </c>
      <c r="D64" s="389">
        <f>D61/F61</f>
        <v>4.132612326321985E-3</v>
      </c>
      <c r="K64" s="408" t="s">
        <v>143</v>
      </c>
      <c r="L64" s="409">
        <v>1</v>
      </c>
      <c r="M64" s="409">
        <v>37</v>
      </c>
      <c r="N64" s="409">
        <f>L64*M64</f>
        <v>37</v>
      </c>
      <c r="O64" s="409">
        <f t="shared" si="6"/>
        <v>216672</v>
      </c>
      <c r="P64" s="409">
        <f t="shared" si="7"/>
        <v>14.06</v>
      </c>
      <c r="Q64" s="409">
        <f t="shared" si="8"/>
        <v>82335.360000000001</v>
      </c>
      <c r="R64" s="409">
        <f t="shared" si="9"/>
        <v>14.06</v>
      </c>
      <c r="S64" s="409">
        <f t="shared" si="10"/>
        <v>82335.360000000001</v>
      </c>
      <c r="T64" s="409">
        <v>24</v>
      </c>
      <c r="U64" s="413">
        <f>O64+Q64+S64</f>
        <v>381342.71999999997</v>
      </c>
      <c r="V64" s="410">
        <f t="shared" si="11"/>
        <v>31778.559999999998</v>
      </c>
      <c r="X64" s="159"/>
    </row>
    <row r="65" spans="3:24" ht="12.75" customHeight="1">
      <c r="C65" s="3"/>
      <c r="H65" s="33"/>
      <c r="K65" s="408" t="s">
        <v>353</v>
      </c>
      <c r="L65" s="409">
        <v>1</v>
      </c>
      <c r="M65" s="409">
        <v>0.96</v>
      </c>
      <c r="N65" s="409">
        <f t="shared" si="12"/>
        <v>0.96</v>
      </c>
      <c r="O65" s="409">
        <f t="shared" si="6"/>
        <v>5621.7599999999993</v>
      </c>
      <c r="P65" s="409">
        <f t="shared" si="7"/>
        <v>0.36480000000000001</v>
      </c>
      <c r="Q65" s="409">
        <f t="shared" si="8"/>
        <v>2136.2688000000003</v>
      </c>
      <c r="R65" s="409">
        <f t="shared" si="9"/>
        <v>0.36480000000000001</v>
      </c>
      <c r="S65" s="409">
        <f t="shared" si="10"/>
        <v>2136.2688000000003</v>
      </c>
      <c r="T65" s="409">
        <v>24</v>
      </c>
      <c r="U65" s="413">
        <f t="shared" si="13"/>
        <v>9894.2975999999999</v>
      </c>
      <c r="V65" s="410">
        <f t="shared" si="11"/>
        <v>824.52480000000003</v>
      </c>
      <c r="X65" s="159"/>
    </row>
    <row r="66" spans="3:24" ht="12.75" customHeight="1" thickBot="1">
      <c r="C66" s="3"/>
      <c r="D66" s="159"/>
      <c r="E66" s="159"/>
      <c r="F66" s="159"/>
      <c r="G66" s="159"/>
      <c r="K66" s="411" t="s">
        <v>354</v>
      </c>
      <c r="L66" s="409">
        <v>111</v>
      </c>
      <c r="M66" s="409">
        <v>1.0999999999999999E-2</v>
      </c>
      <c r="N66" s="409">
        <f t="shared" si="12"/>
        <v>1.2209999999999999</v>
      </c>
      <c r="O66" s="409">
        <f t="shared" si="6"/>
        <v>7150.1759999999995</v>
      </c>
      <c r="P66" s="409">
        <f t="shared" si="7"/>
        <v>0.46397999999999995</v>
      </c>
      <c r="Q66" s="409">
        <f t="shared" si="8"/>
        <v>2717.0668799999999</v>
      </c>
      <c r="R66" s="409">
        <f t="shared" si="9"/>
        <v>0.46397999999999995</v>
      </c>
      <c r="S66" s="409">
        <f t="shared" si="10"/>
        <v>2717.0668799999999</v>
      </c>
      <c r="T66" s="409">
        <v>24</v>
      </c>
      <c r="U66" s="413">
        <f t="shared" si="13"/>
        <v>12584.30976</v>
      </c>
      <c r="V66" s="410">
        <f t="shared" si="11"/>
        <v>1048.6924799999999</v>
      </c>
      <c r="X66" s="159"/>
    </row>
    <row r="67" spans="3:24" ht="12.75" customHeight="1">
      <c r="C67" s="164"/>
      <c r="D67" s="390" t="s">
        <v>188</v>
      </c>
      <c r="E67" s="64" t="s">
        <v>355</v>
      </c>
      <c r="F67" s="391" t="s">
        <v>356</v>
      </c>
      <c r="G67" s="390" t="s">
        <v>357</v>
      </c>
      <c r="H67" s="159"/>
      <c r="I67" s="33"/>
      <c r="J67" s="159"/>
      <c r="K67" s="551" t="s">
        <v>177</v>
      </c>
      <c r="L67" s="552">
        <v>1</v>
      </c>
      <c r="M67" s="552">
        <v>1794.666667</v>
      </c>
      <c r="N67" s="552">
        <f t="shared" ref="N67:N72" si="16">L67*M67/30</f>
        <v>59.822222233333335</v>
      </c>
      <c r="O67" s="552">
        <f>N67*$T$49*T67</f>
        <v>350318.93339839997</v>
      </c>
      <c r="P67" s="552">
        <v>0</v>
      </c>
      <c r="Q67" s="552">
        <f t="shared" si="8"/>
        <v>0</v>
      </c>
      <c r="R67" s="552">
        <v>0</v>
      </c>
      <c r="S67" s="552">
        <f t="shared" si="10"/>
        <v>0</v>
      </c>
      <c r="T67" s="552">
        <v>24</v>
      </c>
      <c r="U67" s="553">
        <f>O67+Q67+S67</f>
        <v>350318.93339839997</v>
      </c>
      <c r="V67" s="412">
        <f t="shared" si="11"/>
        <v>29193.244449866663</v>
      </c>
      <c r="X67" s="159"/>
    </row>
    <row r="68" spans="3:24" ht="12.75" customHeight="1">
      <c r="C68" s="4" t="s">
        <v>358</v>
      </c>
      <c r="D68" s="392">
        <f>F61*11.5</f>
        <v>8318983.8013664698</v>
      </c>
      <c r="E68" s="392">
        <f>D68*$D$63</f>
        <v>8284604.66636647</v>
      </c>
      <c r="F68" s="392">
        <f>D68*$D$64</f>
        <v>34379.134999999995</v>
      </c>
      <c r="G68" s="392"/>
      <c r="I68" s="33"/>
      <c r="J68" s="179"/>
      <c r="K68" s="554" t="s">
        <v>180</v>
      </c>
      <c r="L68" s="409">
        <v>1</v>
      </c>
      <c r="M68" s="409">
        <v>3390</v>
      </c>
      <c r="N68" s="409">
        <f t="shared" si="16"/>
        <v>113</v>
      </c>
      <c r="O68" s="409">
        <f>N68*$T$49*T68</f>
        <v>661728</v>
      </c>
      <c r="P68" s="409">
        <v>0</v>
      </c>
      <c r="Q68" s="409">
        <f t="shared" ref="Q68:Q72" si="17">P68*T68*$T$49</f>
        <v>0</v>
      </c>
      <c r="R68" s="409">
        <v>0</v>
      </c>
      <c r="S68" s="409">
        <f t="shared" ref="S68:S72" si="18">R68*T68*$T$49</f>
        <v>0</v>
      </c>
      <c r="T68" s="409">
        <v>24</v>
      </c>
      <c r="U68" s="555">
        <f>O68+Q68+S68</f>
        <v>661728</v>
      </c>
      <c r="V68" s="412">
        <f t="shared" si="11"/>
        <v>55144</v>
      </c>
      <c r="X68" s="159"/>
    </row>
    <row r="69" spans="3:24" ht="12.75" customHeight="1">
      <c r="C69" s="3" t="s">
        <v>359</v>
      </c>
      <c r="D69" s="392">
        <f>D68*0.95</f>
        <v>7903034.6112981457</v>
      </c>
      <c r="E69" s="392">
        <f t="shared" ref="E69:E72" si="19">D69*$D$63</f>
        <v>7870374.4330481458</v>
      </c>
      <c r="F69" s="392">
        <f t="shared" ref="F69:F70" si="20">D69*$D$64</f>
        <v>32660.178249999994</v>
      </c>
      <c r="G69" s="392"/>
      <c r="H69" s="164"/>
      <c r="I69" s="33"/>
      <c r="J69" s="179"/>
      <c r="K69" s="554" t="s">
        <v>181</v>
      </c>
      <c r="L69" s="409">
        <v>1</v>
      </c>
      <c r="M69" s="409">
        <v>61.02</v>
      </c>
      <c r="N69" s="409">
        <f t="shared" si="16"/>
        <v>2.0340000000000003</v>
      </c>
      <c r="O69" s="409">
        <f t="shared" ref="O69:O71" si="21">N69*$T$49*T69</f>
        <v>11911.104000000001</v>
      </c>
      <c r="P69" s="409">
        <v>0</v>
      </c>
      <c r="Q69" s="409">
        <f t="shared" si="17"/>
        <v>0</v>
      </c>
      <c r="R69" s="409">
        <v>0</v>
      </c>
      <c r="S69" s="409">
        <f t="shared" si="18"/>
        <v>0</v>
      </c>
      <c r="T69" s="409">
        <v>24</v>
      </c>
      <c r="U69" s="555">
        <f t="shared" si="13"/>
        <v>11911.104000000001</v>
      </c>
      <c r="V69" s="412">
        <f t="shared" si="11"/>
        <v>992.5920000000001</v>
      </c>
      <c r="X69" s="159"/>
    </row>
    <row r="70" spans="3:24" ht="12.75" customHeight="1">
      <c r="C70" s="3" t="s">
        <v>360</v>
      </c>
      <c r="D70" s="392">
        <f>D68*0.025</f>
        <v>207974.59503416176</v>
      </c>
      <c r="E70" s="392">
        <f t="shared" si="19"/>
        <v>207115.11665916175</v>
      </c>
      <c r="F70" s="392">
        <f t="shared" si="20"/>
        <v>859.47837499999991</v>
      </c>
      <c r="G70" s="392"/>
      <c r="H70" s="4"/>
      <c r="I70" s="33"/>
      <c r="J70" s="179"/>
      <c r="K70" s="554" t="s">
        <v>182</v>
      </c>
      <c r="L70" s="409">
        <v>1</v>
      </c>
      <c r="M70" s="409">
        <f>44748/12</f>
        <v>3729</v>
      </c>
      <c r="N70" s="409">
        <f t="shared" si="16"/>
        <v>124.3</v>
      </c>
      <c r="O70" s="409">
        <f>N70*$T$49*T70/30</f>
        <v>24263.360000000001</v>
      </c>
      <c r="P70" s="409">
        <v>0</v>
      </c>
      <c r="Q70" s="409">
        <f>P70*T70*$T$49</f>
        <v>0</v>
      </c>
      <c r="R70" s="409">
        <v>0</v>
      </c>
      <c r="S70" s="409">
        <f>R70*T70*$T$49</f>
        <v>0</v>
      </c>
      <c r="T70" s="409">
        <v>24</v>
      </c>
      <c r="U70" s="555">
        <f t="shared" si="13"/>
        <v>24263.360000000001</v>
      </c>
      <c r="V70" s="412">
        <f t="shared" si="11"/>
        <v>2021.9466666666667</v>
      </c>
      <c r="X70" s="159"/>
    </row>
    <row r="71" spans="3:24" ht="12.75" customHeight="1">
      <c r="C71" s="3" t="s">
        <v>361</v>
      </c>
      <c r="D71" s="392">
        <f>D68*0.025</f>
        <v>207974.59503416176</v>
      </c>
      <c r="E71" s="392">
        <f>D71*$D$63</f>
        <v>207115.11665916175</v>
      </c>
      <c r="F71" s="392">
        <f>D71*$D$64</f>
        <v>859.47837499999991</v>
      </c>
      <c r="G71" s="392"/>
      <c r="H71" s="4"/>
      <c r="I71" s="53"/>
      <c r="J71" s="179"/>
      <c r="K71" s="554" t="s">
        <v>183</v>
      </c>
      <c r="L71" s="409">
        <v>1</v>
      </c>
      <c r="M71" s="409">
        <v>508.5</v>
      </c>
      <c r="N71" s="409">
        <f t="shared" si="16"/>
        <v>16.95</v>
      </c>
      <c r="O71" s="409">
        <f t="shared" si="21"/>
        <v>99259.200000000012</v>
      </c>
      <c r="P71" s="409">
        <v>0</v>
      </c>
      <c r="Q71" s="409">
        <f t="shared" si="17"/>
        <v>0</v>
      </c>
      <c r="R71" s="409">
        <v>0</v>
      </c>
      <c r="S71" s="409">
        <f>R71*T71*$T$49</f>
        <v>0</v>
      </c>
      <c r="T71" s="409">
        <v>24</v>
      </c>
      <c r="U71" s="555">
        <f>O71+Q71+S71</f>
        <v>99259.200000000012</v>
      </c>
      <c r="V71" s="412">
        <f t="shared" si="11"/>
        <v>8271.6</v>
      </c>
      <c r="X71" s="159"/>
    </row>
    <row r="72" spans="3:24" ht="12.75" customHeight="1" thickBot="1">
      <c r="C72" s="4" t="s">
        <v>362</v>
      </c>
      <c r="D72" s="392">
        <f>D69*M92</f>
        <v>200076.82560248469</v>
      </c>
      <c r="E72" s="392">
        <f t="shared" si="19"/>
        <v>199249.9856467885</v>
      </c>
      <c r="F72" s="392">
        <f>D72*$D$64</f>
        <v>826.83995569620231</v>
      </c>
      <c r="G72" s="392"/>
      <c r="H72" s="4"/>
      <c r="I72" s="53"/>
      <c r="J72" s="179"/>
      <c r="K72" s="556" t="s">
        <v>185</v>
      </c>
      <c r="L72" s="557">
        <v>1</v>
      </c>
      <c r="M72" s="557">
        <v>44.747999999999998</v>
      </c>
      <c r="N72" s="557">
        <f t="shared" si="16"/>
        <v>1.4915999999999998</v>
      </c>
      <c r="O72" s="557">
        <f>N72*$T$49*T72/30</f>
        <v>291.16031999999996</v>
      </c>
      <c r="P72" s="557">
        <v>0</v>
      </c>
      <c r="Q72" s="557">
        <f t="shared" si="17"/>
        <v>0</v>
      </c>
      <c r="R72" s="557">
        <v>0</v>
      </c>
      <c r="S72" s="557">
        <f t="shared" si="18"/>
        <v>0</v>
      </c>
      <c r="T72" s="557">
        <v>24</v>
      </c>
      <c r="U72" s="558">
        <f t="shared" si="13"/>
        <v>291.16031999999996</v>
      </c>
      <c r="V72" s="412">
        <f t="shared" si="11"/>
        <v>24.263359999999995</v>
      </c>
      <c r="X72" s="159"/>
    </row>
    <row r="73" spans="3:24" ht="12.75" customHeight="1" thickBot="1">
      <c r="C73" s="164"/>
      <c r="E73" s="33"/>
      <c r="F73" s="220"/>
      <c r="H73" s="4"/>
      <c r="I73" s="53"/>
      <c r="J73" s="33"/>
      <c r="K73" s="159"/>
      <c r="L73" s="221"/>
      <c r="M73" s="222"/>
      <c r="N73" s="222"/>
      <c r="O73" s="225">
        <f t="shared" ref="O73:S73" si="22">SUM(O54:O65)</f>
        <v>2335719.5532799996</v>
      </c>
      <c r="P73" s="225">
        <f t="shared" si="22"/>
        <v>585.03796799999975</v>
      </c>
      <c r="Q73" s="225">
        <f t="shared" si="22"/>
        <v>887573.43024640006</v>
      </c>
      <c r="R73" s="225">
        <f t="shared" si="22"/>
        <v>585.03796799999975</v>
      </c>
      <c r="S73" s="225">
        <f t="shared" si="22"/>
        <v>887573.43024640006</v>
      </c>
      <c r="T73" s="225"/>
      <c r="U73" s="433">
        <f>+SUM(U54:U72)</f>
        <v>5271222.4812512007</v>
      </c>
      <c r="V73" s="434">
        <f>SUM(V54:V72)</f>
        <v>439268.54010426661</v>
      </c>
      <c r="X73" s="159"/>
    </row>
    <row r="74" spans="3:24" ht="12.75" customHeight="1">
      <c r="C74" s="243"/>
      <c r="E74" s="33"/>
      <c r="F74" s="220"/>
      <c r="H74" s="4"/>
      <c r="I74" s="53"/>
      <c r="J74" s="33"/>
      <c r="K74" s="220"/>
      <c r="X74" s="159"/>
    </row>
    <row r="75" spans="3:24" ht="12.75" customHeight="1">
      <c r="C75" s="54"/>
      <c r="F75" s="4"/>
      <c r="G75" s="4"/>
      <c r="H75" s="4"/>
      <c r="I75" s="4"/>
      <c r="J75" s="4"/>
      <c r="K75" s="33">
        <f>E72/12*3</f>
        <v>49812.496411697124</v>
      </c>
      <c r="X75" s="159"/>
    </row>
    <row r="76" spans="3:24" ht="12.75" customHeight="1">
      <c r="C76" s="978" t="s">
        <v>363</v>
      </c>
      <c r="D76" s="992"/>
      <c r="E76" s="992"/>
      <c r="F76" s="992"/>
      <c r="G76" s="992"/>
      <c r="H76" s="993"/>
      <c r="I76" s="4"/>
      <c r="J76" s="4"/>
      <c r="K76" s="33" t="e">
        <f>#REF!/12*3</f>
        <v>#REF!</v>
      </c>
      <c r="M76" s="217"/>
      <c r="N76" s="218"/>
      <c r="O76" s="218"/>
      <c r="P76" s="218"/>
      <c r="Q76" s="218"/>
      <c r="R76" s="218"/>
      <c r="S76" s="218"/>
      <c r="T76" s="218"/>
      <c r="U76" s="218"/>
      <c r="V76" s="222"/>
      <c r="W76" s="159"/>
    </row>
    <row r="77" spans="3:24" ht="12.75" customHeight="1">
      <c r="C77" s="16"/>
      <c r="E77" s="56"/>
      <c r="F77" s="4"/>
      <c r="G77" s="4"/>
      <c r="H77" s="4"/>
      <c r="I77" s="4"/>
      <c r="J77" s="4"/>
      <c r="L77" s="4" t="s">
        <v>364</v>
      </c>
      <c r="M77" s="219">
        <v>1969134.7334373901</v>
      </c>
      <c r="N77" s="218"/>
      <c r="O77" s="229"/>
      <c r="P77" s="218"/>
      <c r="Q77" s="218"/>
      <c r="R77" s="218"/>
      <c r="S77" s="218"/>
      <c r="T77" s="218"/>
      <c r="U77" s="218"/>
      <c r="V77" s="218"/>
    </row>
    <row r="78" spans="3:24" ht="12.75" customHeight="1">
      <c r="C78" s="16" t="s">
        <v>365</v>
      </c>
      <c r="E78" s="56">
        <v>736</v>
      </c>
      <c r="G78" s="4"/>
      <c r="H78" s="4"/>
      <c r="I78" s="4"/>
      <c r="J78" s="4"/>
      <c r="L78" s="4" t="s">
        <v>366</v>
      </c>
      <c r="M78" s="4">
        <v>440378.56000000006</v>
      </c>
      <c r="O78">
        <f>200000/12</f>
        <v>16666.666666666668</v>
      </c>
    </row>
    <row r="79" spans="3:24" ht="12.75" customHeight="1">
      <c r="C79" s="16"/>
      <c r="E79" s="57" t="s">
        <v>217</v>
      </c>
      <c r="F79" s="4"/>
      <c r="H79" s="4"/>
      <c r="I79" s="4"/>
      <c r="J79" s="55"/>
      <c r="L79" s="4" t="s">
        <v>367</v>
      </c>
      <c r="M79" s="4">
        <v>178238.72</v>
      </c>
    </row>
    <row r="80" spans="3:24" ht="12.75" customHeight="1">
      <c r="C80" s="58" t="s">
        <v>368</v>
      </c>
      <c r="D80" s="59"/>
      <c r="E80" s="5">
        <v>80</v>
      </c>
      <c r="F80" s="4"/>
      <c r="G80" s="4"/>
      <c r="H80" s="4"/>
      <c r="I80" s="4"/>
      <c r="J80" s="4"/>
    </row>
    <row r="81" spans="2:22" ht="12.75" customHeight="1">
      <c r="C81" s="16" t="s">
        <v>369</v>
      </c>
      <c r="F81" s="3" t="s">
        <v>370</v>
      </c>
      <c r="G81" s="4" t="s">
        <v>371</v>
      </c>
      <c r="H81" s="3" t="s">
        <v>372</v>
      </c>
      <c r="I81" s="4" t="s">
        <v>373</v>
      </c>
      <c r="J81" s="4" t="s">
        <v>374</v>
      </c>
      <c r="L81" s="952" t="s">
        <v>13</v>
      </c>
      <c r="M81" s="997"/>
      <c r="N81" s="997"/>
      <c r="O81" s="997"/>
      <c r="P81" s="998"/>
      <c r="S81" s="163" t="s">
        <v>375</v>
      </c>
      <c r="T81" s="217">
        <f>SUM(U67:U72)</f>
        <v>1147771.7577184001</v>
      </c>
      <c r="V81" s="159"/>
    </row>
    <row r="82" spans="2:22" ht="12.75" customHeight="1">
      <c r="C82" s="16" t="s">
        <v>376</v>
      </c>
      <c r="D82" s="393" t="s">
        <v>377</v>
      </c>
      <c r="E82" s="16" t="s">
        <v>378</v>
      </c>
      <c r="F82" s="4">
        <f>'E-Inv AF y Am'!B21*0.01</f>
        <v>1783735.4863125</v>
      </c>
      <c r="G82" s="4">
        <f>'E-Inv AF y Am'!$B$21*0.01</f>
        <v>1783735.4863125</v>
      </c>
      <c r="H82" s="4">
        <f>'E-Inv AF y Am'!$B$21*0.01</f>
        <v>1783735.4863125</v>
      </c>
      <c r="I82" s="4">
        <f>'E-Inv AF y Am'!$B$21*0.01</f>
        <v>1783735.4863125</v>
      </c>
      <c r="J82" s="55">
        <f>'E-Inv AF y Am'!$B$21*'CA COSTOS'!D82</f>
        <v>1783735.4863125</v>
      </c>
      <c r="L82" s="266"/>
      <c r="M82" s="267" t="s">
        <v>14</v>
      </c>
      <c r="N82" s="267" t="s">
        <v>15</v>
      </c>
      <c r="O82" s="267" t="s">
        <v>16</v>
      </c>
      <c r="P82" s="268" t="s">
        <v>17</v>
      </c>
      <c r="S82" s="163" t="s">
        <v>379</v>
      </c>
      <c r="T82" s="217">
        <f>SUM(U54:U66)</f>
        <v>4123450.7235328001</v>
      </c>
    </row>
    <row r="83" spans="2:22" ht="12.75" customHeight="1">
      <c r="C83" s="16" t="s">
        <v>380</v>
      </c>
      <c r="D83" s="393" t="s">
        <v>381</v>
      </c>
      <c r="E83" s="16" t="s">
        <v>378</v>
      </c>
      <c r="F83" s="394">
        <f>'E-Inv AF y Am'!$B$21*0.016</f>
        <v>2853976.7780999998</v>
      </c>
      <c r="G83" s="4">
        <f>'E-Inv AF y Am'!$B$21*0.016</f>
        <v>2853976.7780999998</v>
      </c>
      <c r="H83" s="4">
        <f>'E-Inv AF y Am'!$B$21*0.016</f>
        <v>2853976.7780999998</v>
      </c>
      <c r="I83" s="4">
        <f>'E-Inv AF y Am'!$B$21*0.016</f>
        <v>2853976.7780999998</v>
      </c>
      <c r="J83" s="55">
        <f>'E-Inv AF y Am'!$B$21*'CA COSTOS'!D83</f>
        <v>2853976.7780999998</v>
      </c>
      <c r="L83" s="258" t="s">
        <v>382</v>
      </c>
      <c r="M83" s="414">
        <v>0</v>
      </c>
      <c r="N83" s="415">
        <v>1598</v>
      </c>
      <c r="O83" s="281">
        <v>1890</v>
      </c>
      <c r="P83" s="282" t="s">
        <v>383</v>
      </c>
      <c r="S83" s="163" t="s">
        <v>384</v>
      </c>
      <c r="T83" s="217">
        <f>SUM(T81:T82)</f>
        <v>5271222.4812512007</v>
      </c>
      <c r="V83" s="159"/>
    </row>
    <row r="84" spans="2:22" ht="12.75" customHeight="1">
      <c r="C84" s="16" t="s">
        <v>25</v>
      </c>
      <c r="D84" s="393" t="s">
        <v>385</v>
      </c>
      <c r="E84" s="16" t="s">
        <v>386</v>
      </c>
      <c r="F84" s="197">
        <f>I9*0.015</f>
        <v>18949783.5</v>
      </c>
      <c r="G84" s="4">
        <f>$J$9*0.015</f>
        <v>17815707</v>
      </c>
      <c r="H84" s="4">
        <f>$J$9*D84</f>
        <v>17815707</v>
      </c>
      <c r="I84" s="4">
        <f>$J$9*0.015</f>
        <v>17815707</v>
      </c>
      <c r="J84" s="395">
        <f>J9*0.015</f>
        <v>17815707</v>
      </c>
      <c r="L84" s="429" t="s">
        <v>387</v>
      </c>
      <c r="M84" s="414">
        <v>0</v>
      </c>
      <c r="N84" s="280">
        <v>37.058824000000001</v>
      </c>
      <c r="O84" s="284">
        <v>37.058823500000003</v>
      </c>
      <c r="P84" s="282" t="s">
        <v>383</v>
      </c>
      <c r="S84" s="227"/>
      <c r="V84" s="159"/>
    </row>
    <row r="85" spans="2:22" ht="12.75" customHeight="1">
      <c r="C85" s="16" t="s">
        <v>267</v>
      </c>
      <c r="D85" s="393" t="s">
        <v>388</v>
      </c>
      <c r="E85" s="16" t="s">
        <v>389</v>
      </c>
      <c r="F85" s="197">
        <f>$G$29*0.03</f>
        <v>214858.7298</v>
      </c>
      <c r="G85" s="4">
        <f t="shared" ref="G85:I85" si="23">$G$29*0.03</f>
        <v>214858.7298</v>
      </c>
      <c r="H85" s="4">
        <f t="shared" si="23"/>
        <v>214858.7298</v>
      </c>
      <c r="I85" s="4">
        <f t="shared" si="23"/>
        <v>214858.7298</v>
      </c>
      <c r="J85" s="396">
        <f>$G$29*D85</f>
        <v>214858.7298</v>
      </c>
      <c r="L85" s="430" t="s">
        <v>390</v>
      </c>
      <c r="M85" s="414">
        <v>0</v>
      </c>
      <c r="N85" s="280">
        <v>1617</v>
      </c>
      <c r="O85" s="285">
        <v>1890</v>
      </c>
      <c r="P85" s="282" t="s">
        <v>383</v>
      </c>
      <c r="S85" s="163" t="s">
        <v>318</v>
      </c>
      <c r="T85" s="226">
        <f>T81/T83</f>
        <v>0.2177429925981724</v>
      </c>
      <c r="V85" s="159"/>
    </row>
    <row r="86" spans="2:22" ht="12.75" customHeight="1">
      <c r="E86" s="397" t="s">
        <v>224</v>
      </c>
      <c r="F86" s="398">
        <f>SUM(F82:F85)</f>
        <v>23802354.494212501</v>
      </c>
      <c r="G86" s="398">
        <f>SUM(G82:G85)</f>
        <v>22668277.994212501</v>
      </c>
      <c r="H86" s="398">
        <f t="shared" ref="H86:I86" si="24">SUM(H82:H85)</f>
        <v>22668277.994212501</v>
      </c>
      <c r="I86" s="398">
        <f t="shared" si="24"/>
        <v>22668277.994212501</v>
      </c>
      <c r="J86" s="399">
        <f>SUM(J82:J85)</f>
        <v>22668277.994212501</v>
      </c>
      <c r="K86" t="s">
        <v>391</v>
      </c>
      <c r="L86" s="430" t="s">
        <v>392</v>
      </c>
      <c r="M86" s="414">
        <v>0</v>
      </c>
      <c r="N86" s="280">
        <v>0</v>
      </c>
      <c r="O86" s="284">
        <v>0</v>
      </c>
      <c r="P86" s="282" t="s">
        <v>383</v>
      </c>
      <c r="S86" s="163" t="s">
        <v>319</v>
      </c>
      <c r="T86" s="226">
        <f>T82/T83</f>
        <v>0.78225700740182746</v>
      </c>
      <c r="U86" s="226"/>
      <c r="V86" s="159"/>
    </row>
    <row r="87" spans="2:22" ht="12.75" customHeight="1">
      <c r="D87" s="400" t="s">
        <v>393</v>
      </c>
      <c r="E87" s="401">
        <v>0.9</v>
      </c>
      <c r="F87" s="4">
        <f>F$86*E87</f>
        <v>21422119.044791251</v>
      </c>
      <c r="G87" s="4">
        <f t="shared" ref="G87:G89" si="25">$G$86*E87</f>
        <v>20401450.19479125</v>
      </c>
      <c r="H87" s="4">
        <f t="shared" ref="H87" si="26">H86*E87</f>
        <v>20401450.19479125</v>
      </c>
      <c r="I87" s="4">
        <f t="shared" ref="I87:I89" si="27">$I$86*E87</f>
        <v>20401450.19479125</v>
      </c>
      <c r="J87" s="4">
        <f>J86*E87</f>
        <v>20401450.19479125</v>
      </c>
      <c r="K87" s="402">
        <f>J87/12</f>
        <v>1700120.8495659374</v>
      </c>
      <c r="L87" s="430" t="s">
        <v>31</v>
      </c>
      <c r="M87" s="414">
        <v>0</v>
      </c>
      <c r="N87" s="280">
        <v>42</v>
      </c>
      <c r="O87" s="284">
        <v>42</v>
      </c>
      <c r="P87" s="282" t="s">
        <v>383</v>
      </c>
      <c r="S87" s="163"/>
      <c r="V87" s="159"/>
    </row>
    <row r="88" spans="2:22" ht="12.75" customHeight="1">
      <c r="D88" s="403" t="s">
        <v>394</v>
      </c>
      <c r="E88" s="404">
        <v>0.05</v>
      </c>
      <c r="F88" s="4">
        <f t="shared" ref="F88:F89" si="28">$F$86*E88</f>
        <v>1190117.7247106251</v>
      </c>
      <c r="G88" s="4">
        <f t="shared" si="25"/>
        <v>1133413.8997106252</v>
      </c>
      <c r="H88" s="4">
        <f>H86*E88</f>
        <v>1133413.8997106252</v>
      </c>
      <c r="I88" s="4">
        <f t="shared" si="27"/>
        <v>1133413.8997106252</v>
      </c>
      <c r="J88" s="4">
        <f>J86*E88</f>
        <v>1133413.8997106252</v>
      </c>
      <c r="K88" s="402">
        <f>J88/12</f>
        <v>94451.158309218765</v>
      </c>
      <c r="L88" s="430" t="s">
        <v>395</v>
      </c>
      <c r="M88" s="414">
        <v>0</v>
      </c>
      <c r="N88" s="279">
        <v>1659</v>
      </c>
      <c r="O88" s="279">
        <v>1890</v>
      </c>
      <c r="P88" s="282" t="s">
        <v>383</v>
      </c>
      <c r="S88" s="163" t="s">
        <v>396</v>
      </c>
      <c r="V88" s="159"/>
    </row>
    <row r="89" spans="2:22" ht="12.75" customHeight="1">
      <c r="D89" s="403" t="s">
        <v>397</v>
      </c>
      <c r="E89" s="404">
        <v>0.05</v>
      </c>
      <c r="F89" s="4">
        <f t="shared" si="28"/>
        <v>1190117.7247106251</v>
      </c>
      <c r="G89" s="4">
        <f t="shared" si="25"/>
        <v>1133413.8997106252</v>
      </c>
      <c r="H89" s="4">
        <f>H86*E89</f>
        <v>1133413.8997106252</v>
      </c>
      <c r="I89" s="4">
        <f t="shared" si="27"/>
        <v>1133413.8997106252</v>
      </c>
      <c r="J89" s="4">
        <f>J86*E89</f>
        <v>1133413.8997106252</v>
      </c>
      <c r="K89" s="402">
        <f>J89/12</f>
        <v>94451.158309218765</v>
      </c>
      <c r="L89" s="430" t="s">
        <v>398</v>
      </c>
      <c r="M89" s="414">
        <v>0</v>
      </c>
      <c r="N89" s="279">
        <v>165</v>
      </c>
      <c r="O89" s="279">
        <v>165</v>
      </c>
      <c r="P89" s="282" t="s">
        <v>383</v>
      </c>
      <c r="Q89" s="417"/>
      <c r="S89" s="163" t="s">
        <v>399</v>
      </c>
      <c r="V89" s="159"/>
    </row>
    <row r="90" spans="2:22" ht="12.75" customHeight="1">
      <c r="J90" t="s">
        <v>224</v>
      </c>
      <c r="K90" s="402">
        <f>SUM(K87:K89)</f>
        <v>1889023.1661843748</v>
      </c>
      <c r="L90" s="431" t="s">
        <v>400</v>
      </c>
      <c r="M90" s="416">
        <v>1616.5531900000001</v>
      </c>
      <c r="N90" s="279">
        <v>208</v>
      </c>
      <c r="O90" s="279">
        <v>1682</v>
      </c>
      <c r="P90" s="282" t="s">
        <v>383</v>
      </c>
      <c r="V90" s="159"/>
    </row>
    <row r="91" spans="2:22" ht="12.75" customHeight="1">
      <c r="D91" s="198"/>
      <c r="O91" s="196"/>
      <c r="V91" s="159"/>
    </row>
    <row r="92" spans="2:22" ht="12.75" customHeight="1">
      <c r="F92" s="214"/>
      <c r="J92" s="197"/>
      <c r="L92" s="432" t="s">
        <v>43</v>
      </c>
      <c r="M92" s="14">
        <f>N87/N88</f>
        <v>2.5316455696202531E-2</v>
      </c>
      <c r="V92" s="159"/>
    </row>
    <row r="93" spans="2:22" ht="12.75" customHeight="1">
      <c r="C93" s="159"/>
      <c r="D93" s="159"/>
      <c r="E93" s="159"/>
      <c r="F93" s="159"/>
      <c r="G93" s="159"/>
      <c r="H93" s="159"/>
      <c r="V93" s="159"/>
    </row>
    <row r="94" spans="2:22" ht="12.75" customHeight="1">
      <c r="B94" s="159"/>
      <c r="C94" s="949" t="s">
        <v>401</v>
      </c>
      <c r="D94" s="950"/>
      <c r="E94" s="950"/>
      <c r="F94" s="950"/>
      <c r="G94" s="950"/>
      <c r="H94" s="951"/>
      <c r="I94" s="159"/>
      <c r="V94" s="159"/>
    </row>
    <row r="95" spans="2:22" ht="12.75" customHeight="1">
      <c r="C95" s="423" t="s">
        <v>402</v>
      </c>
      <c r="D95" s="424" t="s">
        <v>122</v>
      </c>
      <c r="E95" s="159"/>
      <c r="F95" s="159"/>
      <c r="G95" s="159"/>
      <c r="H95" s="159"/>
      <c r="J95" s="199">
        <f>J10*0.015</f>
        <v>0</v>
      </c>
      <c r="M95" s="267" t="s">
        <v>15</v>
      </c>
      <c r="N95" s="267" t="s">
        <v>3</v>
      </c>
      <c r="O95" s="267" t="s">
        <v>4</v>
      </c>
      <c r="P95" s="267" t="s">
        <v>5</v>
      </c>
      <c r="Q95" s="267" t="s">
        <v>6</v>
      </c>
      <c r="V95" s="159"/>
    </row>
    <row r="96" spans="2:22" ht="12.75" customHeight="1">
      <c r="C96" s="60">
        <v>8600</v>
      </c>
      <c r="D96" s="160" t="s">
        <v>403</v>
      </c>
      <c r="L96" s="429" t="s">
        <v>387</v>
      </c>
      <c r="M96" s="61">
        <v>1724.22</v>
      </c>
      <c r="N96" s="61">
        <v>1724.22</v>
      </c>
      <c r="O96" s="61">
        <v>1724.22</v>
      </c>
      <c r="P96" s="61">
        <v>1724.22</v>
      </c>
      <c r="Q96" s="61">
        <v>1724.22</v>
      </c>
      <c r="V96" s="159"/>
    </row>
    <row r="97" spans="2:32" ht="12.75" customHeight="1">
      <c r="C97" s="159"/>
      <c r="D97" s="159"/>
      <c r="E97" s="159"/>
      <c r="F97" s="159"/>
      <c r="G97" s="159"/>
      <c r="H97" s="159"/>
      <c r="L97" s="16" t="s">
        <v>404</v>
      </c>
      <c r="M97" s="62">
        <f>M96*'E-Costos'!C128</f>
        <v>1446184.7855606475</v>
      </c>
      <c r="N97" s="62">
        <f>$N$96*'E-Costos'!$D$128</f>
        <v>1239210.4841574081</v>
      </c>
      <c r="O97" s="62">
        <f>O96*'E-Costos'!E128</f>
        <v>1238173.6129543907</v>
      </c>
      <c r="P97" s="62">
        <f>$P$96*'E-Costos'!$F$128</f>
        <v>1238173.6129543907</v>
      </c>
      <c r="Q97" s="62">
        <f>$P$96*'E-Costos'!$F$128</f>
        <v>1238173.6129543907</v>
      </c>
    </row>
    <row r="98" spans="2:32" ht="12.75" customHeight="1">
      <c r="B98" s="159"/>
      <c r="C98" s="949" t="s">
        <v>405</v>
      </c>
      <c r="D98" s="950"/>
      <c r="E98" s="950"/>
      <c r="F98" s="950"/>
      <c r="G98" s="950"/>
      <c r="H98" s="951"/>
      <c r="I98" s="159"/>
      <c r="L98" s="16" t="s">
        <v>406</v>
      </c>
      <c r="M98" s="62"/>
      <c r="N98" s="62">
        <f>M97</f>
        <v>1446184.7855606475</v>
      </c>
      <c r="O98" s="62">
        <f t="shared" ref="O98:Q98" si="29">N97</f>
        <v>1239210.4841574081</v>
      </c>
      <c r="P98" s="62">
        <f t="shared" si="29"/>
        <v>1238173.6129543907</v>
      </c>
      <c r="Q98" s="62">
        <f t="shared" si="29"/>
        <v>1238173.6129543907</v>
      </c>
    </row>
    <row r="99" spans="2:32" ht="12.75" customHeight="1">
      <c r="C99" s="424" t="s">
        <v>188</v>
      </c>
      <c r="D99" s="424" t="s">
        <v>337</v>
      </c>
      <c r="E99" s="425" t="s">
        <v>122</v>
      </c>
      <c r="F99" s="159"/>
      <c r="G99" s="159"/>
      <c r="H99" s="159"/>
      <c r="L99" s="16" t="s">
        <v>407</v>
      </c>
      <c r="M99" s="62">
        <f>M97-M98</f>
        <v>1446184.7855606475</v>
      </c>
      <c r="N99" s="62">
        <f t="shared" ref="N99:Q99" si="30">N97-N98</f>
        <v>-206974.30140323937</v>
      </c>
      <c r="O99" s="62">
        <f t="shared" si="30"/>
        <v>-1036.8712030174211</v>
      </c>
      <c r="P99" s="62">
        <f t="shared" si="30"/>
        <v>0</v>
      </c>
      <c r="Q99" s="62">
        <f t="shared" si="30"/>
        <v>0</v>
      </c>
    </row>
    <row r="100" spans="2:32" ht="12.75" customHeight="1">
      <c r="C100" s="4">
        <f>H105</f>
        <v>204435</v>
      </c>
      <c r="D100" s="4">
        <f>C100*12</f>
        <v>2453220</v>
      </c>
      <c r="E100" s="161"/>
    </row>
    <row r="101" spans="2:32" ht="12.75" customHeight="1">
      <c r="C101" s="4"/>
      <c r="D101" s="4"/>
      <c r="E101" s="35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</row>
    <row r="102" spans="2:32" ht="12.75" customHeight="1"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</row>
    <row r="103" spans="2:32" ht="12.75" customHeight="1">
      <c r="C103" s="16" t="s">
        <v>408</v>
      </c>
      <c r="D103" s="235">
        <v>8.0000000000000002E-3</v>
      </c>
      <c r="E103" s="16" t="s">
        <v>409</v>
      </c>
      <c r="F103" s="30">
        <v>0.1</v>
      </c>
      <c r="G103" s="16" t="s">
        <v>410</v>
      </c>
      <c r="H103" s="16">
        <f>D103*E105*F103</f>
        <v>90860</v>
      </c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</row>
    <row r="104" spans="2:32" ht="12.75" customHeight="1">
      <c r="C104" s="16" t="s">
        <v>411</v>
      </c>
      <c r="D104" s="30">
        <v>0.01</v>
      </c>
      <c r="E104" s="16" t="s">
        <v>200</v>
      </c>
      <c r="F104" s="30">
        <v>0.1</v>
      </c>
      <c r="G104" s="16"/>
      <c r="H104" s="16">
        <f>D104*E105*F104</f>
        <v>113575</v>
      </c>
      <c r="I104" s="16"/>
      <c r="J104" s="38">
        <f>E105*D103</f>
        <v>908600</v>
      </c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</row>
    <row r="105" spans="2:32" ht="12.75" customHeight="1">
      <c r="C105" s="16" t="s">
        <v>412</v>
      </c>
      <c r="D105" s="16"/>
      <c r="E105" s="38">
        <v>113575000</v>
      </c>
      <c r="F105" s="16"/>
      <c r="G105" s="16" t="s">
        <v>188</v>
      </c>
      <c r="H105" s="16">
        <f>SUM(H103:H104)</f>
        <v>204435</v>
      </c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</row>
    <row r="106" spans="2:32" ht="12.75" customHeight="1">
      <c r="C106" s="159"/>
      <c r="D106" s="159"/>
      <c r="E106" s="159"/>
      <c r="F106" s="159"/>
      <c r="G106" s="159"/>
      <c r="H106" s="159"/>
      <c r="I106" s="16"/>
      <c r="J106" s="16"/>
      <c r="K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spans="2:32" ht="12.75" customHeight="1">
      <c r="B107" s="159"/>
      <c r="C107" s="949" t="s">
        <v>413</v>
      </c>
      <c r="D107" s="950"/>
      <c r="E107" s="950"/>
      <c r="F107" s="950"/>
      <c r="G107" s="950"/>
      <c r="H107" s="951"/>
      <c r="I107" s="163"/>
      <c r="J107" s="16"/>
      <c r="K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2:32" ht="12.75" customHeight="1">
      <c r="C108" s="424" t="s">
        <v>336</v>
      </c>
      <c r="D108" s="424" t="s">
        <v>337</v>
      </c>
      <c r="E108" s="425" t="s">
        <v>122</v>
      </c>
      <c r="F108" s="180"/>
      <c r="G108" s="180"/>
      <c r="H108" s="180"/>
    </row>
    <row r="109" spans="2:32" ht="12.75" customHeight="1">
      <c r="C109" s="182">
        <f>'CA Inv AF y Am'!D64</f>
        <v>1022210</v>
      </c>
      <c r="D109" s="244">
        <f>C109</f>
        <v>1022210</v>
      </c>
      <c r="E109" s="162" t="s">
        <v>414</v>
      </c>
      <c r="F109" s="3"/>
      <c r="G109" s="3"/>
      <c r="H109" s="3"/>
    </row>
    <row r="110" spans="2:32" ht="12.75" customHeight="1"/>
    <row r="111" spans="2:32" ht="12.75" customHeight="1"/>
    <row r="112" spans="2:32" ht="12.75" customHeight="1"/>
    <row r="113" spans="3:5" ht="12.75" customHeight="1"/>
    <row r="114" spans="3:5" ht="12.75" customHeight="1"/>
    <row r="115" spans="3:5" ht="12.75" customHeight="1"/>
    <row r="116" spans="3:5" ht="12.75" customHeight="1"/>
    <row r="117" spans="3:5" ht="12.75" customHeight="1"/>
    <row r="118" spans="3:5" ht="12.75" customHeight="1"/>
    <row r="119" spans="3:5" ht="12.75" customHeight="1"/>
    <row r="120" spans="3:5" ht="12.75" customHeight="1"/>
    <row r="121" spans="3:5" ht="12.75" customHeight="1"/>
    <row r="122" spans="3:5" ht="12.75" customHeight="1"/>
    <row r="123" spans="3:5" ht="12.75" customHeight="1"/>
    <row r="124" spans="3:5" ht="12.75" customHeight="1">
      <c r="C124" s="36" t="s">
        <v>415</v>
      </c>
      <c r="D124" s="4" t="s">
        <v>416</v>
      </c>
    </row>
    <row r="125" spans="3:5" ht="12.75" customHeight="1">
      <c r="C125" s="238" t="s">
        <v>417</v>
      </c>
      <c r="D125" s="208">
        <f>209100</f>
        <v>209100</v>
      </c>
      <c r="E125" s="177" t="s">
        <v>418</v>
      </c>
    </row>
    <row r="126" spans="3:5" ht="12.75" customHeight="1">
      <c r="C126" s="4" t="s">
        <v>364</v>
      </c>
      <c r="D126" s="175">
        <f>'InfoInicial-CálcAux'!L17</f>
        <v>1659000</v>
      </c>
      <c r="E126" s="16" t="s">
        <v>20</v>
      </c>
    </row>
    <row r="127" spans="3:5" ht="12.75" customHeight="1">
      <c r="C127" s="4" t="s">
        <v>366</v>
      </c>
      <c r="D127" s="208">
        <v>42300</v>
      </c>
      <c r="E127" s="151" t="s">
        <v>20</v>
      </c>
    </row>
    <row r="128" spans="3:5" ht="12.75" customHeight="1">
      <c r="C128" s="4" t="s">
        <v>367</v>
      </c>
      <c r="D128" s="208">
        <f>'InfoInicial-CálcAux'!M17</f>
        <v>1890000</v>
      </c>
      <c r="E128" s="16" t="s">
        <v>20</v>
      </c>
    </row>
    <row r="129" spans="3:7" ht="12.75" customHeight="1">
      <c r="C129" s="164" t="s">
        <v>419</v>
      </c>
      <c r="D129" s="177">
        <f>'CA Inv AT'!B2</f>
        <v>269.09999999999997</v>
      </c>
      <c r="E129" s="163" t="s">
        <v>234</v>
      </c>
    </row>
    <row r="130" spans="3:7" ht="12.75" customHeight="1">
      <c r="D130" s="159"/>
    </row>
    <row r="131" spans="3:7" ht="12.75" customHeight="1">
      <c r="C131" s="65" t="s">
        <v>420</v>
      </c>
      <c r="D131" s="211">
        <f>D126*D129</f>
        <v>446436899.99999994</v>
      </c>
    </row>
    <row r="132" spans="3:7" ht="12.75" customHeight="1">
      <c r="C132" s="210" t="s">
        <v>421</v>
      </c>
      <c r="D132" s="211">
        <f>D127*D129</f>
        <v>11382929.999999998</v>
      </c>
      <c r="E132" s="159"/>
    </row>
    <row r="133" spans="3:7" ht="12.75" customHeight="1">
      <c r="C133" s="65" t="s">
        <v>422</v>
      </c>
      <c r="D133" s="211">
        <f>D128*D129</f>
        <v>508598999.99999994</v>
      </c>
    </row>
    <row r="134" spans="3:7" ht="12.75" customHeight="1"/>
    <row r="135" spans="3:7" ht="12.75" customHeight="1"/>
    <row r="136" spans="3:7" ht="12.75" customHeight="1">
      <c r="C136" s="66" t="s">
        <v>423</v>
      </c>
    </row>
    <row r="137" spans="3:7" ht="12.75" customHeight="1">
      <c r="C137" s="4" t="s">
        <v>424</v>
      </c>
      <c r="D137" s="201">
        <f>D140/'InfoInicial-CálcAux'!M14</f>
        <v>7.3763788359788363E-2</v>
      </c>
      <c r="F137" s="67" t="s">
        <v>2</v>
      </c>
    </row>
    <row r="138" spans="3:7" ht="12.75" customHeight="1">
      <c r="C138" s="4" t="s">
        <v>425</v>
      </c>
      <c r="D138" s="202">
        <f>E28</f>
        <v>139413.56</v>
      </c>
      <c r="F138" s="16" t="s">
        <v>426</v>
      </c>
      <c r="G138" s="202">
        <f>D140</f>
        <v>139413.56</v>
      </c>
    </row>
    <row r="139" spans="3:7" ht="12.75" customHeight="1">
      <c r="C139" s="65" t="s">
        <v>427</v>
      </c>
      <c r="D139" s="202">
        <f>D138</f>
        <v>139413.56</v>
      </c>
      <c r="F139" s="16" t="s">
        <v>428</v>
      </c>
      <c r="G139" s="201">
        <f>'InfoInicial-CálcAux'!L14*D137</f>
        <v>119276.04577777778</v>
      </c>
    </row>
    <row r="140" spans="3:7" ht="12.75" customHeight="1">
      <c r="C140" s="65" t="s">
        <v>429</v>
      </c>
      <c r="D140" s="202">
        <f>D139</f>
        <v>139413.56</v>
      </c>
      <c r="E140" s="4" t="s">
        <v>223</v>
      </c>
      <c r="F140" s="16" t="s">
        <v>430</v>
      </c>
      <c r="G140" s="201">
        <f>'InfoInicial-CálcAux'!L13*D137/3</f>
        <v>911.19975013288195</v>
      </c>
    </row>
    <row r="141" spans="3:7" ht="12.75" customHeight="1">
      <c r="C141" s="65" t="s">
        <v>431</v>
      </c>
      <c r="D141" s="203">
        <f>D137*'InfoInicial-CálcAux'!L16</f>
        <v>3098.0791111111112</v>
      </c>
      <c r="E141" s="4">
        <f>D140/D140</f>
        <v>1</v>
      </c>
      <c r="F141" s="40" t="s">
        <v>432</v>
      </c>
      <c r="G141" s="201">
        <f>G138-G139-G140</f>
        <v>19226.31447208934</v>
      </c>
    </row>
    <row r="142" spans="3:7" ht="12.75" customHeight="1"/>
    <row r="143" spans="3:7" ht="12.75" customHeight="1">
      <c r="C143" s="66"/>
    </row>
    <row r="144" spans="3:7" ht="12.75" customHeight="1">
      <c r="C144" s="4"/>
      <c r="G144" s="4"/>
    </row>
    <row r="145" spans="3:7" ht="12.75" customHeight="1">
      <c r="C145" s="66" t="s">
        <v>433</v>
      </c>
      <c r="D145" s="164" t="s">
        <v>434</v>
      </c>
      <c r="E145" s="68" t="s">
        <v>435</v>
      </c>
      <c r="F145" s="4" t="s">
        <v>436</v>
      </c>
      <c r="G145" s="4"/>
    </row>
    <row r="146" spans="3:7" ht="12.75" customHeight="1">
      <c r="C146" s="164" t="s">
        <v>437</v>
      </c>
      <c r="D146" s="212">
        <f>I25-G28</f>
        <v>538974.14999999991</v>
      </c>
      <c r="E146" s="212">
        <f>D146/'InfoInicial-CálcAux'!L14</f>
        <v>0.33331734693877546</v>
      </c>
      <c r="F146" s="213">
        <f>E146*'InfoInicial-CálcAux'!L16</f>
        <v>13999.328571428568</v>
      </c>
      <c r="G146" s="4"/>
    </row>
    <row r="147" spans="3:7" ht="12.75" customHeight="1">
      <c r="C147" s="164" t="s">
        <v>438</v>
      </c>
      <c r="D147" s="212">
        <f>D146</f>
        <v>538974.14999999991</v>
      </c>
      <c r="E147" s="212">
        <f>D147/'InfoInicial-CálcAux'!M14</f>
        <v>0.28517150793650786</v>
      </c>
      <c r="F147" s="213">
        <f>E147*'InfoInicial-CálcAux'!M16</f>
        <v>11977.203333333331</v>
      </c>
      <c r="G147" s="4"/>
    </row>
    <row r="148" spans="3:7" ht="12.75" customHeight="1">
      <c r="D148" s="164"/>
      <c r="E148" s="4"/>
      <c r="F148" s="4"/>
      <c r="G148" s="4"/>
    </row>
    <row r="149" spans="3:7" ht="12.75" customHeight="1">
      <c r="C149" s="66" t="s">
        <v>439</v>
      </c>
      <c r="D149" s="4" t="s">
        <v>434</v>
      </c>
      <c r="E149" s="68" t="s">
        <v>435</v>
      </c>
      <c r="F149" s="4" t="s">
        <v>436</v>
      </c>
    </row>
    <row r="150" spans="3:7" ht="12.75" customHeight="1">
      <c r="C150" s="4" t="s">
        <v>437</v>
      </c>
      <c r="D150" s="215">
        <f>F87</f>
        <v>21422119.044791251</v>
      </c>
      <c r="E150" s="215">
        <f>D150/'InfoInicial-CálcAux'!L14</f>
        <v>13.248063725906773</v>
      </c>
      <c r="F150" s="215">
        <f>E150*'InfoInicial-CálcAux'!L16</f>
        <v>556418.67648808449</v>
      </c>
    </row>
    <row r="151" spans="3:7" ht="12.75" customHeight="1">
      <c r="C151" s="4" t="s">
        <v>438</v>
      </c>
      <c r="D151" s="215">
        <f>G87</f>
        <v>20401450.19479125</v>
      </c>
      <c r="E151" s="215">
        <f>D151/'InfoInicial-CálcAux'!M14</f>
        <v>10.794418092482143</v>
      </c>
      <c r="F151" s="215">
        <f>E151*'InfoInicial-CálcAux'!M16</f>
        <v>453365.55988424999</v>
      </c>
    </row>
    <row r="152" spans="3:7" ht="12.75" customHeight="1"/>
    <row r="153" spans="3:7" ht="12.75" customHeight="1">
      <c r="C153" s="40" t="s">
        <v>432</v>
      </c>
      <c r="D153" s="215">
        <f>F86-(D154*E150)-('InfoInicial-CálcAux'!L13*'CA COSTOS'!E151/3)</f>
        <v>2246892.6359973457</v>
      </c>
    </row>
    <row r="154" spans="3:7" ht="12.75" customHeight="1">
      <c r="C154" s="16" t="s">
        <v>440</v>
      </c>
      <c r="D154" s="216">
        <f>'InfoInicial-CálcAux'!L14</f>
        <v>1617000</v>
      </c>
    </row>
    <row r="155" spans="3:7" ht="12.75" customHeight="1">
      <c r="C155" s="16" t="s">
        <v>441</v>
      </c>
      <c r="D155" s="216">
        <f>'InfoInicial-CálcAux'!M16</f>
        <v>42000</v>
      </c>
    </row>
    <row r="156" spans="3:7" ht="12.75" customHeight="1"/>
    <row r="157" spans="3:7" ht="12.75" customHeight="1">
      <c r="C157" s="66" t="s">
        <v>442</v>
      </c>
      <c r="D157" s="4" t="s">
        <v>434</v>
      </c>
      <c r="E157" s="68" t="s">
        <v>435</v>
      </c>
      <c r="F157" s="4" t="s">
        <v>436</v>
      </c>
    </row>
    <row r="158" spans="3:7" ht="12.75" customHeight="1">
      <c r="C158" s="4" t="s">
        <v>437</v>
      </c>
      <c r="D158" s="215">
        <f>G55</f>
        <v>3842538.0273791989</v>
      </c>
      <c r="E158" s="215">
        <f>D158/'InfoInicial-CálcAux'!L14</f>
        <v>2.3763376792697581</v>
      </c>
      <c r="F158" s="215">
        <f>E158*'InfoInicial-CálcAux'!L16</f>
        <v>99806.182529329846</v>
      </c>
    </row>
    <row r="159" spans="3:7" ht="12.75" customHeight="1">
      <c r="C159" s="4" t="s">
        <v>438</v>
      </c>
      <c r="D159" s="215">
        <f>D158</f>
        <v>3842538.0273791989</v>
      </c>
      <c r="E159" s="215">
        <f>D159/'InfoInicial-CálcAux'!M14</f>
        <v>2.0330889033752375</v>
      </c>
      <c r="F159" s="215">
        <f>E159*'InfoInicial-CálcAux'!M16</f>
        <v>85389.733941759972</v>
      </c>
    </row>
    <row r="160" spans="3:7" ht="12.75" customHeight="1"/>
    <row r="161" spans="3:9" ht="12.75" customHeight="1">
      <c r="C161" s="65" t="s">
        <v>432</v>
      </c>
      <c r="D161" s="39">
        <f>D158*3/12</f>
        <v>960634.50684479962</v>
      </c>
    </row>
    <row r="162" spans="3:9" ht="12.75" customHeight="1">
      <c r="C162" s="16"/>
    </row>
    <row r="163" spans="3:9" ht="12.75" customHeight="1">
      <c r="C163" s="989" t="s">
        <v>443</v>
      </c>
      <c r="D163" s="990"/>
      <c r="E163" s="990"/>
      <c r="F163" s="990"/>
      <c r="G163" s="990"/>
      <c r="H163" s="991"/>
    </row>
    <row r="164" spans="3:9" ht="12.75" customHeight="1">
      <c r="C164" s="6" t="s">
        <v>444</v>
      </c>
      <c r="D164" s="63" t="s">
        <v>437</v>
      </c>
      <c r="E164" s="63" t="s">
        <v>445</v>
      </c>
      <c r="F164" s="63" t="s">
        <v>446</v>
      </c>
      <c r="G164" s="63" t="s">
        <v>447</v>
      </c>
      <c r="H164" s="63" t="s">
        <v>448</v>
      </c>
    </row>
    <row r="165" spans="3:9" ht="12.75" customHeight="1">
      <c r="C165" s="6" t="s">
        <v>449</v>
      </c>
      <c r="D165" s="69">
        <f>(('E-Costos'!C7-'E-Costos'!C33-'E-Costos'!H33)/'InfoInicial-CálcAux'!L14)*'InfoInicial-CálcAux'!L13</f>
        <v>27402461.103426449</v>
      </c>
      <c r="E165" s="69">
        <f>('E-Costos'!D7-'E-Costos'!D33)*'InfoInicial-CálcAux'!M13/'InfoInicial-CálcAux'!M14</f>
        <v>23065184.575743601</v>
      </c>
      <c r="F165" s="69">
        <f>('E-Costos'!E7-'E-Costos'!E33)*'InfoInicial-CálcAux'!M13/'InfoInicial-CálcAux'!M14</f>
        <v>23065184.575743601</v>
      </c>
      <c r="G165" s="69">
        <f>('E-Costos'!F7-'E-Costos'!F33)*'InfoInicial-CálcAux'!M13/'InfoInicial-CálcAux'!M14</f>
        <v>23065184.575743601</v>
      </c>
      <c r="H165" s="69">
        <f>G165</f>
        <v>23065184.575743601</v>
      </c>
      <c r="I165" s="70"/>
    </row>
    <row r="166" spans="3:9" ht="12.75" customHeight="1">
      <c r="C166" s="152" t="s">
        <v>450</v>
      </c>
      <c r="D166" s="71">
        <f>('E-Costos'!C8-'E-Costos'!C34-'E-Costos'!H34)*'InfoInicial-CálcAux'!L13/'InfoInicial-CálcAux'!L14</f>
        <v>74300.8142138619</v>
      </c>
      <c r="E166" s="69">
        <f>('E-Costos'!D8-'E-Costos'!D34)*'InfoInicial-CálcAux'!M13/'InfoInicial-CálcAux'!M14</f>
        <v>63945.46008327794</v>
      </c>
      <c r="F166" s="69">
        <f t="shared" ref="F166:H166" si="31">E166</f>
        <v>63945.46008327794</v>
      </c>
      <c r="G166" s="69">
        <f t="shared" si="31"/>
        <v>63945.46008327794</v>
      </c>
      <c r="H166" s="69">
        <f t="shared" si="31"/>
        <v>63945.46008327794</v>
      </c>
      <c r="I166" s="72"/>
    </row>
    <row r="167" spans="3:9" ht="12.75" customHeight="1">
      <c r="C167" s="73" t="s">
        <v>451</v>
      </c>
      <c r="D167" s="64"/>
      <c r="E167" s="64"/>
      <c r="F167" s="64"/>
      <c r="G167" s="64"/>
      <c r="H167" s="64"/>
      <c r="I167" s="72"/>
    </row>
    <row r="168" spans="3:9" ht="12.75" customHeight="1">
      <c r="C168" s="5" t="s">
        <v>452</v>
      </c>
      <c r="D168" s="71"/>
      <c r="E168" s="71"/>
      <c r="F168" s="71"/>
      <c r="G168" s="71"/>
      <c r="H168" s="71"/>
      <c r="I168" s="70"/>
    </row>
    <row r="169" spans="3:9" ht="12.75" customHeight="1">
      <c r="C169" s="6" t="s">
        <v>453</v>
      </c>
      <c r="D169" s="71"/>
      <c r="E169" s="71"/>
      <c r="F169" s="71"/>
      <c r="G169" s="71"/>
      <c r="H169" s="71"/>
      <c r="I169" s="74"/>
    </row>
    <row r="170" spans="3:9" ht="12.75" customHeight="1">
      <c r="C170" s="6" t="s">
        <v>454</v>
      </c>
      <c r="D170" s="71">
        <f>('E-Costos'!C12-'E-Costos'!C38-'E-Costos'!H38)*'InfoInicial-CálcAux'!L13/'InfoInicial-CálcAux'!L14</f>
        <v>426710.64863411302</v>
      </c>
      <c r="E170" s="71">
        <f>('E-Costos'!D12-'E-Costos'!D38)*'InfoInicial-CálcAux'!M13/'InfoInicial-CálcAux'!M14</f>
        <v>391138.91409951355</v>
      </c>
      <c r="F170" s="71">
        <f t="shared" ref="F170:H170" si="32">E170</f>
        <v>391138.91409951355</v>
      </c>
      <c r="G170" s="71">
        <f t="shared" si="32"/>
        <v>391138.91409951355</v>
      </c>
      <c r="H170" s="71">
        <f t="shared" si="32"/>
        <v>391138.91409951355</v>
      </c>
      <c r="I170" s="70"/>
    </row>
    <row r="171" spans="3:9" ht="12.75" customHeight="1">
      <c r="C171" s="6" t="s">
        <v>455</v>
      </c>
      <c r="D171" s="71">
        <f>('E-Costos'!C13-'E-Costos'!C39-'E-Costos'!H39)*'InfoInicial-CálcAux'!M13/'InfoInicial-CálcAux'!M14</f>
        <v>151022.17528680715</v>
      </c>
      <c r="E171" s="71">
        <f>('E-Costos'!D13-'E-Costos'!D39)*'InfoInicial-CálcAux'!M13/'InfoInicial-CálcAux'!M14</f>
        <v>151038.38783494517</v>
      </c>
      <c r="F171" s="71">
        <f t="shared" ref="F171:H171" si="33">E171</f>
        <v>151038.38783494517</v>
      </c>
      <c r="G171" s="71">
        <f t="shared" si="33"/>
        <v>151038.38783494517</v>
      </c>
      <c r="H171" s="71">
        <f t="shared" si="33"/>
        <v>151038.38783494517</v>
      </c>
      <c r="I171" s="75"/>
    </row>
    <row r="172" spans="3:9" ht="12.75" customHeight="1">
      <c r="C172" s="6" t="s">
        <v>456</v>
      </c>
      <c r="D172" s="71"/>
      <c r="E172" s="71"/>
      <c r="F172" s="71"/>
      <c r="G172" s="71"/>
      <c r="H172" s="71"/>
      <c r="I172" s="76"/>
    </row>
    <row r="173" spans="3:9" ht="12.75" customHeight="1">
      <c r="C173" s="6" t="s">
        <v>457</v>
      </c>
      <c r="D173" s="71"/>
      <c r="E173" s="71"/>
      <c r="F173" s="71"/>
      <c r="G173" s="71"/>
      <c r="H173" s="71"/>
      <c r="I173" s="76"/>
    </row>
    <row r="174" spans="3:9" ht="12.75" customHeight="1">
      <c r="C174" s="6" t="s">
        <v>458</v>
      </c>
      <c r="D174" s="71"/>
      <c r="E174" s="71"/>
      <c r="F174" s="71"/>
      <c r="G174" s="71"/>
      <c r="H174" s="71"/>
      <c r="I174" s="70"/>
    </row>
    <row r="175" spans="3:9" ht="12.75" customHeight="1">
      <c r="C175" s="6" t="s">
        <v>459</v>
      </c>
      <c r="D175" s="71"/>
      <c r="E175" s="71"/>
      <c r="F175" s="71"/>
      <c r="G175" s="71"/>
      <c r="H175" s="71"/>
      <c r="I175" s="75"/>
    </row>
    <row r="176" spans="3:9" ht="12.75" customHeight="1">
      <c r="C176" s="6" t="s">
        <v>460</v>
      </c>
      <c r="D176" s="71"/>
      <c r="E176" s="71"/>
      <c r="F176" s="71"/>
      <c r="G176" s="71"/>
      <c r="H176" s="71"/>
      <c r="I176" s="72"/>
    </row>
    <row r="177" spans="3:9" ht="12.75" customHeight="1">
      <c r="D177" s="16"/>
      <c r="E177" s="16"/>
      <c r="F177" s="16"/>
      <c r="G177" s="16"/>
      <c r="H177" s="16"/>
      <c r="I177" s="16"/>
    </row>
    <row r="178" spans="3:9" ht="12.75" customHeight="1">
      <c r="D178" s="16"/>
      <c r="E178" s="16"/>
      <c r="F178" s="16"/>
      <c r="G178" s="16"/>
      <c r="H178" s="16"/>
      <c r="I178" s="16"/>
    </row>
    <row r="179" spans="3:9" ht="12.75" customHeight="1">
      <c r="C179" t="s">
        <v>461</v>
      </c>
      <c r="D179" t="s">
        <v>462</v>
      </c>
      <c r="E179" t="s">
        <v>99</v>
      </c>
    </row>
    <row r="180" spans="3:9" ht="12.75" customHeight="1">
      <c r="C180">
        <f>1900*6</f>
        <v>11400</v>
      </c>
      <c r="D180">
        <f>C180*20</f>
        <v>228000</v>
      </c>
      <c r="E180">
        <f>D180*12</f>
        <v>2736000</v>
      </c>
    </row>
    <row r="181" spans="3:9" ht="12.75" customHeight="1"/>
    <row r="182" spans="3:9" ht="12.75" customHeight="1"/>
    <row r="183" spans="3:9" ht="12.75" customHeight="1"/>
    <row r="184" spans="3:9" ht="12.75" customHeight="1"/>
    <row r="185" spans="3:9" ht="12.75" customHeight="1"/>
    <row r="186" spans="3:9" ht="12.75" customHeight="1"/>
    <row r="187" spans="3:9" ht="12.75" customHeight="1"/>
    <row r="188" spans="3:9" ht="12.75" customHeight="1"/>
    <row r="189" spans="3:9" ht="12.75" customHeight="1"/>
    <row r="190" spans="3:9" ht="12.75" customHeight="1"/>
    <row r="191" spans="3:9" ht="12.75" customHeight="1"/>
    <row r="192" spans="3:9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1">
    <mergeCell ref="B2:K2"/>
    <mergeCell ref="C53:H53"/>
    <mergeCell ref="L81:P81"/>
    <mergeCell ref="B24:C24"/>
    <mergeCell ref="B27:C27"/>
    <mergeCell ref="B28:C28"/>
    <mergeCell ref="B14:C14"/>
    <mergeCell ref="B15:C15"/>
    <mergeCell ref="B16:C16"/>
    <mergeCell ref="B17:C17"/>
    <mergeCell ref="B25:C25"/>
    <mergeCell ref="B26:C26"/>
    <mergeCell ref="H25:H28"/>
    <mergeCell ref="H15:H24"/>
    <mergeCell ref="I15:I24"/>
    <mergeCell ref="I25:I28"/>
    <mergeCell ref="C163:H163"/>
    <mergeCell ref="C76:H76"/>
    <mergeCell ref="C94:H94"/>
    <mergeCell ref="C98:H98"/>
    <mergeCell ref="C107:H107"/>
  </mergeCells>
  <hyperlinks>
    <hyperlink ref="D96" r:id="rId1" xr:uid="{00000000-0004-0000-0600-000004000000}"/>
    <hyperlink ref="E109" r:id="rId2" xr:uid="{00000000-0004-0000-0600-000006000000}"/>
    <hyperlink ref="K4" r:id="rId3" location="position=4&amp;search_layout=stack&amp;type=pad&amp;tracking_id=748425f6-ed9e-43e1-b7ba-d3809d79ee1e#position=4&amp;search_layout=stack&amp;type=pad&amp;tracking_id=748425f6-ed9e-43e1-b7ba-d3809d79ee1e&amp;is_advertising=true&amp;ad_domain=VQCATCORE_LST&amp;ad_position=4&amp;ad_click_id=ZjdjNjY0YWItMmIzOS00MTliLTk1ZjItOTNjZjg0NGJiOTIx" xr:uid="{C5B3CCE5-A59F-4B05-A1CB-02EF7809BE64}"/>
    <hyperlink ref="K8" r:id="rId4" location="position=2&amp;search_layout=stack&amp;type=item&amp;tracking_id=bb216e86-0421-4481-8842-4f09ca6a8059" xr:uid="{5283FF01-F271-4050-9C69-3F0E0A851E06}"/>
    <hyperlink ref="K5" r:id="rId5" location="position=1&amp;search_layout=stack&amp;type=item&amp;tracking_id=46e8fc1e-604b-4a93-b945-993e36d5c48e" xr:uid="{95B8BF1D-5A7E-4D85-BABF-F000D210EF24}"/>
    <hyperlink ref="K6" r:id="rId6" location="position=3&amp;search_layout=stack&amp;type=item&amp;tracking_id=217abb8c-e085-4956-ba3d-cbf1e8ff46ea" xr:uid="{F582FCAC-4442-4B4F-9B0C-652647592349}"/>
    <hyperlink ref="K26" r:id="rId7" xr:uid="{D29F4353-7026-400B-AAED-AE826DCB65B9}"/>
    <hyperlink ref="K24" r:id="rId8" xr:uid="{77A047BD-7216-4525-BEA4-6E98DEF7F7CB}"/>
    <hyperlink ref="K27" r:id="rId9" xr:uid="{0BB81987-6715-4DAB-8984-CC15C8825D82}"/>
    <hyperlink ref="K25" r:id="rId10" xr:uid="{11FA9F79-C9CB-4D16-8031-1F3CEFC84804}"/>
    <hyperlink ref="K15" r:id="rId11" xr:uid="{B4677ED7-966E-4DAA-92FA-B8AAB12740F9}"/>
    <hyperlink ref="K16" r:id="rId12" xr:uid="{C132483D-8B2D-492E-8A3D-48B6C933B1A0}"/>
    <hyperlink ref="K19" r:id="rId13" xr:uid="{FBD56803-97BA-4EFE-BE16-BEB9E5313200}"/>
    <hyperlink ref="K21" r:id="rId14" xr:uid="{B41F3667-0CB5-45BE-A775-452CB69B39D7}"/>
    <hyperlink ref="K17" r:id="rId15" xr:uid="{DB014DB0-5632-4B74-AB1E-EC9C2E163A7F}"/>
    <hyperlink ref="K18" r:id="rId16" xr:uid="{3FB8DE58-0E11-4972-A1BD-435DD8371F27}"/>
    <hyperlink ref="K20" r:id="rId17" xr:uid="{6FE7F695-E940-40DC-A087-117EC085B1BC}"/>
    <hyperlink ref="K22" r:id="rId18" xr:uid="{26A57D72-2A6E-4869-BD3A-F5D1A28D3546}"/>
    <hyperlink ref="K23" r:id="rId19" xr:uid="{95C00099-0B25-40B5-9277-8F8584E214B9}"/>
    <hyperlink ref="I53" r:id="rId20" xr:uid="{CDC37DDB-789C-47C8-A1D3-0E0FD59CF455}"/>
  </hyperlinks>
  <pageMargins left="0.7" right="0.7" top="0.75" bottom="0.75" header="0" footer="0"/>
  <pageSetup orientation="landscape"/>
  <drawing r:id="rId21"/>
  <legacyDrawing r:id="rId2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Z1000"/>
  <sheetViews>
    <sheetView showGridLines="0" topLeftCell="D1" workbookViewId="0">
      <selection activeCell="H31" sqref="H31"/>
    </sheetView>
  </sheetViews>
  <sheetFormatPr baseColWidth="10" defaultColWidth="12.7109375" defaultRowHeight="15" customHeight="1"/>
  <cols>
    <col min="1" max="1" width="49.28515625" customWidth="1"/>
    <col min="2" max="2" width="22.7109375" bestFit="1" customWidth="1"/>
    <col min="3" max="3" width="19" bestFit="1" customWidth="1"/>
    <col min="4" max="5" width="20" bestFit="1" customWidth="1"/>
    <col min="6" max="6" width="44.42578125" customWidth="1"/>
    <col min="7" max="7" width="22.7109375" bestFit="1" customWidth="1"/>
    <col min="8" max="8" width="13.85546875" customWidth="1"/>
    <col min="9" max="9" width="22.7109375" bestFit="1" customWidth="1"/>
    <col min="10" max="26" width="11.28515625" customWidth="1"/>
  </cols>
  <sheetData>
    <row r="1" spans="1:26" ht="12.75" customHeight="1">
      <c r="A1" s="19" t="s">
        <v>463</v>
      </c>
      <c r="B1" s="3"/>
      <c r="C1" s="3"/>
      <c r="D1" s="3"/>
      <c r="E1" s="20">
        <v>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449" t="s">
        <v>464</v>
      </c>
      <c r="B3" s="1013" t="s">
        <v>465</v>
      </c>
      <c r="C3" s="1014"/>
      <c r="D3" s="1013" t="s">
        <v>466</v>
      </c>
      <c r="E3" s="1015"/>
      <c r="F3" s="450" t="s">
        <v>467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451"/>
      <c r="B4" s="435" t="s">
        <v>14</v>
      </c>
      <c r="C4" s="435" t="s">
        <v>2</v>
      </c>
      <c r="D4" s="435" t="s">
        <v>14</v>
      </c>
      <c r="E4" s="436" t="s">
        <v>2</v>
      </c>
      <c r="F4" s="43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1"/>
      <c r="B5" s="452"/>
      <c r="C5" s="452"/>
      <c r="D5" s="452"/>
      <c r="E5" s="452"/>
      <c r="F5" s="45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53" t="s">
        <v>468</v>
      </c>
      <c r="B6" s="454" t="s">
        <v>200</v>
      </c>
      <c r="C6" s="455"/>
      <c r="D6" s="455"/>
      <c r="E6" s="455"/>
      <c r="F6" s="455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56" t="s">
        <v>469</v>
      </c>
      <c r="B7" s="457" t="s">
        <v>470</v>
      </c>
      <c r="C7" s="458">
        <v>0</v>
      </c>
      <c r="D7" s="458">
        <v>0</v>
      </c>
      <c r="E7" s="458">
        <v>0</v>
      </c>
      <c r="F7" s="45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56" t="s">
        <v>109</v>
      </c>
      <c r="B8" s="459">
        <f>'CA Inv AF y Am'!E6</f>
        <v>111650000</v>
      </c>
      <c r="C8" s="458">
        <f>'CA Inv AF y Am'!E6</f>
        <v>111650000</v>
      </c>
      <c r="D8" s="458">
        <v>0</v>
      </c>
      <c r="E8" s="458">
        <v>0</v>
      </c>
      <c r="F8" s="45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56" t="s">
        <v>471</v>
      </c>
      <c r="B9" s="460">
        <f>'CA Inv AF y Am'!E79</f>
        <v>26358260</v>
      </c>
      <c r="C9" s="458">
        <v>0</v>
      </c>
      <c r="D9" s="458">
        <v>0</v>
      </c>
      <c r="E9" s="458">
        <v>0</v>
      </c>
      <c r="F9" s="461" t="s">
        <v>472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56" t="s">
        <v>473</v>
      </c>
      <c r="B10" s="457" t="s">
        <v>200</v>
      </c>
      <c r="C10" s="458"/>
      <c r="D10" s="458"/>
      <c r="E10" s="458"/>
      <c r="F10" s="455"/>
      <c r="G10" s="3"/>
      <c r="H10" s="3"/>
      <c r="I10" s="4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56" t="s">
        <v>474</v>
      </c>
      <c r="B11" s="460">
        <f>'CA Inv AF y Am'!E46</f>
        <v>16385145</v>
      </c>
      <c r="C11" s="458">
        <v>0</v>
      </c>
      <c r="D11" s="458">
        <v>0</v>
      </c>
      <c r="E11" s="458">
        <v>0</v>
      </c>
      <c r="F11" s="45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56" t="s">
        <v>475</v>
      </c>
      <c r="B12" s="460">
        <f>'CA Inv AF y Am'!E49</f>
        <v>3131782.5</v>
      </c>
      <c r="C12" s="458"/>
      <c r="D12" s="458"/>
      <c r="E12" s="458"/>
      <c r="F12" s="45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456" t="s">
        <v>476</v>
      </c>
      <c r="B13" s="460">
        <f>B11*0.1</f>
        <v>1638514.5</v>
      </c>
      <c r="C13" s="458">
        <v>0</v>
      </c>
      <c r="D13" s="458">
        <v>0</v>
      </c>
      <c r="E13" s="458">
        <v>0</v>
      </c>
      <c r="F13" s="461" t="s">
        <v>477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56" t="s">
        <v>478</v>
      </c>
      <c r="B14" s="460">
        <f>SUM(B11:B12)*0.15</f>
        <v>2927539.125</v>
      </c>
      <c r="C14" s="458"/>
      <c r="D14" s="458"/>
      <c r="E14" s="458"/>
      <c r="F14" s="461" t="s">
        <v>479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56" t="s">
        <v>480</v>
      </c>
      <c r="B15" s="457" t="s">
        <v>470</v>
      </c>
      <c r="C15" s="458">
        <v>0</v>
      </c>
      <c r="D15" s="458">
        <v>0</v>
      </c>
      <c r="E15" s="458">
        <v>0</v>
      </c>
      <c r="F15" s="45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456" t="s">
        <v>481</v>
      </c>
      <c r="B16" s="460">
        <f>'CA Inv AF y Am'!E37</f>
        <v>6671829</v>
      </c>
      <c r="C16" s="458"/>
      <c r="D16" s="458"/>
      <c r="E16" s="458"/>
      <c r="F16" s="45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56" t="s">
        <v>482</v>
      </c>
      <c r="B17" s="460">
        <f>'CA Inv AF y Am'!E6*0.01</f>
        <v>1116500</v>
      </c>
      <c r="C17" s="458"/>
      <c r="D17" s="458"/>
      <c r="E17" s="458"/>
      <c r="F17" s="461" t="s">
        <v>483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56" t="s">
        <v>484</v>
      </c>
      <c r="B18" s="457" t="s">
        <v>470</v>
      </c>
      <c r="C18" s="458">
        <v>0</v>
      </c>
      <c r="D18" s="458">
        <v>0</v>
      </c>
      <c r="E18" s="458">
        <v>0</v>
      </c>
      <c r="F18" s="45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56" t="s">
        <v>76</v>
      </c>
      <c r="B19" s="460">
        <f>SUM(B7:B18)*InfoInicial!B14</f>
        <v>8493978.5062499996</v>
      </c>
      <c r="C19" s="458">
        <v>0</v>
      </c>
      <c r="D19" s="458">
        <v>0</v>
      </c>
      <c r="E19" s="458">
        <v>0</v>
      </c>
      <c r="F19" s="45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56" t="s">
        <v>200</v>
      </c>
      <c r="B20" s="457" t="s">
        <v>200</v>
      </c>
      <c r="C20" s="458"/>
      <c r="D20" s="458"/>
      <c r="E20" s="458"/>
      <c r="F20" s="45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62" t="s">
        <v>485</v>
      </c>
      <c r="B21" s="460">
        <f>SUM(B7:B19)</f>
        <v>178373548.63124999</v>
      </c>
      <c r="C21" s="458">
        <v>0</v>
      </c>
      <c r="D21" s="458">
        <v>0</v>
      </c>
      <c r="E21" s="458">
        <v>0</v>
      </c>
      <c r="F21" s="45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56" t="s">
        <v>200</v>
      </c>
      <c r="B22" s="457" t="s">
        <v>200</v>
      </c>
      <c r="C22" s="458"/>
      <c r="D22" s="458"/>
      <c r="E22" s="458"/>
      <c r="F22" s="45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53" t="s">
        <v>486</v>
      </c>
      <c r="B23" s="454" t="s">
        <v>200</v>
      </c>
      <c r="C23" s="458"/>
      <c r="D23" s="458"/>
      <c r="E23" s="458"/>
      <c r="F23" s="45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56" t="s">
        <v>487</v>
      </c>
      <c r="B24" s="460">
        <v>1620000</v>
      </c>
      <c r="C24" s="458">
        <v>0</v>
      </c>
      <c r="D24" s="458"/>
      <c r="E24" s="458"/>
      <c r="F24" s="45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56" t="s">
        <v>187</v>
      </c>
      <c r="B25" s="460">
        <f>'CA Inv AF y Am'!D55</f>
        <v>44640</v>
      </c>
      <c r="C25" s="458">
        <v>0</v>
      </c>
      <c r="D25" s="458"/>
      <c r="E25" s="458"/>
      <c r="F25" s="463"/>
      <c r="G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456" t="s">
        <v>190</v>
      </c>
      <c r="B26" s="460">
        <f>'CA Inv AF y Am'!D59</f>
        <v>373000</v>
      </c>
      <c r="C26" s="458">
        <v>0</v>
      </c>
      <c r="D26" s="458"/>
      <c r="E26" s="458"/>
      <c r="F26" s="45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456" t="s">
        <v>488</v>
      </c>
      <c r="B27" s="457" t="s">
        <v>470</v>
      </c>
      <c r="C27" s="460">
        <f>'E-Costos'!H45</f>
        <v>61462543.579946376</v>
      </c>
      <c r="D27" s="458"/>
      <c r="E27" s="458"/>
      <c r="F27" s="45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456" t="s">
        <v>205</v>
      </c>
      <c r="B28" s="460">
        <f>'CA Inv AF y Am'!D68</f>
        <v>56263</v>
      </c>
      <c r="C28" s="458">
        <v>0</v>
      </c>
      <c r="D28" s="458">
        <v>0</v>
      </c>
      <c r="E28" s="458">
        <v>0</v>
      </c>
      <c r="F28" s="45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456" t="s">
        <v>196</v>
      </c>
      <c r="B29" s="457" t="s">
        <v>470</v>
      </c>
      <c r="C29" s="458">
        <f>'CA Inv AF y Am'!D64</f>
        <v>1022210</v>
      </c>
      <c r="D29" s="458"/>
      <c r="E29" s="458"/>
      <c r="F29" s="461" t="s">
        <v>489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456" t="s">
        <v>490</v>
      </c>
      <c r="B30" s="457" t="s">
        <v>470</v>
      </c>
      <c r="C30" s="458">
        <v>0</v>
      </c>
      <c r="D30" s="458">
        <v>0</v>
      </c>
      <c r="E30" s="458">
        <v>0</v>
      </c>
      <c r="F30" s="45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456" t="s">
        <v>76</v>
      </c>
      <c r="B31" s="460">
        <f>SUM(B24:B30)*InfoInicial!B14</f>
        <v>104695.15000000001</v>
      </c>
      <c r="C31" s="460">
        <f>SUM(C24:C30)*InfoInicial!B14</f>
        <v>3124237.6789973192</v>
      </c>
      <c r="D31" s="458"/>
      <c r="E31" s="458"/>
      <c r="F31" s="45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43"/>
      <c r="B32" s="464" t="s">
        <v>491</v>
      </c>
      <c r="C32" s="458"/>
      <c r="D32" s="458"/>
      <c r="E32" s="458"/>
      <c r="F32" s="45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42" t="s">
        <v>492</v>
      </c>
      <c r="B33" s="458">
        <f>SUM(B24:B31)+B8</f>
        <v>113848598.15000001</v>
      </c>
      <c r="C33" s="458">
        <f>SUM(C24:C31) +C8</f>
        <v>177258991.25894368</v>
      </c>
      <c r="D33" s="458"/>
      <c r="E33" s="458"/>
      <c r="F33" s="45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43"/>
      <c r="B34" s="458"/>
      <c r="C34" s="458"/>
      <c r="D34" s="458"/>
      <c r="E34" s="458"/>
      <c r="F34" s="45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42" t="s">
        <v>493</v>
      </c>
      <c r="B35" s="458">
        <f>B21+B33</f>
        <v>292222146.78125</v>
      </c>
      <c r="C35" s="458">
        <f>C21+C33</f>
        <v>177258991.25894368</v>
      </c>
      <c r="D35" s="458">
        <f t="shared" ref="D35" si="0">D21+D33</f>
        <v>0</v>
      </c>
      <c r="E35" s="458"/>
      <c r="F35" s="45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42" t="s">
        <v>494</v>
      </c>
      <c r="B36" s="458">
        <f>(B35)*InfoInicial!B3</f>
        <v>61366650.824062496</v>
      </c>
      <c r="C36" s="458">
        <f>InfoInicial!B3*C35</f>
        <v>37224388.164378174</v>
      </c>
      <c r="D36" s="458"/>
      <c r="E36" s="458"/>
      <c r="F36" s="45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43"/>
      <c r="B37" s="458"/>
      <c r="C37" s="458"/>
      <c r="D37" s="458"/>
      <c r="E37" s="458"/>
      <c r="F37" s="45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465" t="s">
        <v>495</v>
      </c>
      <c r="B38" s="466">
        <f>B35+B36</f>
        <v>353588797.60531247</v>
      </c>
      <c r="C38" s="466">
        <f>C35+C36</f>
        <v>214483379.42332184</v>
      </c>
      <c r="D38" s="466">
        <f t="shared" ref="D38" si="1">D35+D36</f>
        <v>0</v>
      </c>
      <c r="E38" s="466"/>
      <c r="F38" s="46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4" t="s">
        <v>496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467" t="s">
        <v>497</v>
      </c>
      <c r="B41" s="468" t="s">
        <v>498</v>
      </c>
      <c r="C41" s="468" t="s">
        <v>499</v>
      </c>
      <c r="D41" s="1013" t="s">
        <v>500</v>
      </c>
      <c r="E41" s="1016"/>
      <c r="F41" s="1014"/>
      <c r="G41" s="469" t="s">
        <v>501</v>
      </c>
      <c r="H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46"/>
      <c r="B42" s="435" t="s">
        <v>502</v>
      </c>
      <c r="C42" s="435"/>
      <c r="D42" s="435" t="s">
        <v>503</v>
      </c>
      <c r="E42" s="435" t="s">
        <v>504</v>
      </c>
      <c r="F42" s="435"/>
      <c r="G42" s="470"/>
      <c r="H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471" t="s">
        <v>505</v>
      </c>
      <c r="B43" s="472" t="s">
        <v>200</v>
      </c>
      <c r="C43" s="472" t="s">
        <v>200</v>
      </c>
      <c r="D43" s="472" t="s">
        <v>200</v>
      </c>
      <c r="E43" s="472" t="s">
        <v>200</v>
      </c>
      <c r="F43" s="472" t="s">
        <v>200</v>
      </c>
      <c r="G43" s="473" t="s">
        <v>200</v>
      </c>
      <c r="H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462" t="s">
        <v>200</v>
      </c>
      <c r="B44" s="457" t="s">
        <v>200</v>
      </c>
      <c r="C44" s="457" t="s">
        <v>200</v>
      </c>
      <c r="D44" s="457" t="s">
        <v>200</v>
      </c>
      <c r="E44" s="457" t="s">
        <v>200</v>
      </c>
      <c r="F44" s="457" t="s">
        <v>200</v>
      </c>
      <c r="G44" s="474" t="s">
        <v>200</v>
      </c>
      <c r="H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456" t="s">
        <v>469</v>
      </c>
      <c r="B45" s="457" t="s">
        <v>470</v>
      </c>
      <c r="C45" s="475">
        <f>1/InfoInicial!B8</f>
        <v>3.3333333333333333E-2</v>
      </c>
      <c r="D45" s="457" t="s">
        <v>506</v>
      </c>
      <c r="E45" s="457" t="s">
        <v>507</v>
      </c>
      <c r="F45" s="457" t="s">
        <v>200</v>
      </c>
      <c r="G45" s="474" t="s">
        <v>470</v>
      </c>
      <c r="H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456" t="s">
        <v>109</v>
      </c>
      <c r="B46" s="460">
        <f>B8</f>
        <v>111650000</v>
      </c>
      <c r="C46" s="475">
        <f>1/InfoInicial!B8</f>
        <v>3.3333333333333333E-2</v>
      </c>
      <c r="D46" s="460">
        <f>B46*C46</f>
        <v>3721666.6666666665</v>
      </c>
      <c r="E46" s="460">
        <f>B46*C46</f>
        <v>3721666.6666666665</v>
      </c>
      <c r="F46" s="457" t="s">
        <v>200</v>
      </c>
      <c r="G46" s="476">
        <f>B46-(3*D46+2*E46)</f>
        <v>93041666.666666672</v>
      </c>
      <c r="H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456" t="s">
        <v>471</v>
      </c>
      <c r="B47" s="460">
        <f>B9+B17</f>
        <v>27474760</v>
      </c>
      <c r="C47" s="457">
        <f>1/InfoInicial!B9</f>
        <v>0.1</v>
      </c>
      <c r="D47" s="460">
        <f t="shared" ref="D47:D51" si="2">B47*C47</f>
        <v>2747476</v>
      </c>
      <c r="E47" s="460">
        <f t="shared" ref="E47:E51" si="3">B47*C47</f>
        <v>2747476</v>
      </c>
      <c r="F47" s="457" t="s">
        <v>200</v>
      </c>
      <c r="G47" s="476">
        <f t="shared" ref="G47:G51" si="4">B47-(3*D47+2*E47)</f>
        <v>13737380</v>
      </c>
      <c r="H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456" t="s">
        <v>473</v>
      </c>
      <c r="B48" s="460">
        <f>SUM(B11:B14)</f>
        <v>24082981.125</v>
      </c>
      <c r="C48" s="457">
        <f>1/InfoInicial!B10</f>
        <v>0.1</v>
      </c>
      <c r="D48" s="460">
        <f t="shared" si="2"/>
        <v>2408298.1125000003</v>
      </c>
      <c r="E48" s="460">
        <f t="shared" si="3"/>
        <v>2408298.1125000003</v>
      </c>
      <c r="F48" s="457" t="s">
        <v>200</v>
      </c>
      <c r="G48" s="476">
        <f t="shared" si="4"/>
        <v>12041490.5625</v>
      </c>
      <c r="H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456" t="s">
        <v>480</v>
      </c>
      <c r="B49" s="457" t="s">
        <v>470</v>
      </c>
      <c r="C49" s="457">
        <f>1/InfoInicial!B11</f>
        <v>0.2</v>
      </c>
      <c r="D49" s="457" t="s">
        <v>470</v>
      </c>
      <c r="E49" s="457" t="s">
        <v>470</v>
      </c>
      <c r="F49" s="457" t="s">
        <v>200</v>
      </c>
      <c r="G49" s="457" t="s">
        <v>470</v>
      </c>
      <c r="H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456" t="s">
        <v>117</v>
      </c>
      <c r="B50" s="460">
        <f>B16</f>
        <v>6671829</v>
      </c>
      <c r="C50" s="457">
        <f>1/InfoInicial!B12</f>
        <v>0.2</v>
      </c>
      <c r="D50" s="460">
        <f>B50*C50</f>
        <v>1334365.8</v>
      </c>
      <c r="E50" s="460">
        <f t="shared" si="3"/>
        <v>1334365.8</v>
      </c>
      <c r="F50" s="457" t="s">
        <v>200</v>
      </c>
      <c r="G50" s="476">
        <f t="shared" si="4"/>
        <v>0</v>
      </c>
      <c r="H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456" t="s">
        <v>76</v>
      </c>
      <c r="B51" s="460">
        <f>B19</f>
        <v>8493978.5062499996</v>
      </c>
      <c r="C51" s="457">
        <f>1/InfoInicial!B13</f>
        <v>0.2</v>
      </c>
      <c r="D51" s="460">
        <f t="shared" si="2"/>
        <v>1698795.7012499999</v>
      </c>
      <c r="E51" s="460">
        <f t="shared" si="3"/>
        <v>1698795.7012499999</v>
      </c>
      <c r="F51" s="457" t="s">
        <v>200</v>
      </c>
      <c r="G51" s="476">
        <f t="shared" si="4"/>
        <v>0</v>
      </c>
      <c r="H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462" t="s">
        <v>508</v>
      </c>
      <c r="B52" s="477">
        <f>SUM(B45:B51)</f>
        <v>178373548.63124999</v>
      </c>
      <c r="C52" s="478" t="s">
        <v>200</v>
      </c>
      <c r="D52" s="477">
        <f>SUM(D45:D51)</f>
        <v>11910602.280416667</v>
      </c>
      <c r="E52" s="477">
        <f>SUM(E45:E51)</f>
        <v>11910602.280416667</v>
      </c>
      <c r="F52" s="478" t="s">
        <v>200</v>
      </c>
      <c r="G52" s="479">
        <f>SUM(G45:G51)</f>
        <v>118820537.22916667</v>
      </c>
      <c r="H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462" t="s">
        <v>200</v>
      </c>
      <c r="B53" s="457" t="s">
        <v>200</v>
      </c>
      <c r="C53" s="457" t="s">
        <v>200</v>
      </c>
      <c r="D53" s="457" t="s">
        <v>200</v>
      </c>
      <c r="E53" s="457" t="s">
        <v>200</v>
      </c>
      <c r="F53" s="457" t="s">
        <v>200</v>
      </c>
      <c r="G53" s="474" t="s">
        <v>200</v>
      </c>
      <c r="H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462" t="s">
        <v>509</v>
      </c>
      <c r="B54" s="460">
        <f>B33+C33</f>
        <v>291107589.40894365</v>
      </c>
      <c r="C54" s="457">
        <f>1/InfoInicial!B13</f>
        <v>0.2</v>
      </c>
      <c r="D54" s="460">
        <f>B54*C54</f>
        <v>58221517.881788731</v>
      </c>
      <c r="E54" s="460">
        <f>B54*C54</f>
        <v>58221517.881788731</v>
      </c>
      <c r="F54" s="457" t="s">
        <v>200</v>
      </c>
      <c r="G54" s="476">
        <f>B54-(D54*3+E54*2)</f>
        <v>0</v>
      </c>
      <c r="H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462" t="s">
        <v>200</v>
      </c>
      <c r="B55" s="457" t="s">
        <v>200</v>
      </c>
      <c r="C55" s="457" t="s">
        <v>200</v>
      </c>
      <c r="D55" s="457" t="s">
        <v>200</v>
      </c>
      <c r="E55" s="457" t="s">
        <v>200</v>
      </c>
      <c r="F55" s="457" t="s">
        <v>200</v>
      </c>
      <c r="G55" s="474" t="s">
        <v>200</v>
      </c>
      <c r="H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462" t="s">
        <v>200</v>
      </c>
      <c r="B56" s="457" t="s">
        <v>200</v>
      </c>
      <c r="C56" s="457" t="s">
        <v>200</v>
      </c>
      <c r="D56" s="480" t="s">
        <v>200</v>
      </c>
      <c r="E56" s="457" t="s">
        <v>200</v>
      </c>
      <c r="F56" s="457" t="s">
        <v>200</v>
      </c>
      <c r="G56" s="474" t="s">
        <v>200</v>
      </c>
      <c r="H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481" t="s">
        <v>510</v>
      </c>
      <c r="B57" s="482">
        <f>B52+B54</f>
        <v>469481138.04019368</v>
      </c>
      <c r="C57" s="482"/>
      <c r="D57" s="482">
        <f>D52+D54</f>
        <v>70132120.162205398</v>
      </c>
      <c r="E57" s="482">
        <f>E52+E54</f>
        <v>70132120.162205398</v>
      </c>
      <c r="F57" s="482"/>
      <c r="G57" s="482">
        <f>G52+G54</f>
        <v>118820537.22916667</v>
      </c>
      <c r="H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182"/>
      <c r="E58" s="3"/>
      <c r="F58" s="3"/>
      <c r="G58" s="48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18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/>
    <row r="259" spans="1:26" ht="15.75" customHeight="1"/>
    <row r="260" spans="1:26" ht="15.75" customHeight="1"/>
    <row r="261" spans="1:26" ht="15.75" customHeight="1"/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3:C3"/>
    <mergeCell ref="D3:E3"/>
    <mergeCell ref="D41:F41"/>
  </mergeCells>
  <pageMargins left="0.42986111111111103" right="0.75" top="0.55972222222222201" bottom="1.429861111111109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AA1005"/>
  <sheetViews>
    <sheetView showGridLines="0" topLeftCell="B1" workbookViewId="0">
      <selection activeCell="C18" sqref="C18"/>
    </sheetView>
  </sheetViews>
  <sheetFormatPr baseColWidth="10" defaultColWidth="12.7109375" defaultRowHeight="15" customHeight="1"/>
  <cols>
    <col min="1" max="1" width="7" customWidth="1"/>
    <col min="2" max="2" width="40.85546875" customWidth="1"/>
    <col min="3" max="3" width="21" customWidth="1"/>
    <col min="4" max="4" width="19.28515625" customWidth="1"/>
    <col min="5" max="5" width="22" customWidth="1"/>
    <col min="6" max="6" width="18.28515625" customWidth="1"/>
    <col min="7" max="7" width="19.7109375" customWidth="1"/>
    <col min="8" max="8" width="21.140625" bestFit="1" customWidth="1"/>
    <col min="9" max="9" width="9.140625" customWidth="1"/>
    <col min="10" max="10" width="13.28515625" customWidth="1"/>
    <col min="11" max="11" width="6.85546875" customWidth="1"/>
    <col min="12" max="12" width="6" customWidth="1"/>
    <col min="13" max="13" width="14" customWidth="1"/>
    <col min="14" max="27" width="11.28515625" customWidth="1"/>
  </cols>
  <sheetData>
    <row r="1" spans="2:27" ht="12.75" customHeight="1">
      <c r="B1" s="19"/>
      <c r="C1" s="3"/>
      <c r="D1" s="3"/>
      <c r="E1" s="3"/>
      <c r="F1" s="28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2:27" ht="12.75" customHeight="1">
      <c r="B2" s="19" t="s">
        <v>56</v>
      </c>
      <c r="C2" s="3"/>
      <c r="D2" s="3"/>
      <c r="E2" s="3"/>
      <c r="F2" s="20">
        <f>InfoInicial!E1</f>
        <v>9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2:27" ht="12.75" customHeight="1">
      <c r="B3" s="19"/>
      <c r="C3" s="3"/>
      <c r="D3" s="3"/>
      <c r="E3" s="3"/>
      <c r="F3" s="2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2:27" ht="15.75">
      <c r="B4" s="1017" t="s">
        <v>511</v>
      </c>
      <c r="C4" s="1017"/>
      <c r="D4" s="1017"/>
      <c r="E4" s="1017"/>
      <c r="F4" s="1017"/>
      <c r="G4" s="101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2:27" ht="12.75" customHeight="1">
      <c r="B5" s="79"/>
      <c r="C5" s="483" t="s">
        <v>512</v>
      </c>
      <c r="D5" s="483"/>
      <c r="E5" s="483"/>
      <c r="F5" s="483"/>
      <c r="G5" s="48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2:27" ht="12.75" customHeight="1">
      <c r="B6" s="79" t="s">
        <v>444</v>
      </c>
      <c r="C6" s="435" t="s">
        <v>2</v>
      </c>
      <c r="D6" s="435" t="s">
        <v>3</v>
      </c>
      <c r="E6" s="435" t="s">
        <v>4</v>
      </c>
      <c r="F6" s="435" t="s">
        <v>5</v>
      </c>
      <c r="G6" s="436" t="s">
        <v>6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2:27" ht="12.75" customHeight="1">
      <c r="B7" s="41" t="s">
        <v>449</v>
      </c>
      <c r="C7" s="438">
        <f>'CA COSTOS'!I9</f>
        <v>1263318900</v>
      </c>
      <c r="D7" s="438">
        <f>'CA COSTOS'!$J$9</f>
        <v>1187713800</v>
      </c>
      <c r="E7" s="438">
        <f t="shared" ref="E7:G7" si="0">D7</f>
        <v>1187713800</v>
      </c>
      <c r="F7" s="438">
        <f t="shared" si="0"/>
        <v>1187713800</v>
      </c>
      <c r="G7" s="438">
        <f t="shared" si="0"/>
        <v>1187713800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2:27" ht="12.75" customHeight="1">
      <c r="B8" s="80" t="s">
        <v>450</v>
      </c>
      <c r="C8" s="485">
        <f>'CA COSTOS'!G28</f>
        <v>3345925.44</v>
      </c>
      <c r="D8" s="485">
        <f>C8</f>
        <v>3345925.44</v>
      </c>
      <c r="E8" s="485">
        <f t="shared" ref="E8:G8" si="1">D8</f>
        <v>3345925.44</v>
      </c>
      <c r="F8" s="485">
        <f t="shared" si="1"/>
        <v>3345925.44</v>
      </c>
      <c r="G8" s="485">
        <f t="shared" si="1"/>
        <v>3345925.44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2:27" ht="12.75" customHeight="1">
      <c r="B9" s="41" t="s">
        <v>513</v>
      </c>
      <c r="C9" s="438"/>
      <c r="D9" s="438"/>
      <c r="E9" s="438"/>
      <c r="F9" s="438"/>
      <c r="G9" s="486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2:27" ht="12.75" customHeight="1">
      <c r="B10" s="81" t="s">
        <v>295</v>
      </c>
      <c r="C10" s="441">
        <f>'E-Inv AF y Am'!D57</f>
        <v>70132120.162205398</v>
      </c>
      <c r="D10" s="441">
        <f>'E-Inv AF y Am'!D57</f>
        <v>70132120.162205398</v>
      </c>
      <c r="E10" s="659">
        <f>'E-Inv AF y Am'!D57</f>
        <v>70132120.162205398</v>
      </c>
      <c r="F10" s="441">
        <f>'E-Inv AF y Am'!E57</f>
        <v>70132120.162205398</v>
      </c>
      <c r="G10" s="442">
        <f>'E-Inv AF y Am'!E57</f>
        <v>70132120.162205398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2:27" ht="12.75" customHeight="1">
      <c r="B11" s="81" t="s">
        <v>514</v>
      </c>
      <c r="C11" s="441">
        <f>'CA COSTOS'!I25-C8</f>
        <v>538974.14999999991</v>
      </c>
      <c r="D11" s="441">
        <f>C11</f>
        <v>538974.14999999991</v>
      </c>
      <c r="E11" s="441">
        <f>D11</f>
        <v>538974.14999999991</v>
      </c>
      <c r="F11" s="441">
        <f t="shared" ref="F11:G11" si="2">E11</f>
        <v>538974.14999999991</v>
      </c>
      <c r="G11" s="441">
        <f t="shared" si="2"/>
        <v>538974.14999999991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2:27" ht="12.75" customHeight="1">
      <c r="B12" s="81" t="s">
        <v>515</v>
      </c>
      <c r="C12" s="441">
        <f>'CA COSTOS'!F87</f>
        <v>21422119.044791251</v>
      </c>
      <c r="D12" s="441">
        <f>'CA COSTOS'!G87</f>
        <v>20401450.19479125</v>
      </c>
      <c r="E12" s="441">
        <f>'CA COSTOS'!H87</f>
        <v>20401450.19479125</v>
      </c>
      <c r="F12" s="441">
        <f>'CA COSTOS'!I87</f>
        <v>20401450.19479125</v>
      </c>
      <c r="G12" s="441">
        <f>'CA COSTOS'!J87</f>
        <v>20401450.19479125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2:27" ht="12.75" customHeight="1">
      <c r="B13" s="81" t="s">
        <v>322</v>
      </c>
      <c r="C13" s="487">
        <f>'CA COSTOS'!$D$69</f>
        <v>7903034.6112981457</v>
      </c>
      <c r="D13" s="487">
        <f>'CA COSTOS'!$D$69</f>
        <v>7903034.6112981457</v>
      </c>
      <c r="E13" s="487">
        <f>'CA COSTOS'!$D$69</f>
        <v>7903034.6112981457</v>
      </c>
      <c r="F13" s="487">
        <f>'CA COSTOS'!$D$69</f>
        <v>7903034.6112981457</v>
      </c>
      <c r="G13" s="487">
        <f>'CA COSTOS'!$D$69</f>
        <v>7903034.6112981457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2:27" ht="12.75" customHeight="1">
      <c r="B14" s="81" t="s">
        <v>516</v>
      </c>
      <c r="C14" s="441">
        <v>0</v>
      </c>
      <c r="D14" s="441">
        <v>0</v>
      </c>
      <c r="E14" s="441">
        <v>0</v>
      </c>
      <c r="F14" s="441">
        <v>0</v>
      </c>
      <c r="G14" s="442">
        <v>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2:27" ht="12.75" customHeight="1">
      <c r="B15" s="81" t="s">
        <v>401</v>
      </c>
      <c r="C15" s="441">
        <f>'CA COSTOS'!C96*12</f>
        <v>103200</v>
      </c>
      <c r="D15" s="441">
        <f>'CA COSTOS'!C96*12</f>
        <v>103200</v>
      </c>
      <c r="E15" s="441">
        <f>'CA COSTOS'!C96*12</f>
        <v>103200</v>
      </c>
      <c r="F15" s="441">
        <f>'CA COSTOS'!C96*12</f>
        <v>103200</v>
      </c>
      <c r="G15" s="441">
        <f>'CA COSTOS'!C96*12</f>
        <v>103200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2:27" ht="12.75" customHeight="1">
      <c r="B16" s="81" t="s">
        <v>405</v>
      </c>
      <c r="C16" s="441">
        <f>'CA COSTOS'!D100</f>
        <v>2453220</v>
      </c>
      <c r="D16" s="441">
        <f>'CA COSTOS'!D100</f>
        <v>2453220</v>
      </c>
      <c r="E16" s="441">
        <f>'CA COSTOS'!D100</f>
        <v>2453220</v>
      </c>
      <c r="F16" s="441">
        <f>'CA COSTOS'!D100</f>
        <v>2453220</v>
      </c>
      <c r="G16" s="441">
        <f>'CA COSTOS'!D100</f>
        <v>2453220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27" ht="12.75" customHeight="1">
      <c r="B17" s="231" t="s">
        <v>363</v>
      </c>
      <c r="C17" s="488">
        <v>0</v>
      </c>
      <c r="D17" s="489">
        <v>0</v>
      </c>
      <c r="E17" s="441">
        <v>0</v>
      </c>
      <c r="F17" s="489">
        <v>0</v>
      </c>
      <c r="G17" s="442">
        <v>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2:27" ht="12.75" customHeight="1">
      <c r="B18" s="81" t="s">
        <v>517</v>
      </c>
      <c r="C18" s="441">
        <v>0</v>
      </c>
      <c r="D18" s="441">
        <v>0</v>
      </c>
      <c r="E18" s="441">
        <v>0</v>
      </c>
      <c r="F18" s="441">
        <v>0</v>
      </c>
      <c r="G18" s="442">
        <v>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2:27" ht="12.75" customHeight="1">
      <c r="B19" s="82" t="s">
        <v>518</v>
      </c>
      <c r="C19" s="441"/>
      <c r="D19" s="441"/>
      <c r="E19" s="441"/>
      <c r="F19" s="441"/>
      <c r="G19" s="442"/>
      <c r="H19" s="3"/>
      <c r="I19" s="34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27" ht="12.75" customHeight="1">
      <c r="B20" s="82" t="s">
        <v>518</v>
      </c>
      <c r="C20" s="441"/>
      <c r="D20" s="441"/>
      <c r="E20" s="441"/>
      <c r="F20" s="441"/>
      <c r="G20" s="442"/>
      <c r="H20" s="3"/>
      <c r="I20" s="34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12.75" customHeight="1">
      <c r="B21" s="82" t="s">
        <v>518</v>
      </c>
      <c r="C21" s="441"/>
      <c r="D21" s="441"/>
      <c r="E21" s="441"/>
      <c r="F21" s="441"/>
      <c r="H21" s="3"/>
      <c r="I21" s="34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12.75" customHeight="1">
      <c r="B22" s="45" t="s">
        <v>76</v>
      </c>
      <c r="C22" s="441">
        <f>SUM(C7:C21)*InfoInicial!$B$14</f>
        <v>68460874.670414746</v>
      </c>
      <c r="D22" s="441">
        <f>SUM(D7:D21)*InfoInicial!$B$14</f>
        <v>64629586.227914751</v>
      </c>
      <c r="E22" s="441">
        <f>SUM(E7:E21)*InfoInicial!$B$14</f>
        <v>64629586.227914751</v>
      </c>
      <c r="F22" s="441">
        <f>SUM(F7:F21)*InfoInicial!$B$14</f>
        <v>64629586.227914751</v>
      </c>
      <c r="G22" s="441">
        <f>SUM(G7:G20)*InfoInicial!$B$14</f>
        <v>64629586.227914751</v>
      </c>
      <c r="H22" s="3"/>
      <c r="I22" s="34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12.75" customHeight="1">
      <c r="B23" s="42" t="s">
        <v>519</v>
      </c>
      <c r="C23" s="441">
        <f>SUM(C7:C22)</f>
        <v>1437678368.0787096</v>
      </c>
      <c r="D23" s="441">
        <f>SUM(D7:D22)</f>
        <v>1357221310.7862098</v>
      </c>
      <c r="E23" s="441">
        <f t="shared" ref="E23:G23" si="3">SUM(E7:E22)</f>
        <v>1357221310.7862098</v>
      </c>
      <c r="F23" s="441">
        <f t="shared" si="3"/>
        <v>1357221310.7862098</v>
      </c>
      <c r="G23" s="441">
        <f t="shared" si="3"/>
        <v>1357221310.7862098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12.75" customHeight="1">
      <c r="B24" s="83"/>
      <c r="C24" s="445"/>
      <c r="D24" s="445"/>
      <c r="E24" s="445"/>
      <c r="F24" s="445"/>
      <c r="G24" s="446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2.75" customHeight="1">
      <c r="B25" s="84" t="s">
        <v>520</v>
      </c>
      <c r="C25" s="490">
        <f>(C10+C11+C15+C16+'CA COSTOS'!$F$69)/C23</f>
        <v>5.0957276757498365E-2</v>
      </c>
      <c r="D25" s="490">
        <f>(D10+D11+D15+D16+'CA COSTOS'!$F$69)/D23</f>
        <v>5.3978060842573512E-2</v>
      </c>
      <c r="E25" s="490">
        <f>(E10+E11+E15+E16+'CA COSTOS'!$F$69)/E23</f>
        <v>5.3978060842573512E-2</v>
      </c>
      <c r="F25" s="490">
        <f>(F10+F11+F15+F16+'CA COSTOS'!$F$69)/F23</f>
        <v>5.3978060842573512E-2</v>
      </c>
      <c r="G25" s="490">
        <f>(G10+G11+G15+G16+'CA COSTOS'!$F$69)/G23</f>
        <v>5.3978060842573512E-2</v>
      </c>
      <c r="H25" s="3"/>
      <c r="I25" s="48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2.75" customHeight="1">
      <c r="B26" s="46" t="s">
        <v>521</v>
      </c>
      <c r="C26" s="491">
        <f>(C7+C12+'CA COSTOS'!$E$69+C8+C22)/C23</f>
        <v>0.94904272324250161</v>
      </c>
      <c r="D26" s="491">
        <f>(D7+D12+'CA COSTOS'!$E$69+D8+D22)/D23</f>
        <v>0.94602193915742649</v>
      </c>
      <c r="E26" s="491">
        <f>(E7+E12+'CA COSTOS'!$E$69+E8+E22)/E23</f>
        <v>0.94602193915742649</v>
      </c>
      <c r="F26" s="491">
        <f>(F7+F12+'CA COSTOS'!$E$69+F8+F22)/F23</f>
        <v>0.94602193915742649</v>
      </c>
      <c r="G26" s="491">
        <f>(G7+G12+'CA COSTOS'!$E$69+G8+G22)/G23</f>
        <v>0.94602193915742649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12.75" customHeight="1">
      <c r="B27" s="236"/>
      <c r="C27" s="492"/>
      <c r="D27" s="492"/>
      <c r="E27" s="492"/>
      <c r="F27" s="492"/>
      <c r="G27" s="49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2.75"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2.75">
      <c r="J29">
        <f>42.3239899795082*1000</f>
        <v>42323.989979508195</v>
      </c>
      <c r="K29" s="3" t="s">
        <v>522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8" customHeight="1">
      <c r="B30" s="1018" t="s">
        <v>523</v>
      </c>
      <c r="C30" s="1018"/>
      <c r="D30" s="1018"/>
      <c r="E30" s="1018"/>
      <c r="F30" s="1018"/>
      <c r="G30" s="1018"/>
      <c r="H30" s="101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27" ht="12.75" customHeight="1">
      <c r="B31" s="1017" t="s">
        <v>524</v>
      </c>
      <c r="C31" s="1017"/>
      <c r="D31" s="1017"/>
      <c r="E31" s="1017"/>
      <c r="F31" s="1017"/>
      <c r="G31" s="1017"/>
      <c r="H31" s="493" t="s">
        <v>357</v>
      </c>
      <c r="U31" s="3"/>
      <c r="V31" s="3"/>
      <c r="W31" s="3"/>
      <c r="X31" s="3"/>
      <c r="Y31" s="3"/>
      <c r="Z31" s="3"/>
      <c r="AA31" s="3"/>
    </row>
    <row r="32" spans="2:27" ht="12.75" customHeight="1">
      <c r="B32" s="79" t="s">
        <v>444</v>
      </c>
      <c r="C32" s="494" t="s">
        <v>2</v>
      </c>
      <c r="D32" s="494" t="s">
        <v>3</v>
      </c>
      <c r="E32" s="494" t="s">
        <v>4</v>
      </c>
      <c r="F32" s="494" t="s">
        <v>5</v>
      </c>
      <c r="G32" s="494" t="s">
        <v>6</v>
      </c>
      <c r="H32" s="495" t="s">
        <v>2</v>
      </c>
      <c r="I32" s="3"/>
      <c r="U32" s="3"/>
      <c r="V32" s="3"/>
      <c r="W32" s="3"/>
      <c r="X32" s="3"/>
      <c r="Y32" s="3"/>
      <c r="Z32" s="3"/>
      <c r="AA32" s="3"/>
    </row>
    <row r="33" spans="2:27" ht="12.75" customHeight="1">
      <c r="B33" s="41" t="s">
        <v>449</v>
      </c>
      <c r="C33" s="438">
        <f>J29*'CA COSTOS'!D129</f>
        <v>11389385.703485655</v>
      </c>
      <c r="D33" s="438">
        <f>C33</f>
        <v>11389385.703485655</v>
      </c>
      <c r="E33" s="438">
        <f>D33</f>
        <v>11389385.703485655</v>
      </c>
      <c r="F33" s="438">
        <f>E33</f>
        <v>11389385.703485655</v>
      </c>
      <c r="G33" s="438">
        <f>F33</f>
        <v>11389385.703485655</v>
      </c>
      <c r="H33" s="585">
        <f>'CA COSTOS'!D129*'CA COSTOS'!D125</f>
        <v>56268809.999999993</v>
      </c>
      <c r="U33" s="3"/>
      <c r="V33" s="3"/>
      <c r="W33" s="3"/>
      <c r="X33" s="3"/>
      <c r="Y33" s="3"/>
      <c r="Z33" s="3"/>
      <c r="AA33" s="3"/>
    </row>
    <row r="34" spans="2:27" ht="12.75" customHeight="1">
      <c r="B34" s="80" t="s">
        <v>450</v>
      </c>
      <c r="C34" s="485">
        <f>C8*'InfoInicial-CálcAux'!G22</f>
        <v>84706.973164556955</v>
      </c>
      <c r="D34" s="485">
        <f t="shared" ref="D34:G34" si="4">C34</f>
        <v>84706.973164556955</v>
      </c>
      <c r="E34" s="485">
        <f t="shared" si="4"/>
        <v>84706.973164556955</v>
      </c>
      <c r="F34" s="485">
        <f t="shared" si="4"/>
        <v>84706.973164556955</v>
      </c>
      <c r="G34" s="485">
        <f t="shared" si="4"/>
        <v>84706.973164556955</v>
      </c>
      <c r="H34" s="496">
        <f>'CA COSTOS'!G141</f>
        <v>19226.31447208934</v>
      </c>
      <c r="I34" s="153"/>
      <c r="U34" s="3"/>
      <c r="V34" s="3"/>
      <c r="W34" s="3"/>
      <c r="X34" s="3"/>
      <c r="Y34" s="3"/>
      <c r="Z34" s="3"/>
      <c r="AA34" s="3"/>
    </row>
    <row r="35" spans="2:27" ht="12.75" customHeight="1">
      <c r="B35" s="41" t="s">
        <v>513</v>
      </c>
      <c r="C35" s="497"/>
      <c r="D35" s="497"/>
      <c r="E35" s="497"/>
      <c r="F35" s="497"/>
      <c r="G35" s="497"/>
      <c r="H35" s="486"/>
      <c r="I35" s="3"/>
      <c r="U35" s="3"/>
      <c r="V35" s="3"/>
      <c r="W35" s="3"/>
      <c r="X35" s="3"/>
      <c r="Y35" s="3"/>
      <c r="Z35" s="3"/>
      <c r="AA35" s="3"/>
    </row>
    <row r="36" spans="2:27" ht="12.75" customHeight="1">
      <c r="B36" s="81" t="s">
        <v>295</v>
      </c>
      <c r="C36" s="661">
        <f>'CA COSTOS'!D48</f>
        <v>6766383.176293348</v>
      </c>
      <c r="D36" s="661">
        <f>'CA COSTOS'!D49</f>
        <v>5789016.4064248027</v>
      </c>
      <c r="E36" s="661">
        <f t="shared" ref="E36:E37" si="5">D36</f>
        <v>5789016.4064248027</v>
      </c>
      <c r="F36" s="661">
        <f>'CA COSTOS'!D50</f>
        <v>5789016.4064248027</v>
      </c>
      <c r="G36" s="661">
        <f>F36</f>
        <v>5789016.4064248027</v>
      </c>
      <c r="H36" s="442">
        <v>0</v>
      </c>
      <c r="I36" s="3"/>
      <c r="U36" s="3"/>
      <c r="V36" s="3"/>
      <c r="W36" s="3"/>
      <c r="X36" s="3"/>
      <c r="Y36" s="3"/>
      <c r="Z36" s="3"/>
      <c r="AA36" s="3"/>
    </row>
    <row r="37" spans="2:27" ht="12.75" customHeight="1">
      <c r="B37" s="81" t="s">
        <v>514</v>
      </c>
      <c r="C37" s="441">
        <f>'CA COSTOS'!F146</f>
        <v>13999.328571428568</v>
      </c>
      <c r="D37" s="441">
        <f>'CA COSTOS'!F147</f>
        <v>11977.203333333331</v>
      </c>
      <c r="E37" s="441">
        <f t="shared" si="5"/>
        <v>11977.203333333331</v>
      </c>
      <c r="F37" s="441">
        <f t="shared" ref="F37:G37" si="6">E37</f>
        <v>11977.203333333331</v>
      </c>
      <c r="G37" s="441">
        <f t="shared" si="6"/>
        <v>11977.203333333331</v>
      </c>
      <c r="H37" s="442">
        <v>0</v>
      </c>
      <c r="I37" s="3"/>
      <c r="U37" s="3"/>
      <c r="V37" s="3"/>
      <c r="W37" s="3"/>
      <c r="X37" s="3"/>
      <c r="Y37" s="3"/>
      <c r="Z37" s="3"/>
      <c r="AA37" s="3"/>
    </row>
    <row r="38" spans="2:27" ht="12.75" customHeight="1">
      <c r="B38" s="81" t="s">
        <v>515</v>
      </c>
      <c r="C38" s="441">
        <f>'CA COSTOS'!F150</f>
        <v>556418.67648808449</v>
      </c>
      <c r="D38" s="441">
        <f>'CA COSTOS'!F151</f>
        <v>453365.55988424999</v>
      </c>
      <c r="E38" s="441">
        <f>D38</f>
        <v>453365.55988424999</v>
      </c>
      <c r="F38" s="441">
        <f t="shared" ref="F38" si="7">E38</f>
        <v>453365.55988424999</v>
      </c>
      <c r="G38" s="441">
        <f>F38</f>
        <v>453365.55988424999</v>
      </c>
      <c r="H38" s="442">
        <f>'CA COSTOS'!D153</f>
        <v>2246892.6359973457</v>
      </c>
      <c r="I38" s="3"/>
      <c r="U38" s="3"/>
      <c r="V38" s="3"/>
      <c r="W38" s="3"/>
      <c r="X38" s="3"/>
      <c r="Y38" s="3"/>
      <c r="Z38" s="3"/>
      <c r="AA38" s="3"/>
    </row>
    <row r="39" spans="2:27" ht="12.75" customHeight="1">
      <c r="B39" s="81" t="s">
        <v>525</v>
      </c>
      <c r="C39" s="441">
        <f>'CA COSTOS'!$D$72</f>
        <v>200076.82560248469</v>
      </c>
      <c r="D39" s="441">
        <f>'CA COSTOS'!$D$72</f>
        <v>200076.82560248469</v>
      </c>
      <c r="E39" s="441">
        <f>'CA COSTOS'!$D$72</f>
        <v>200076.82560248469</v>
      </c>
      <c r="F39" s="441">
        <f t="shared" ref="F39:G39" si="8">E39</f>
        <v>200076.82560248469</v>
      </c>
      <c r="G39" s="441">
        <f t="shared" si="8"/>
        <v>200076.82560248469</v>
      </c>
      <c r="H39" s="442">
        <f>'CA COSTOS'!F72</f>
        <v>826.83995569620231</v>
      </c>
      <c r="U39" s="3"/>
      <c r="V39" s="3"/>
      <c r="W39" s="3"/>
      <c r="X39" s="3"/>
      <c r="Y39" s="3"/>
      <c r="Z39" s="3"/>
      <c r="AA39" s="3"/>
    </row>
    <row r="40" spans="2:27" ht="12.75" customHeight="1">
      <c r="B40" s="81" t="s">
        <v>526</v>
      </c>
      <c r="C40" s="441">
        <v>0</v>
      </c>
      <c r="D40" s="441">
        <v>0</v>
      </c>
      <c r="E40" s="441">
        <v>0</v>
      </c>
      <c r="F40" s="441">
        <v>0</v>
      </c>
      <c r="G40" s="441">
        <v>0</v>
      </c>
      <c r="H40" s="442">
        <v>0</v>
      </c>
      <c r="I40" s="3"/>
      <c r="U40" s="3"/>
      <c r="V40" s="3"/>
      <c r="W40" s="3"/>
      <c r="X40" s="3"/>
      <c r="Y40" s="3"/>
      <c r="Z40" s="3"/>
      <c r="AA40" s="3"/>
    </row>
    <row r="41" spans="2:27" ht="12.75" customHeight="1">
      <c r="B41" s="81" t="s">
        <v>401</v>
      </c>
      <c r="C41" s="441">
        <v>0</v>
      </c>
      <c r="D41" s="441">
        <v>0</v>
      </c>
      <c r="E41" s="441">
        <v>0</v>
      </c>
      <c r="F41" s="441">
        <v>0</v>
      </c>
      <c r="G41" s="441">
        <v>0</v>
      </c>
      <c r="H41" s="442">
        <v>0</v>
      </c>
      <c r="I41" s="3"/>
      <c r="U41" s="3"/>
      <c r="V41" s="3"/>
      <c r="W41" s="3"/>
      <c r="X41" s="3"/>
      <c r="Y41" s="3"/>
      <c r="Z41" s="3"/>
      <c r="AA41" s="3"/>
    </row>
    <row r="42" spans="2:27" ht="12.75" customHeight="1">
      <c r="B42" s="81" t="s">
        <v>527</v>
      </c>
      <c r="C42" s="441">
        <v>0</v>
      </c>
      <c r="D42" s="441"/>
      <c r="E42" s="441"/>
      <c r="F42" s="441"/>
      <c r="G42" s="441"/>
      <c r="H42" s="442"/>
      <c r="I42" s="3"/>
      <c r="U42" s="3"/>
      <c r="V42" s="3"/>
      <c r="W42" s="3"/>
      <c r="X42" s="3"/>
      <c r="Y42" s="3"/>
      <c r="Z42" s="3"/>
      <c r="AA42" s="3"/>
    </row>
    <row r="43" spans="2:27" ht="12.75" customHeight="1">
      <c r="B43" s="81" t="s">
        <v>528</v>
      </c>
      <c r="C43" s="441">
        <v>0</v>
      </c>
      <c r="D43" s="441">
        <v>0</v>
      </c>
      <c r="E43" s="441">
        <v>0</v>
      </c>
      <c r="F43" s="441">
        <v>0</v>
      </c>
      <c r="G43" s="441">
        <v>0</v>
      </c>
      <c r="H43" s="442">
        <v>0</v>
      </c>
      <c r="I43" s="3"/>
      <c r="U43" s="3"/>
      <c r="V43" s="3"/>
      <c r="W43" s="3"/>
      <c r="X43" s="3"/>
      <c r="Y43" s="3"/>
      <c r="Z43" s="3"/>
      <c r="AA43" s="3"/>
    </row>
    <row r="44" spans="2:27" ht="12.75" customHeight="1">
      <c r="B44" s="43" t="s">
        <v>529</v>
      </c>
      <c r="C44" s="441">
        <f>SUM(C33:C43)*InfoInicial!$B$14</f>
        <v>950548.53418027761</v>
      </c>
      <c r="D44" s="441">
        <f>SUM(D33:D43)*InfoInicial!$B$14</f>
        <v>896426.43359475397</v>
      </c>
      <c r="E44" s="441">
        <f>SUM(E33:E43)*InfoInicial!$B$14</f>
        <v>896426.43359475397</v>
      </c>
      <c r="F44" s="441">
        <f>SUM(F33:F43)*InfoInicial!$B$14</f>
        <v>896426.43359475397</v>
      </c>
      <c r="G44" s="441">
        <f>SUM(G33:G43)*InfoInicial!$B$14</f>
        <v>896426.43359475397</v>
      </c>
      <c r="H44" s="441">
        <f>SUM(H33:H43)*InfoInicial!$B$14</f>
        <v>2926787.7895212565</v>
      </c>
      <c r="I44" s="239"/>
      <c r="U44" s="3"/>
      <c r="V44" s="3"/>
      <c r="W44" s="3"/>
      <c r="X44" s="3"/>
      <c r="Y44" s="3"/>
      <c r="Z44" s="3"/>
      <c r="AA44" s="3"/>
    </row>
    <row r="45" spans="2:27" ht="12.75" customHeight="1">
      <c r="B45" s="46" t="s">
        <v>530</v>
      </c>
      <c r="C45" s="448">
        <f>SUM(C33:C44)</f>
        <v>19961519.217785828</v>
      </c>
      <c r="D45" s="448">
        <f>SUM(D33:D44)</f>
        <v>18824955.105489835</v>
      </c>
      <c r="E45" s="448">
        <f t="shared" ref="E45:G45" si="9">SUM(E33:E44)</f>
        <v>18824955.105489835</v>
      </c>
      <c r="F45" s="448">
        <f t="shared" si="9"/>
        <v>18824955.105489835</v>
      </c>
      <c r="G45" s="448">
        <f t="shared" si="9"/>
        <v>18824955.105489835</v>
      </c>
      <c r="H45" s="498">
        <f>SUM(H33:H44)</f>
        <v>61462543.579946376</v>
      </c>
      <c r="U45" s="3"/>
      <c r="V45" s="3"/>
      <c r="W45" s="3"/>
      <c r="X45" s="3"/>
      <c r="Y45" s="3"/>
      <c r="Z45" s="3"/>
      <c r="AA45" s="3"/>
    </row>
    <row r="46" spans="2:27" ht="12.75" customHeight="1">
      <c r="B46" s="28"/>
      <c r="C46" s="499">
        <f>C45-C36</f>
        <v>13195136.041492481</v>
      </c>
      <c r="D46" s="499">
        <f>D45-D36</f>
        <v>13035938.699065033</v>
      </c>
      <c r="E46" s="499">
        <f t="shared" ref="E46:G46" si="10">E45-E36</f>
        <v>13035938.699065033</v>
      </c>
      <c r="F46" s="499">
        <f t="shared" si="10"/>
        <v>13035938.699065033</v>
      </c>
      <c r="G46" s="499">
        <f t="shared" si="10"/>
        <v>13035938.699065033</v>
      </c>
      <c r="H46" s="499"/>
      <c r="I46" s="3"/>
      <c r="U46" s="3"/>
      <c r="V46" s="3"/>
      <c r="W46" s="3"/>
      <c r="X46" s="3"/>
      <c r="Y46" s="3"/>
      <c r="Z46" s="3"/>
      <c r="AA46" s="3"/>
    </row>
    <row r="47" spans="2:27" ht="12.75" customHeight="1">
      <c r="B47" s="28"/>
      <c r="C47" s="3"/>
      <c r="D47" s="3"/>
      <c r="E47" s="3"/>
      <c r="F47" s="3"/>
      <c r="G47" s="3"/>
      <c r="H47" s="499"/>
      <c r="I47" s="3"/>
      <c r="U47" s="3"/>
      <c r="V47" s="3"/>
      <c r="W47" s="3"/>
      <c r="X47" s="3"/>
      <c r="Y47" s="3"/>
      <c r="Z47" s="3"/>
      <c r="AA47" s="3"/>
    </row>
    <row r="48" spans="2:27" ht="18" customHeight="1">
      <c r="B48" s="1017" t="s">
        <v>531</v>
      </c>
      <c r="C48" s="1017"/>
      <c r="D48" s="1017"/>
      <c r="E48" s="1017"/>
      <c r="F48" s="1017"/>
      <c r="G48" s="1017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2:27" ht="12.75" customHeight="1">
      <c r="B49" s="46"/>
      <c r="C49" s="435" t="s">
        <v>2</v>
      </c>
      <c r="D49" s="435" t="s">
        <v>3</v>
      </c>
      <c r="E49" s="435" t="s">
        <v>4</v>
      </c>
      <c r="F49" s="435" t="s">
        <v>5</v>
      </c>
      <c r="G49" s="436" t="s">
        <v>6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2:27" ht="12.75" customHeight="1">
      <c r="B50" s="47" t="s">
        <v>519</v>
      </c>
      <c r="C50" s="438">
        <f>C23</f>
        <v>1437678368.0787096</v>
      </c>
      <c r="D50" s="438">
        <f t="shared" ref="D50:G50" si="11">D23</f>
        <v>1357221310.7862098</v>
      </c>
      <c r="E50" s="438">
        <f t="shared" si="11"/>
        <v>1357221310.7862098</v>
      </c>
      <c r="F50" s="438">
        <f t="shared" si="11"/>
        <v>1357221310.7862098</v>
      </c>
      <c r="G50" s="500">
        <f t="shared" si="11"/>
        <v>1357221310.7862098</v>
      </c>
      <c r="H50" s="499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2:27" ht="12.75" customHeight="1">
      <c r="B51" s="43" t="s">
        <v>532</v>
      </c>
      <c r="C51" s="441"/>
      <c r="D51" s="441"/>
      <c r="E51" s="441"/>
      <c r="F51" s="441"/>
      <c r="G51" s="500"/>
      <c r="H51" s="499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2:27" ht="12.75" customHeight="1">
      <c r="B52" s="43" t="s">
        <v>533</v>
      </c>
      <c r="C52" s="441">
        <f>H45</f>
        <v>61462543.579946376</v>
      </c>
      <c r="D52" s="441"/>
      <c r="E52" s="441"/>
      <c r="F52" s="441"/>
      <c r="G52" s="500"/>
      <c r="H52" s="499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2:27" ht="12.75" customHeight="1">
      <c r="B53" s="43" t="s">
        <v>534</v>
      </c>
      <c r="C53" s="441">
        <f>C45</f>
        <v>19961519.217785828</v>
      </c>
      <c r="D53" s="441">
        <f>D45</f>
        <v>18824955.105489835</v>
      </c>
      <c r="E53" s="441">
        <f t="shared" ref="E53:G53" si="12">E45</f>
        <v>18824955.105489835</v>
      </c>
      <c r="F53" s="441">
        <f>F45</f>
        <v>18824955.105489835</v>
      </c>
      <c r="G53" s="441">
        <f t="shared" si="12"/>
        <v>18824955.105489835</v>
      </c>
      <c r="H53" s="499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2:27" ht="12.75" customHeight="1">
      <c r="B54" s="43" t="s">
        <v>535</v>
      </c>
      <c r="C54" s="441"/>
      <c r="D54" s="569">
        <f>C53</f>
        <v>19961519.217785828</v>
      </c>
      <c r="E54" s="569">
        <f>D53</f>
        <v>18824955.105489835</v>
      </c>
      <c r="F54" s="569">
        <f>E53</f>
        <v>18824955.105489835</v>
      </c>
      <c r="G54" s="569">
        <f>F53</f>
        <v>18824955.105489835</v>
      </c>
      <c r="H54" s="501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2:27" ht="12.75" customHeight="1">
      <c r="B55" s="42" t="s">
        <v>536</v>
      </c>
      <c r="C55" s="441">
        <f>C50-C52-(C53-C54)</f>
        <v>1356254305.2809775</v>
      </c>
      <c r="D55" s="441">
        <f>D50-D52-(D53-D54)</f>
        <v>1358357874.8985059</v>
      </c>
      <c r="E55" s="441">
        <f>E50-E52-(E53-E54)</f>
        <v>1357221310.7862098</v>
      </c>
      <c r="F55" s="441">
        <f>F50-F52-(F53-F54)</f>
        <v>1357221310.7862098</v>
      </c>
      <c r="G55" s="441">
        <f>G50-G52-(G53-G54)</f>
        <v>1357221310.7862098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2:27" ht="12.75" customHeight="1">
      <c r="B56" s="84" t="s">
        <v>537</v>
      </c>
      <c r="C56" s="584">
        <f>C55/'InfoInicial-CálcAux'!L14</f>
        <v>838.74725125601572</v>
      </c>
      <c r="D56" s="584">
        <f>D55/'InfoInicial-CálcAux'!$M$14</f>
        <v>718.70787031666976</v>
      </c>
      <c r="E56" s="584">
        <f>E55/'InfoInicial-CálcAux'!$M$14</f>
        <v>718.10651364349724</v>
      </c>
      <c r="F56" s="584">
        <f>F55/'InfoInicial-CálcAux'!$M$14</f>
        <v>718.10651364349724</v>
      </c>
      <c r="G56" s="584">
        <f>G55/'InfoInicial-CálcAux'!$M$14</f>
        <v>718.10651364349724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2:27" ht="12.75" customHeight="1">
      <c r="B57" s="84"/>
      <c r="C57" s="502"/>
      <c r="D57" s="502"/>
      <c r="E57" s="502"/>
      <c r="F57" s="502"/>
      <c r="G57" s="500"/>
      <c r="H57" s="50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2:27" ht="12.75" customHeight="1">
      <c r="B58" s="84" t="s">
        <v>520</v>
      </c>
      <c r="C58" s="504">
        <f>C25</f>
        <v>5.0957276757498365E-2</v>
      </c>
      <c r="D58" s="504">
        <f>D50*D25/D55</f>
        <v>5.3932896362771314E-2</v>
      </c>
      <c r="E58" s="504">
        <f>E50*E25/E55</f>
        <v>5.3978060842573512E-2</v>
      </c>
      <c r="F58" s="504">
        <f>F50*F25/F55</f>
        <v>5.3978060842573512E-2</v>
      </c>
      <c r="G58" s="504">
        <f>G50*G25/G55</f>
        <v>5.3978060842573512E-2</v>
      </c>
      <c r="H58" s="505" t="e">
        <f>((C50*C25)-C36-C37-C42-J49-'CA COSTOS'!#REF!)/C55</f>
        <v>#REF!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2:27" ht="12.75" customHeight="1">
      <c r="B59" s="46" t="s">
        <v>521</v>
      </c>
      <c r="C59" s="506">
        <f t="shared" ref="C59" si="13">C26</f>
        <v>0.94904272324250161</v>
      </c>
      <c r="D59" s="506">
        <f>D50*D26/D55</f>
        <v>0.94523038443877661</v>
      </c>
      <c r="E59" s="506">
        <f>E50*E26/E55</f>
        <v>0.94602193915742649</v>
      </c>
      <c r="F59" s="506">
        <f>F50*F26/F55</f>
        <v>0.94602193915742649</v>
      </c>
      <c r="G59" s="506">
        <f>G50*G26/G55</f>
        <v>0.94602193915742649</v>
      </c>
      <c r="H59" s="505">
        <f>((C50*C26)-C33-C34-C38-C40-C44-J48-'CA COSTOS'!E69)/C55</f>
        <v>0.9906451570596404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2:27" ht="12.7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2:27" ht="12.75" customHeight="1">
      <c r="B61" s="3"/>
      <c r="C61" s="507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2:27" ht="15.75">
      <c r="B62" s="1019" t="s">
        <v>538</v>
      </c>
      <c r="C62" s="1020"/>
      <c r="D62" s="1020"/>
      <c r="E62" s="1020"/>
      <c r="F62" s="1020"/>
      <c r="G62" s="1021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2:27" ht="12.75" customHeight="1">
      <c r="B63" s="86" t="s">
        <v>444</v>
      </c>
      <c r="C63" s="435" t="s">
        <v>2</v>
      </c>
      <c r="D63" s="435" t="s">
        <v>3</v>
      </c>
      <c r="E63" s="435" t="s">
        <v>4</v>
      </c>
      <c r="F63" s="435" t="s">
        <v>5</v>
      </c>
      <c r="G63" s="436" t="s">
        <v>6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2:27" ht="12.75" customHeight="1">
      <c r="B64" s="85" t="s">
        <v>267</v>
      </c>
      <c r="C64" s="508">
        <f>'CA COSTOS'!G16+'CA COSTOS'!G18</f>
        <v>553467.19999999995</v>
      </c>
      <c r="D64" s="508">
        <f>C64</f>
        <v>553467.19999999995</v>
      </c>
      <c r="E64" s="508">
        <f>C64</f>
        <v>553467.19999999995</v>
      </c>
      <c r="F64" s="508">
        <f>C64</f>
        <v>553467.19999999995</v>
      </c>
      <c r="G64" s="508">
        <f>C64</f>
        <v>553467.19999999995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2:27" ht="12.75" customHeight="1">
      <c r="B65" s="43" t="s">
        <v>539</v>
      </c>
      <c r="C65" s="441">
        <f>'CA COSTOS'!$L$35</f>
        <v>1753303.004055135</v>
      </c>
      <c r="D65" s="441">
        <f>'CA COSTOS'!$L$35</f>
        <v>1753303.004055135</v>
      </c>
      <c r="E65" s="441">
        <f>'CA COSTOS'!$L$35</f>
        <v>1753303.004055135</v>
      </c>
      <c r="F65" s="441">
        <f>'CA COSTOS'!$L$35</f>
        <v>1753303.004055135</v>
      </c>
      <c r="G65" s="441">
        <f>'CA COSTOS'!$L$35</f>
        <v>1753303.004055135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2:27" ht="12.75" customHeight="1">
      <c r="B66" s="43" t="s">
        <v>515</v>
      </c>
      <c r="C66" s="441">
        <f>'CA COSTOS'!F89</f>
        <v>1190117.7247106251</v>
      </c>
      <c r="D66" s="441">
        <f>'CA COSTOS'!G89</f>
        <v>1133413.8997106252</v>
      </c>
      <c r="E66" s="441">
        <f>'CA COSTOS'!H89</f>
        <v>1133413.8997106252</v>
      </c>
      <c r="F66" s="441">
        <f>'CA COSTOS'!I89</f>
        <v>1133413.8997106252</v>
      </c>
      <c r="G66" s="441">
        <f>'CA COSTOS'!J89</f>
        <v>1133413.8997106252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2:27" ht="12.75" customHeight="1">
      <c r="B67" s="43" t="s">
        <v>540</v>
      </c>
      <c r="C67" s="441">
        <f>'CA COSTOS'!$D$71</f>
        <v>207974.59503416176</v>
      </c>
      <c r="D67" s="441">
        <f>'CA COSTOS'!$D$71</f>
        <v>207974.59503416176</v>
      </c>
      <c r="E67" s="441">
        <f>'CA COSTOS'!$D$71</f>
        <v>207974.59503416176</v>
      </c>
      <c r="F67" s="441">
        <f>'CA COSTOS'!$D$71</f>
        <v>207974.59503416176</v>
      </c>
      <c r="G67" s="441">
        <f>'CA COSTOS'!$D$71</f>
        <v>207974.59503416176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2:27" ht="12.75" customHeight="1">
      <c r="B68" s="43" t="s">
        <v>541</v>
      </c>
      <c r="C68" s="441">
        <v>0</v>
      </c>
      <c r="D68" s="441">
        <v>0</v>
      </c>
      <c r="E68" s="441">
        <v>0</v>
      </c>
      <c r="F68" s="441">
        <v>0</v>
      </c>
      <c r="G68" s="442">
        <v>0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2:27" ht="12.75" customHeight="1">
      <c r="B69" s="45" t="s">
        <v>401</v>
      </c>
      <c r="C69" s="441">
        <f>'CA COSTOS'!C96*12*2</f>
        <v>206400</v>
      </c>
      <c r="D69" s="441">
        <f>'CA COSTOS'!C96*12*2</f>
        <v>206400</v>
      </c>
      <c r="E69" s="441">
        <f>'CA COSTOS'!C96*12*2</f>
        <v>206400</v>
      </c>
      <c r="F69" s="441">
        <f>'CA COSTOS'!C96*12*2</f>
        <v>206400</v>
      </c>
      <c r="G69" s="441">
        <f>'CA COSTOS'!C96*12*2</f>
        <v>206400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2:27" ht="12.75" customHeight="1">
      <c r="B70" s="43" t="s">
        <v>405</v>
      </c>
      <c r="C70" s="441">
        <f>'CA COSTOS'!D100</f>
        <v>2453220</v>
      </c>
      <c r="D70" s="441">
        <f>'CA COSTOS'!D100</f>
        <v>2453220</v>
      </c>
      <c r="E70" s="441">
        <f>'CA COSTOS'!D100</f>
        <v>2453220</v>
      </c>
      <c r="F70" s="441">
        <f>'CA COSTOS'!D100</f>
        <v>2453220</v>
      </c>
      <c r="G70" s="442">
        <f>'CA COSTOS'!D100</f>
        <v>2453220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2:27" ht="12.75" customHeight="1">
      <c r="B71" s="43" t="s">
        <v>542</v>
      </c>
      <c r="C71" s="441">
        <v>0</v>
      </c>
      <c r="D71" s="441">
        <v>0</v>
      </c>
      <c r="E71" s="441">
        <v>0</v>
      </c>
      <c r="F71" s="441">
        <v>0</v>
      </c>
      <c r="G71" s="441">
        <v>0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2:27" ht="12.75" customHeight="1">
      <c r="B72" s="87" t="s">
        <v>518</v>
      </c>
      <c r="C72" s="441"/>
      <c r="D72" s="441"/>
      <c r="E72" s="441"/>
      <c r="F72" s="441"/>
      <c r="G72" s="44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2:27" ht="12.75" customHeight="1">
      <c r="B73" s="87" t="s">
        <v>518</v>
      </c>
      <c r="C73" s="441"/>
      <c r="D73" s="441"/>
      <c r="E73" s="441"/>
      <c r="F73" s="441"/>
      <c r="G73" s="44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2:27" ht="12.75" customHeight="1">
      <c r="B74" s="87" t="s">
        <v>518</v>
      </c>
      <c r="C74" s="441"/>
      <c r="D74" s="441"/>
      <c r="E74" s="441"/>
      <c r="F74" s="441"/>
      <c r="G74" s="44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2:27" ht="12.75" customHeight="1">
      <c r="B75" s="43" t="s">
        <v>76</v>
      </c>
      <c r="C75" s="441">
        <f>SUM(C64:C74)*InfoInicial!$B$14</f>
        <v>318224.12618999614</v>
      </c>
      <c r="D75" s="441">
        <f>SUM(D64:D74)*InfoInicial!$B$14</f>
        <v>315388.93493999611</v>
      </c>
      <c r="E75" s="441">
        <f>SUM(E64:E74)*InfoInicial!$B$14</f>
        <v>315388.93493999611</v>
      </c>
      <c r="F75" s="441">
        <f>SUM(F64:F74)*InfoInicial!$B$14</f>
        <v>315388.93493999611</v>
      </c>
      <c r="G75" s="441">
        <f>SUM(G64:G74)*InfoInicial!$B$14</f>
        <v>315388.93493999611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2:27" ht="12.75" customHeight="1">
      <c r="B76" s="43"/>
      <c r="C76" s="443"/>
      <c r="D76" s="443"/>
      <c r="E76" s="443"/>
      <c r="F76" s="443"/>
      <c r="G76" s="444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2:27" ht="12.75" customHeight="1">
      <c r="B77" s="42" t="s">
        <v>543</v>
      </c>
      <c r="C77" s="441">
        <f t="shared" ref="C77:G77" si="14">SUM(C64:C75)</f>
        <v>6682706.6499899188</v>
      </c>
      <c r="D77" s="441">
        <f t="shared" si="14"/>
        <v>6623167.6337399185</v>
      </c>
      <c r="E77" s="441">
        <f t="shared" si="14"/>
        <v>6623167.6337399185</v>
      </c>
      <c r="F77" s="441">
        <f t="shared" si="14"/>
        <v>6623167.6337399185</v>
      </c>
      <c r="G77" s="441">
        <f t="shared" si="14"/>
        <v>6623167.6337399185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2:27" ht="12.75" customHeight="1">
      <c r="B78" s="42"/>
      <c r="C78" s="441"/>
      <c r="D78" s="441"/>
      <c r="E78" s="441"/>
      <c r="F78" s="441"/>
      <c r="G78" s="442"/>
      <c r="H78" s="499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2:27" ht="12.75" customHeight="1">
      <c r="B79" s="84" t="s">
        <v>520</v>
      </c>
      <c r="C79" s="509">
        <f>SUM(C64:C66,C69:C71,C75,'CA COSTOS'!$F71)/C77</f>
        <v>0.96900730085773346</v>
      </c>
      <c r="D79" s="509">
        <f>SUM(D64:D66,D69:D71,D75,'CA COSTOS'!$F71)/D77</f>
        <v>0.96872869175104825</v>
      </c>
      <c r="E79" s="509">
        <f>SUM(E64:E66,E69:E71,E75,'CA COSTOS'!$F71)/E77</f>
        <v>0.96872869175104825</v>
      </c>
      <c r="F79" s="509">
        <f>SUM(F64:F66,F69:F71,F75,'CA COSTOS'!$F71)/F77</f>
        <v>0.96872869175104825</v>
      </c>
      <c r="G79" s="509">
        <f>SUM(G64:G66,G69:G71,G75,'CA COSTOS'!$F71)/G77</f>
        <v>0.96872869175104825</v>
      </c>
      <c r="H79" s="499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2:27" ht="12.75" customHeight="1">
      <c r="B80" s="46" t="s">
        <v>521</v>
      </c>
      <c r="C80" s="510">
        <f>SUM(C68,'CA COSTOS'!$E$71)/C77</f>
        <v>3.0992699142266582E-2</v>
      </c>
      <c r="D80" s="510">
        <f>SUM(D68,'CA COSTOS'!$E$71)/D77</f>
        <v>3.1271308248951808E-2</v>
      </c>
      <c r="E80" s="510">
        <f>SUM(E68,'CA COSTOS'!$E$71)/E77</f>
        <v>3.1271308248951808E-2</v>
      </c>
      <c r="F80" s="510">
        <f>SUM(F68,'CA COSTOS'!$E$71)/F77</f>
        <v>3.1271308248951808E-2</v>
      </c>
      <c r="G80" s="510">
        <f>SUM(G68,'CA COSTOS'!$E$71)/G77</f>
        <v>3.1271308248951808E-2</v>
      </c>
      <c r="H80" s="499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2:27" ht="12.75" customHeight="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2:27" ht="12.75" customHeight="1">
      <c r="B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2:27" ht="23.25" customHeight="1">
      <c r="B83" s="1019" t="s">
        <v>544</v>
      </c>
      <c r="C83" s="1020"/>
      <c r="D83" s="1020"/>
      <c r="E83" s="1020"/>
      <c r="F83" s="1020"/>
      <c r="G83" s="1021"/>
      <c r="I83" s="3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2:27" ht="12.75" customHeight="1">
      <c r="B84" s="86" t="s">
        <v>444</v>
      </c>
      <c r="C84" s="435" t="s">
        <v>2</v>
      </c>
      <c r="D84" s="435" t="s">
        <v>3</v>
      </c>
      <c r="E84" s="435" t="s">
        <v>4</v>
      </c>
      <c r="F84" s="435" t="s">
        <v>5</v>
      </c>
      <c r="G84" s="436" t="s">
        <v>6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2:27" ht="12.75" customHeight="1">
      <c r="B85" s="41" t="s">
        <v>545</v>
      </c>
      <c r="C85" s="438">
        <f>'CA COSTOS'!$G$17+'CA COSTOS'!$G$23+(C114*0.03)</f>
        <v>43934559.579999998</v>
      </c>
      <c r="D85" s="438">
        <f>'CA COSTOS'!$G$17+'CA COSTOS'!$G$23+(D114*0.03)</f>
        <v>60944559.579999998</v>
      </c>
      <c r="E85" s="438">
        <f>'CA COSTOS'!$G$17+'CA COSTOS'!$G$23+(E114*0.03)</f>
        <v>60944559.579999998</v>
      </c>
      <c r="F85" s="438">
        <f>'CA COSTOS'!$G$17+'CA COSTOS'!$G$23+(F114*0.03)</f>
        <v>60944559.579999998</v>
      </c>
      <c r="G85" s="438">
        <f>'CA COSTOS'!$G$17+'CA COSTOS'!$G$23+(G114*0.03)</f>
        <v>60944559.579999998</v>
      </c>
      <c r="H85" t="s">
        <v>546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2:27" ht="12.75" customHeight="1">
      <c r="B86" s="43" t="s">
        <v>539</v>
      </c>
      <c r="C86" s="441">
        <f>'CA COSTOS'!$O$35</f>
        <v>1753303.004055135</v>
      </c>
      <c r="D86" s="441">
        <f>'CA COSTOS'!$O$35</f>
        <v>1753303.004055135</v>
      </c>
      <c r="E86" s="441">
        <f>'CA COSTOS'!$O$35</f>
        <v>1753303.004055135</v>
      </c>
      <c r="F86" s="441">
        <f>'CA COSTOS'!$O$35</f>
        <v>1753303.004055135</v>
      </c>
      <c r="G86" s="441">
        <f>'CA COSTOS'!$O$35</f>
        <v>1753303.004055135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2:27" ht="12.75" customHeight="1">
      <c r="B87" s="43" t="s">
        <v>515</v>
      </c>
      <c r="C87" s="441">
        <f>'CA COSTOS'!F88</f>
        <v>1190117.7247106251</v>
      </c>
      <c r="D87" s="441">
        <f>'CA COSTOS'!G88</f>
        <v>1133413.8997106252</v>
      </c>
      <c r="E87" s="441">
        <f>'CA COSTOS'!H88</f>
        <v>1133413.8997106252</v>
      </c>
      <c r="F87" s="441">
        <f>'CA COSTOS'!I88</f>
        <v>1133413.8997106252</v>
      </c>
      <c r="G87" s="441">
        <f>'CA COSTOS'!J88</f>
        <v>1133413.8997106252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2:27" ht="12.75" customHeight="1">
      <c r="B88" s="43" t="s">
        <v>541</v>
      </c>
      <c r="C88" s="441">
        <v>0</v>
      </c>
      <c r="D88" s="441">
        <v>0</v>
      </c>
      <c r="E88" s="441">
        <v>0</v>
      </c>
      <c r="F88" s="441">
        <v>0</v>
      </c>
      <c r="G88" s="442">
        <v>0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2:27" ht="12.75" customHeight="1">
      <c r="B89" s="45" t="s">
        <v>401</v>
      </c>
      <c r="C89" s="441">
        <f>'CA COSTOS'!C96*12*3</f>
        <v>309600</v>
      </c>
      <c r="D89" s="441">
        <f>'CA COSTOS'!C96*12*3</f>
        <v>309600</v>
      </c>
      <c r="E89" s="441">
        <f>'CA COSTOS'!C96*12*3</f>
        <v>309600</v>
      </c>
      <c r="F89" s="441">
        <f>'CA COSTOS'!C96*12*3</f>
        <v>309600</v>
      </c>
      <c r="G89" s="441">
        <f>'CA COSTOS'!C96*12*3</f>
        <v>309600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2:27" ht="12.75" customHeight="1">
      <c r="B90" s="43" t="s">
        <v>547</v>
      </c>
      <c r="C90" s="441">
        <f>'CA COSTOS'!$D$109</f>
        <v>1022210</v>
      </c>
      <c r="D90" s="441">
        <f>'CA COSTOS'!$D$109</f>
        <v>1022210</v>
      </c>
      <c r="E90" s="441">
        <f>'CA COSTOS'!$D$109</f>
        <v>1022210</v>
      </c>
      <c r="F90" s="441">
        <f>'CA COSTOS'!$D$109</f>
        <v>1022210</v>
      </c>
      <c r="G90" s="441">
        <f>'CA COSTOS'!$D$109</f>
        <v>1022210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2:27" ht="12.75" customHeight="1">
      <c r="B91" s="43" t="s">
        <v>548</v>
      </c>
      <c r="C91" s="441">
        <f>'CA COSTOS'!$E$180</f>
        <v>2736000</v>
      </c>
      <c r="D91" s="441">
        <f>'CA COSTOS'!$E$180</f>
        <v>2736000</v>
      </c>
      <c r="E91" s="441">
        <f>'CA COSTOS'!$E$180</f>
        <v>2736000</v>
      </c>
      <c r="F91" s="441">
        <f>'CA COSTOS'!$E$180</f>
        <v>2736000</v>
      </c>
      <c r="G91" s="441">
        <f>'CA COSTOS'!$E$180</f>
        <v>2736000</v>
      </c>
      <c r="H91" t="s">
        <v>549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2:27" ht="12.75" customHeight="1">
      <c r="B92" s="43" t="s">
        <v>405</v>
      </c>
      <c r="C92" s="441">
        <v>0</v>
      </c>
      <c r="D92" s="441">
        <v>0</v>
      </c>
      <c r="E92" s="441">
        <v>0</v>
      </c>
      <c r="F92" s="441">
        <v>0</v>
      </c>
      <c r="G92" s="442">
        <v>0</v>
      </c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2:27" ht="12.75" customHeight="1">
      <c r="B93" s="87" t="s">
        <v>550</v>
      </c>
      <c r="C93" s="441">
        <f>'CA COSTOS'!$D$70</f>
        <v>207974.59503416176</v>
      </c>
      <c r="D93" s="441">
        <f>'CA COSTOS'!$D$70</f>
        <v>207974.59503416176</v>
      </c>
      <c r="E93" s="441">
        <f>'CA COSTOS'!$D$70</f>
        <v>207974.59503416176</v>
      </c>
      <c r="F93" s="441">
        <f>'CA COSTOS'!$D$70</f>
        <v>207974.59503416176</v>
      </c>
      <c r="G93" s="441">
        <f>'CA COSTOS'!$D$70</f>
        <v>207974.59503416176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2:27" ht="12.75" customHeight="1">
      <c r="B94" s="87" t="s">
        <v>518</v>
      </c>
      <c r="C94" s="441"/>
      <c r="D94" s="441"/>
      <c r="E94" s="441"/>
      <c r="F94" s="441"/>
      <c r="G94" s="442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2:27" ht="12.75" customHeight="1">
      <c r="B95" s="87" t="s">
        <v>518</v>
      </c>
      <c r="C95" s="441"/>
      <c r="D95" s="441"/>
      <c r="E95" s="441"/>
      <c r="F95" s="441"/>
      <c r="G95" s="442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2:27" ht="12.75" customHeight="1">
      <c r="B96" s="43" t="s">
        <v>76</v>
      </c>
      <c r="C96" s="441">
        <f>SUM(C85:C95)*InfoInicial!$B$14</f>
        <v>2557688.2451899964</v>
      </c>
      <c r="D96" s="441">
        <f>SUM(D85:D95)*InfoInicial!$B$14</f>
        <v>3405353.0539399963</v>
      </c>
      <c r="E96" s="441">
        <f>SUM(E85:E95)*InfoInicial!$B$14</f>
        <v>3405353.0539399963</v>
      </c>
      <c r="F96" s="441">
        <f>SUM(F85:F95)*InfoInicial!$B$14</f>
        <v>3405353.0539399963</v>
      </c>
      <c r="G96" s="441">
        <f>SUM(G85:G95)*InfoInicial!$B$14</f>
        <v>3405353.0539399963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2.75" customHeight="1">
      <c r="B97" s="43"/>
      <c r="C97" s="443"/>
      <c r="D97" s="443"/>
      <c r="E97" s="443"/>
      <c r="F97" s="443"/>
      <c r="G97" s="444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2.75" customHeight="1">
      <c r="B98" s="42" t="s">
        <v>551</v>
      </c>
      <c r="C98" s="441">
        <f>SUM(C85:C96)</f>
        <v>53711453.148989916</v>
      </c>
      <c r="D98" s="441">
        <f>SUM(D85:D96)</f>
        <v>71512414.132739916</v>
      </c>
      <c r="E98" s="441">
        <f>SUM(E85:E96)</f>
        <v>71512414.132739916</v>
      </c>
      <c r="F98" s="441">
        <f>SUM(F85:F96)</f>
        <v>71512414.132739916</v>
      </c>
      <c r="G98" s="441">
        <f>SUM(G85:G96)</f>
        <v>71512414.132739916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.75" customHeight="1">
      <c r="B99" s="42"/>
      <c r="C99" s="441"/>
      <c r="D99" s="441"/>
      <c r="E99" s="441"/>
      <c r="F99" s="441"/>
      <c r="G99" s="442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2.75" customHeight="1">
      <c r="B100" s="84" t="s">
        <v>520</v>
      </c>
      <c r="C100" s="511">
        <f>(C85+C86+C87+C89+C90+C92+C93)/C98</f>
        <v>0.90144209596218039</v>
      </c>
      <c r="D100" s="511">
        <f t="shared" ref="D100:G100" si="15">(D85+D86+D87+D89+D90+D92+D93)/D98</f>
        <v>0.91412186082068858</v>
      </c>
      <c r="E100" s="511">
        <f t="shared" si="15"/>
        <v>0.91412186082068858</v>
      </c>
      <c r="F100" s="511">
        <f t="shared" si="15"/>
        <v>0.91412186082068858</v>
      </c>
      <c r="G100" s="511">
        <f t="shared" si="15"/>
        <v>0.91412186082068858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2.75" customHeight="1">
      <c r="B101" s="46" t="s">
        <v>521</v>
      </c>
      <c r="C101" s="512">
        <f>(C88+C91+C96)/C98</f>
        <v>9.8557904037819694E-2</v>
      </c>
      <c r="D101" s="512">
        <f t="shared" ref="D101:G101" si="16">(D88+D91+D96)/D98</f>
        <v>8.5878139179311433E-2</v>
      </c>
      <c r="E101" s="512">
        <f t="shared" si="16"/>
        <v>8.5878139179311433E-2</v>
      </c>
      <c r="F101" s="512">
        <f t="shared" si="16"/>
        <v>8.5878139179311433E-2</v>
      </c>
      <c r="G101" s="512">
        <f t="shared" si="16"/>
        <v>8.5878139179311433E-2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2.75" customHeight="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2.75" customHeight="1">
      <c r="B103" s="180"/>
      <c r="C103" s="180"/>
      <c r="D103" s="180"/>
      <c r="E103" s="180"/>
      <c r="F103" s="180"/>
      <c r="G103" s="180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22.5" customHeight="1">
      <c r="A104" s="159"/>
      <c r="B104" s="1019" t="s">
        <v>552</v>
      </c>
      <c r="C104" s="1020"/>
      <c r="D104" s="1020"/>
      <c r="E104" s="1020"/>
      <c r="F104" s="1020"/>
      <c r="G104" s="1021"/>
      <c r="H104" s="180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2.75" customHeight="1">
      <c r="B105" s="237"/>
      <c r="C105" s="513" t="s">
        <v>2</v>
      </c>
      <c r="D105" s="513" t="s">
        <v>3</v>
      </c>
      <c r="E105" s="513" t="s">
        <v>4</v>
      </c>
      <c r="F105" s="513" t="s">
        <v>5</v>
      </c>
      <c r="G105" s="514" t="s">
        <v>6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2.75" customHeight="1">
      <c r="B106" s="88" t="s">
        <v>553</v>
      </c>
      <c r="C106" s="515">
        <f>'InfoInicial-CálcAux'!K5</f>
        <v>540000</v>
      </c>
      <c r="D106" s="515">
        <f>'InfoInicial-CálcAux'!L5</f>
        <v>756000</v>
      </c>
      <c r="E106" s="515">
        <f>'InfoInicial-CálcAux'!M5</f>
        <v>756000</v>
      </c>
      <c r="F106" s="515">
        <f>'InfoInicial-CálcAux'!N5</f>
        <v>756000</v>
      </c>
      <c r="G106" s="515">
        <f>'InfoInicial-CálcAux'!O5</f>
        <v>756000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2.75" customHeight="1">
      <c r="B107" s="89" t="s">
        <v>554</v>
      </c>
      <c r="C107" s="516">
        <f>'InfoInicial-CálcAux'!C8*2.5</f>
        <v>2625</v>
      </c>
      <c r="D107" s="516">
        <f>C107</f>
        <v>2625</v>
      </c>
      <c r="E107" s="516">
        <f>D107</f>
        <v>2625</v>
      </c>
      <c r="F107" s="516">
        <f t="shared" ref="F107:G107" si="17">E107</f>
        <v>2625</v>
      </c>
      <c r="G107" s="517">
        <f t="shared" si="17"/>
        <v>2625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2.75" customHeight="1">
      <c r="B108" s="89" t="s">
        <v>555</v>
      </c>
      <c r="C108" s="518">
        <v>0</v>
      </c>
      <c r="D108" s="518">
        <v>0</v>
      </c>
      <c r="E108" s="518">
        <v>0</v>
      </c>
      <c r="F108" s="518">
        <v>0</v>
      </c>
      <c r="G108" s="519">
        <v>0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2.75" customHeight="1">
      <c r="B109" s="89" t="s">
        <v>556</v>
      </c>
      <c r="C109" s="520">
        <v>0</v>
      </c>
      <c r="D109" s="520">
        <v>0</v>
      </c>
      <c r="E109" s="520">
        <v>0</v>
      </c>
      <c r="F109" s="520">
        <v>0</v>
      </c>
      <c r="G109" s="521">
        <v>0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2.75" customHeight="1">
      <c r="B110" s="89" t="s">
        <v>557</v>
      </c>
      <c r="C110" s="522">
        <f>'CA COSTOS'!H117</f>
        <v>0</v>
      </c>
      <c r="D110" s="522">
        <f>'CA COSTOS'!$H121</f>
        <v>0</v>
      </c>
      <c r="E110" s="522">
        <f>'CA COSTOS'!$H121</f>
        <v>0</v>
      </c>
      <c r="F110" s="522">
        <f>'CA COSTOS'!$H121</f>
        <v>0</v>
      </c>
      <c r="G110" s="523">
        <f>'CA COSTOS'!$H121</f>
        <v>0</v>
      </c>
      <c r="H110" s="3"/>
      <c r="I110" s="3"/>
      <c r="J110" s="90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2.75" customHeight="1">
      <c r="B111" s="89" t="s">
        <v>558</v>
      </c>
      <c r="C111" s="520">
        <f>'CA COSTOS'!$G117</f>
        <v>0</v>
      </c>
      <c r="D111" s="520">
        <f>'CA COSTOS'!$G117</f>
        <v>0</v>
      </c>
      <c r="E111" s="520">
        <f>'CA COSTOS'!$G117</f>
        <v>0</v>
      </c>
      <c r="F111" s="520">
        <f>'CA COSTOS'!$G117</f>
        <v>0</v>
      </c>
      <c r="G111" s="521">
        <f>'CA COSTOS'!$G117</f>
        <v>0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2.75" customHeight="1">
      <c r="B112" s="91" t="s">
        <v>559</v>
      </c>
      <c r="D112" s="926"/>
      <c r="E112" s="926"/>
      <c r="F112" s="926"/>
      <c r="G112" s="927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2:27" ht="12.75" customHeight="1">
      <c r="B113" s="91" t="s">
        <v>559</v>
      </c>
      <c r="C113" s="926"/>
      <c r="D113" s="926"/>
      <c r="E113" s="926"/>
      <c r="F113" s="926"/>
      <c r="G113" s="927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2:27" ht="12.75" customHeight="1">
      <c r="B114" s="92" t="s">
        <v>560</v>
      </c>
      <c r="C114" s="520">
        <f>(C106*C107)+(C110*C111)</f>
        <v>1417500000</v>
      </c>
      <c r="D114" s="520">
        <f t="shared" ref="D114:G114" si="18">(D106*D107)+(D110*D111)</f>
        <v>1984500000</v>
      </c>
      <c r="E114" s="520">
        <f t="shared" si="18"/>
        <v>1984500000</v>
      </c>
      <c r="F114" s="520">
        <f t="shared" si="18"/>
        <v>1984500000</v>
      </c>
      <c r="G114" s="521">
        <f t="shared" si="18"/>
        <v>1984500000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2:27" ht="12.75" customHeight="1">
      <c r="B115" s="89"/>
      <c r="C115" s="520"/>
      <c r="D115" s="520"/>
      <c r="E115" s="520"/>
      <c r="F115" s="520"/>
      <c r="G115" s="52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2:27" ht="12.75" customHeight="1">
      <c r="B116" s="89" t="s">
        <v>561</v>
      </c>
      <c r="C116" s="441">
        <f>C7</f>
        <v>1263318900</v>
      </c>
      <c r="D116" s="441">
        <f t="shared" ref="D116:G116" si="19">D7</f>
        <v>1187713800</v>
      </c>
      <c r="E116" s="441">
        <f t="shared" si="19"/>
        <v>1187713800</v>
      </c>
      <c r="F116" s="441">
        <f t="shared" si="19"/>
        <v>1187713800</v>
      </c>
      <c r="G116" s="524">
        <f t="shared" si="19"/>
        <v>1187713800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2:27" ht="12.75" customHeight="1">
      <c r="B117" s="89" t="s">
        <v>450</v>
      </c>
      <c r="C117" s="441">
        <f t="shared" ref="C117:G117" si="20">C8</f>
        <v>3345925.44</v>
      </c>
      <c r="D117" s="441">
        <f t="shared" si="20"/>
        <v>3345925.44</v>
      </c>
      <c r="E117" s="441">
        <f t="shared" si="20"/>
        <v>3345925.44</v>
      </c>
      <c r="F117" s="441">
        <f t="shared" si="20"/>
        <v>3345925.44</v>
      </c>
      <c r="G117" s="524">
        <f t="shared" si="20"/>
        <v>3345925.44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2:27" ht="12.75" customHeight="1">
      <c r="B118" s="89" t="s">
        <v>562</v>
      </c>
      <c r="C118" s="441">
        <f>SUM(C10:C22)</f>
        <v>171013542.63870955</v>
      </c>
      <c r="D118" s="441">
        <f t="shared" ref="D118:G118" si="21">SUM(D10:D22)</f>
        <v>166161585.34620956</v>
      </c>
      <c r="E118" s="441">
        <f t="shared" si="21"/>
        <v>166161585.34620956</v>
      </c>
      <c r="F118" s="441">
        <f t="shared" si="21"/>
        <v>166161585.34620956</v>
      </c>
      <c r="G118" s="524">
        <f t="shared" si="21"/>
        <v>166161585.34620956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2:27" ht="12.75" customHeight="1">
      <c r="B119" s="89"/>
      <c r="C119" s="441"/>
      <c r="D119" s="441"/>
      <c r="E119" s="441"/>
      <c r="F119" s="441"/>
      <c r="G119" s="524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2:27" ht="12.75" customHeight="1">
      <c r="B120" s="92" t="s">
        <v>563</v>
      </c>
      <c r="C120" s="441">
        <f>SUM(C116:C118)</f>
        <v>1437678368.0787096</v>
      </c>
      <c r="D120" s="441">
        <f>SUM(D116:D118)</f>
        <v>1357221310.7862096</v>
      </c>
      <c r="E120" s="441">
        <f t="shared" ref="E120:G120" si="22">SUM(E116:E118)</f>
        <v>1357221310.7862096</v>
      </c>
      <c r="F120" s="441">
        <f t="shared" si="22"/>
        <v>1357221310.7862096</v>
      </c>
      <c r="G120" s="524">
        <f t="shared" si="22"/>
        <v>1357221310.7862096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2:27" ht="12.75" customHeight="1">
      <c r="B121" s="89"/>
      <c r="C121" s="441"/>
      <c r="D121" s="441"/>
      <c r="E121" s="441"/>
      <c r="F121" s="441"/>
      <c r="G121" s="52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2:27" ht="12.75" customHeight="1">
      <c r="B122" s="89" t="s">
        <v>532</v>
      </c>
      <c r="C122" s="441"/>
      <c r="D122" s="441"/>
      <c r="E122" s="441"/>
      <c r="F122" s="441"/>
      <c r="G122" s="52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2:27" ht="12.75" customHeight="1">
      <c r="B123" s="93" t="s">
        <v>357</v>
      </c>
      <c r="C123" s="441">
        <f>H45</f>
        <v>61462543.579946376</v>
      </c>
      <c r="D123" s="441">
        <v>0</v>
      </c>
      <c r="E123" s="441">
        <v>0</v>
      </c>
      <c r="F123" s="441">
        <v>0</v>
      </c>
      <c r="G123" s="524">
        <v>0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2:27" ht="12.75" customHeight="1">
      <c r="B124" s="93" t="s">
        <v>564</v>
      </c>
      <c r="C124" s="441">
        <f>C45</f>
        <v>19961519.217785828</v>
      </c>
      <c r="D124" s="441">
        <f t="shared" ref="D124:G124" si="23">D45-C45</f>
        <v>-1136564.1122959927</v>
      </c>
      <c r="E124" s="441">
        <f t="shared" si="23"/>
        <v>0</v>
      </c>
      <c r="F124" s="441">
        <f t="shared" si="23"/>
        <v>0</v>
      </c>
      <c r="G124" s="441">
        <f t="shared" si="23"/>
        <v>0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2:27" ht="12.75" customHeight="1">
      <c r="B125" s="89"/>
      <c r="C125" s="441"/>
      <c r="D125" s="441"/>
      <c r="E125" s="441"/>
      <c r="F125" s="441"/>
      <c r="G125" s="52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2:27" ht="12.75" customHeight="1">
      <c r="B126" s="92" t="s">
        <v>565</v>
      </c>
      <c r="C126" s="441">
        <f>C120-C123-C124</f>
        <v>1356254305.2809775</v>
      </c>
      <c r="D126" s="441">
        <f>D120-D123-D124</f>
        <v>1358357874.8985057</v>
      </c>
      <c r="E126" s="441">
        <f t="shared" ref="E126:G126" si="24">E120-E123-E124</f>
        <v>1357221310.7862096</v>
      </c>
      <c r="F126" s="441">
        <f t="shared" si="24"/>
        <v>1357221310.7862096</v>
      </c>
      <c r="G126" s="441">
        <f t="shared" si="24"/>
        <v>1357221310.7862096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2:27" ht="12.75" customHeight="1">
      <c r="B127" s="93" t="s">
        <v>566</v>
      </c>
      <c r="C127" s="525">
        <f>'InfoInicial-CálcAux'!L14</f>
        <v>1617000</v>
      </c>
      <c r="D127" s="525">
        <f>'InfoInicial-CálcAux'!$M$14</f>
        <v>1890000</v>
      </c>
      <c r="E127" s="525">
        <f>'InfoInicial-CálcAux'!$M$14</f>
        <v>1890000</v>
      </c>
      <c r="F127" s="525">
        <f>'InfoInicial-CálcAux'!$M$14</f>
        <v>1890000</v>
      </c>
      <c r="G127" s="525">
        <f>'InfoInicial-CálcAux'!$M$14</f>
        <v>1890000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2:27" ht="12.75" customHeight="1">
      <c r="B128" s="89" t="s">
        <v>567</v>
      </c>
      <c r="C128" s="441">
        <f>C126/C127</f>
        <v>838.74725125601572</v>
      </c>
      <c r="D128" s="441">
        <f t="shared" ref="D128:G128" si="25">D126/D127</f>
        <v>718.70787031666964</v>
      </c>
      <c r="E128" s="441">
        <f t="shared" si="25"/>
        <v>718.10651364349712</v>
      </c>
      <c r="F128" s="441">
        <f t="shared" si="25"/>
        <v>718.10651364349712</v>
      </c>
      <c r="G128" s="441">
        <f t="shared" si="25"/>
        <v>718.10651364349712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2:27" ht="12.75" customHeight="1">
      <c r="B129" s="89"/>
      <c r="C129" s="525"/>
      <c r="D129" s="525"/>
      <c r="E129" s="525"/>
      <c r="F129" s="525"/>
      <c r="G129" s="526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2:27" ht="12.75" customHeight="1">
      <c r="B130" s="89" t="s">
        <v>532</v>
      </c>
      <c r="C130" s="525"/>
      <c r="D130" s="525"/>
      <c r="E130" s="525"/>
      <c r="F130" s="525"/>
      <c r="G130" s="526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2:27" ht="12.75" customHeight="1">
      <c r="B131" s="89" t="s">
        <v>568</v>
      </c>
      <c r="C131" s="441">
        <f>'CA COSTOS'!M99</f>
        <v>1446184.7855606475</v>
      </c>
      <c r="D131" s="441">
        <f>'CA COSTOS'!N99</f>
        <v>-206974.30140323937</v>
      </c>
      <c r="E131" s="441">
        <f>'CA COSTOS'!O99</f>
        <v>-1036.8712030174211</v>
      </c>
      <c r="F131" s="441">
        <f>'CA COSTOS'!P99</f>
        <v>0</v>
      </c>
      <c r="G131" s="441">
        <f>'CA COSTOS'!Q99</f>
        <v>0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2:27" ht="12.75" customHeight="1">
      <c r="B132" s="89"/>
      <c r="C132" s="525"/>
      <c r="D132" s="525"/>
      <c r="E132" s="525"/>
      <c r="F132" s="525"/>
      <c r="G132" s="526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2:27" ht="12.75" customHeight="1">
      <c r="B133" s="92" t="s">
        <v>569</v>
      </c>
      <c r="C133" s="441">
        <f>C126-C131</f>
        <v>1354808120.4954169</v>
      </c>
      <c r="D133" s="441">
        <f t="shared" ref="D133:G133" si="26">D126-D131</f>
        <v>1358564849.199909</v>
      </c>
      <c r="E133" s="441">
        <f t="shared" si="26"/>
        <v>1357222347.6574125</v>
      </c>
      <c r="F133" s="441">
        <f t="shared" si="26"/>
        <v>1357221310.7862096</v>
      </c>
      <c r="G133" s="441">
        <f t="shared" si="26"/>
        <v>1357221310.7862096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2:27" ht="12.75" customHeight="1">
      <c r="B134" s="89"/>
      <c r="C134" s="441"/>
      <c r="D134" s="441"/>
      <c r="E134" s="441"/>
      <c r="F134" s="441"/>
      <c r="G134" s="524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2:27" ht="12.75" customHeight="1">
      <c r="B135" s="92" t="s">
        <v>570</v>
      </c>
      <c r="C135" s="441">
        <f t="shared" ref="C135:G135" si="27">C77</f>
        <v>6682706.6499899188</v>
      </c>
      <c r="D135" s="441">
        <f t="shared" si="27"/>
        <v>6623167.6337399185</v>
      </c>
      <c r="E135" s="441">
        <f t="shared" si="27"/>
        <v>6623167.6337399185</v>
      </c>
      <c r="F135" s="441">
        <f t="shared" si="27"/>
        <v>6623167.6337399185</v>
      </c>
      <c r="G135" s="441">
        <f t="shared" si="27"/>
        <v>6623167.6337399185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2:27" ht="12.75" customHeight="1">
      <c r="B136" s="92" t="s">
        <v>571</v>
      </c>
      <c r="C136" s="525">
        <f t="shared" ref="C136:G136" si="28">C98</f>
        <v>53711453.148989916</v>
      </c>
      <c r="D136" s="525">
        <f t="shared" si="28"/>
        <v>71512414.132739916</v>
      </c>
      <c r="E136" s="525">
        <f t="shared" si="28"/>
        <v>71512414.132739916</v>
      </c>
      <c r="F136" s="525">
        <f t="shared" si="28"/>
        <v>71512414.132739916</v>
      </c>
      <c r="G136" s="525">
        <f t="shared" si="28"/>
        <v>71512414.132739916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2:27" ht="12.75" customHeight="1">
      <c r="B137" s="89"/>
      <c r="C137" s="525"/>
      <c r="D137" s="525"/>
      <c r="E137" s="525"/>
      <c r="F137" s="525"/>
      <c r="G137" s="526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2:27" ht="12.75" customHeight="1">
      <c r="B138" s="92" t="s">
        <v>572</v>
      </c>
      <c r="C138" s="525">
        <f>C133+C135+C136</f>
        <v>1415202280.2943966</v>
      </c>
      <c r="D138" s="525">
        <f t="shared" ref="D138:F138" si="29">D133+D135+D136</f>
        <v>1436700430.9663889</v>
      </c>
      <c r="E138" s="525">
        <f t="shared" si="29"/>
        <v>1435357929.4238925</v>
      </c>
      <c r="F138" s="525">
        <f t="shared" si="29"/>
        <v>1435356892.5526896</v>
      </c>
      <c r="G138" s="525">
        <f>G133+G135+G136</f>
        <v>1435356892.5526896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2:27" ht="12.75" customHeight="1">
      <c r="B139" s="89"/>
      <c r="C139" s="525"/>
      <c r="D139" s="525"/>
      <c r="E139" s="525"/>
      <c r="F139" s="525"/>
      <c r="G139" s="526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2:27" ht="12.75" customHeight="1">
      <c r="B140" s="92" t="s">
        <v>573</v>
      </c>
      <c r="C140" s="525">
        <f>C138/C127</f>
        <v>875.20239968732017</v>
      </c>
      <c r="D140" s="525">
        <f t="shared" ref="D140:G140" si="30">D138/D127</f>
        <v>760.15895818327454</v>
      </c>
      <c r="E140" s="525">
        <f t="shared" si="30"/>
        <v>759.44863990682143</v>
      </c>
      <c r="F140" s="525">
        <f t="shared" si="30"/>
        <v>759.44809129771932</v>
      </c>
      <c r="G140" s="525">
        <f t="shared" si="30"/>
        <v>759.44809129771932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2:27" ht="12.75" customHeight="1">
      <c r="B141" s="89"/>
      <c r="C141" s="525"/>
      <c r="D141" s="525"/>
      <c r="E141" s="525"/>
      <c r="F141" s="525"/>
      <c r="G141" s="526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2:27" ht="12.75" customHeight="1">
      <c r="B142" s="92" t="s">
        <v>574</v>
      </c>
      <c r="C142" s="525">
        <f>C114-C138</f>
        <v>2297719.7056033611</v>
      </c>
      <c r="D142" s="525">
        <f>D114-D138</f>
        <v>547799569.03361106</v>
      </c>
      <c r="E142" s="525">
        <f t="shared" ref="E142:G142" si="31">E114-E138</f>
        <v>549142070.5761075</v>
      </c>
      <c r="F142" s="525">
        <f t="shared" si="31"/>
        <v>549143107.44731045</v>
      </c>
      <c r="G142" s="525">
        <f t="shared" si="31"/>
        <v>549143107.44731045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2:27" ht="12.75" customHeight="1">
      <c r="B143" s="92" t="s">
        <v>61</v>
      </c>
      <c r="C143" s="525">
        <f>C142*InfoInicial!$B$5</f>
        <v>160840.37939223531</v>
      </c>
      <c r="D143" s="525">
        <f>D142*InfoInicial!$B$5</f>
        <v>38345969.83235278</v>
      </c>
      <c r="E143" s="525">
        <f>E142*InfoInicial!$B$5</f>
        <v>38439944.940327525</v>
      </c>
      <c r="F143" s="525">
        <f>F142*InfoInicial!$B$5</f>
        <v>38440017.521311738</v>
      </c>
      <c r="G143" s="525">
        <f>G142*InfoInicial!$B$5</f>
        <v>38440017.521311738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2:27" ht="12.75" customHeight="1">
      <c r="B144" s="94" t="s">
        <v>575</v>
      </c>
      <c r="C144" s="525">
        <f>(C142-C143)*InfoInicial!$B$4</f>
        <v>747907.76417389396</v>
      </c>
      <c r="D144" s="525">
        <f>(D142-D143)*InfoInicial!$B$4</f>
        <v>178308759.72044039</v>
      </c>
      <c r="E144" s="525">
        <f>(E142-E143)*InfoInicial!$B$4</f>
        <v>178745743.97252297</v>
      </c>
      <c r="F144" s="525">
        <f>(F142-F143)*InfoInicial!$B$4</f>
        <v>178746081.47409952</v>
      </c>
      <c r="G144" s="525">
        <f>(G142-G143)*InfoInicial!$B$4</f>
        <v>178746081.47409952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2:27" ht="12.75" customHeight="1">
      <c r="B145" s="92"/>
      <c r="C145" s="525"/>
      <c r="D145" s="525"/>
      <c r="E145" s="525"/>
      <c r="F145" s="525"/>
      <c r="G145" s="526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2:27" ht="12.75" customHeight="1">
      <c r="B146" s="94" t="s">
        <v>576</v>
      </c>
      <c r="C146" s="525">
        <f>C142-C143-C144</f>
        <v>1388971.5620372316</v>
      </c>
      <c r="D146" s="525">
        <f t="shared" ref="D146:G146" si="32">D142-D143-D144</f>
        <v>331144839.48081791</v>
      </c>
      <c r="E146" s="525">
        <f t="shared" si="32"/>
        <v>331956381.663257</v>
      </c>
      <c r="F146" s="525">
        <f t="shared" si="32"/>
        <v>331957008.45189917</v>
      </c>
      <c r="G146" s="525">
        <f t="shared" si="32"/>
        <v>331957008.45189917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2:27" ht="12.75" customHeight="1">
      <c r="B147" s="92" t="s">
        <v>577</v>
      </c>
      <c r="C147" s="527">
        <f>C146/C114</f>
        <v>9.798741178393168E-4</v>
      </c>
      <c r="D147" s="527">
        <f t="shared" ref="D147:G147" si="33">D146/D114</f>
        <v>0.16686562836020052</v>
      </c>
      <c r="E147" s="527">
        <f t="shared" si="33"/>
        <v>0.16727456873935853</v>
      </c>
      <c r="F147" s="527">
        <f t="shared" si="33"/>
        <v>0.16727488458145587</v>
      </c>
      <c r="G147" s="527">
        <f t="shared" si="33"/>
        <v>0.16727488458145587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2:27" ht="12.75" customHeight="1">
      <c r="B148" s="92"/>
      <c r="C148" s="527"/>
      <c r="D148" s="527"/>
      <c r="E148" s="527"/>
      <c r="F148" s="527"/>
      <c r="G148" s="528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2:27" ht="12.75" customHeight="1">
      <c r="B149" s="92" t="s">
        <v>578</v>
      </c>
      <c r="C149" s="527"/>
      <c r="D149" s="527"/>
      <c r="E149" s="527"/>
      <c r="F149" s="527"/>
      <c r="G149" s="528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2:27" ht="12.75" customHeight="1">
      <c r="B150" s="94" t="s">
        <v>579</v>
      </c>
      <c r="C150" s="458">
        <f t="shared" ref="C150:G150" si="34">C146</f>
        <v>1388971.5620372316</v>
      </c>
      <c r="D150" s="458">
        <f t="shared" si="34"/>
        <v>331144839.48081791</v>
      </c>
      <c r="E150" s="458">
        <f t="shared" si="34"/>
        <v>331956381.663257</v>
      </c>
      <c r="F150" s="458">
        <f t="shared" si="34"/>
        <v>331957008.45189917</v>
      </c>
      <c r="G150" s="458">
        <f t="shared" si="34"/>
        <v>331957008.45189917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2:27" ht="12.75" customHeight="1">
      <c r="B151" s="92" t="s">
        <v>580</v>
      </c>
      <c r="C151" s="529">
        <f>'CA COSTOS'!D44</f>
        <v>66625514.154095128</v>
      </c>
      <c r="D151" s="529">
        <f>'CA COSTOS'!E44</f>
        <v>66625514.154095128</v>
      </c>
      <c r="E151" s="529">
        <f>'CA COSTOS'!F44</f>
        <v>66625514.154095128</v>
      </c>
      <c r="F151" s="529">
        <f>'CA COSTOS'!G44</f>
        <v>66625514.154095128</v>
      </c>
      <c r="G151" s="529">
        <f>'CA COSTOS'!H44</f>
        <v>66625514.154095128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2:27" ht="12.75" customHeight="1">
      <c r="B152" s="95" t="s">
        <v>188</v>
      </c>
      <c r="C152" s="458">
        <f>C150+C151</f>
        <v>68014485.716132358</v>
      </c>
      <c r="D152" s="458">
        <f t="shared" ref="D152:G152" si="35">D150+D151</f>
        <v>397770353.63491303</v>
      </c>
      <c r="E152" s="458">
        <f t="shared" si="35"/>
        <v>398581895.81735212</v>
      </c>
      <c r="F152" s="458">
        <f t="shared" si="35"/>
        <v>398582522.60599428</v>
      </c>
      <c r="G152" s="458">
        <f t="shared" si="35"/>
        <v>398582522.60599428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2:27" ht="12.75" customHeight="1">
      <c r="B153" s="92"/>
      <c r="C153" s="458"/>
      <c r="D153" s="458"/>
      <c r="E153" s="458"/>
      <c r="F153" s="458"/>
      <c r="G153" s="530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2:27" ht="12.75" customHeight="1">
      <c r="B154" s="92" t="s">
        <v>581</v>
      </c>
      <c r="C154" s="458">
        <f>C23*C25</f>
        <v>73260174.490455404</v>
      </c>
      <c r="D154" s="458">
        <f t="shared" ref="D154:G154" si="36">D23*D25</f>
        <v>73260174.490455404</v>
      </c>
      <c r="E154" s="458">
        <f t="shared" si="36"/>
        <v>73260174.490455404</v>
      </c>
      <c r="F154" s="458">
        <f t="shared" si="36"/>
        <v>73260174.490455404</v>
      </c>
      <c r="G154" s="458">
        <f t="shared" si="36"/>
        <v>73260174.490455404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2:27" ht="12.75" customHeight="1">
      <c r="B155" s="94" t="s">
        <v>582</v>
      </c>
      <c r="C155" s="458">
        <f>C23*C26</f>
        <v>1364418193.5882542</v>
      </c>
      <c r="D155" s="458">
        <f t="shared" ref="D155:G155" si="37">D23*D26</f>
        <v>1283961136.2957544</v>
      </c>
      <c r="E155" s="458">
        <f t="shared" si="37"/>
        <v>1283961136.2957544</v>
      </c>
      <c r="F155" s="458">
        <f t="shared" si="37"/>
        <v>1283961136.2957544</v>
      </c>
      <c r="G155" s="458">
        <f t="shared" si="37"/>
        <v>1283961136.2957544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2:27" ht="12.75" customHeight="1">
      <c r="B156" s="92" t="s">
        <v>583</v>
      </c>
      <c r="C156" s="458">
        <f t="shared" ref="C156:G156" si="38">C79*C77</f>
        <v>6475591.5333307572</v>
      </c>
      <c r="D156" s="458">
        <f t="shared" si="38"/>
        <v>6416052.5170807568</v>
      </c>
      <c r="E156" s="458">
        <f t="shared" si="38"/>
        <v>6416052.5170807568</v>
      </c>
      <c r="F156" s="458">
        <f t="shared" si="38"/>
        <v>6416052.5170807568</v>
      </c>
      <c r="G156" s="458">
        <f t="shared" si="38"/>
        <v>6416052.5170807568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2:27" ht="12.75" customHeight="1">
      <c r="B157" s="94" t="s">
        <v>584</v>
      </c>
      <c r="C157" s="458">
        <f t="shared" ref="C157:G157" si="39">C80*C77</f>
        <v>207115.11665916175</v>
      </c>
      <c r="D157" s="458">
        <f t="shared" si="39"/>
        <v>207115.11665916175</v>
      </c>
      <c r="E157" s="458">
        <f t="shared" si="39"/>
        <v>207115.11665916175</v>
      </c>
      <c r="F157" s="458">
        <f t="shared" si="39"/>
        <v>207115.11665916175</v>
      </c>
      <c r="G157" s="458">
        <f t="shared" si="39"/>
        <v>207115.11665916175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2:27" ht="12.75" customHeight="1">
      <c r="B158" s="92" t="s">
        <v>585</v>
      </c>
      <c r="C158" s="458">
        <f t="shared" ref="C158:G158" si="40">C100*C98</f>
        <v>48417764.903799921</v>
      </c>
      <c r="D158" s="458">
        <f t="shared" si="40"/>
        <v>65371061.078799918</v>
      </c>
      <c r="E158" s="458">
        <f t="shared" si="40"/>
        <v>65371061.078799918</v>
      </c>
      <c r="F158" s="458">
        <f t="shared" si="40"/>
        <v>65371061.078799918</v>
      </c>
      <c r="G158" s="458">
        <f t="shared" si="40"/>
        <v>65371061.078799918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2:27" ht="12.75" customHeight="1">
      <c r="B159" s="94" t="s">
        <v>586</v>
      </c>
      <c r="C159" s="458">
        <f t="shared" ref="C159:G159" si="41">C101*C98</f>
        <v>5293688.2451899964</v>
      </c>
      <c r="D159" s="458">
        <f t="shared" si="41"/>
        <v>6141353.0539399963</v>
      </c>
      <c r="E159" s="458">
        <f t="shared" si="41"/>
        <v>6141353.0539399963</v>
      </c>
      <c r="F159" s="458">
        <f t="shared" si="41"/>
        <v>6141353.0539399963</v>
      </c>
      <c r="G159" s="458">
        <f t="shared" si="41"/>
        <v>6141353.0539399963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2:27" ht="12.75" customHeight="1">
      <c r="B160" s="92" t="s">
        <v>587</v>
      </c>
      <c r="C160" s="458">
        <f>C114-C155-C157-C159</f>
        <v>47581003.049896628</v>
      </c>
      <c r="D160" s="458">
        <f>D114-D155-D157-D159</f>
        <v>694190395.53364646</v>
      </c>
      <c r="E160" s="458">
        <f t="shared" ref="E160:G160" si="42">E114-E155-E157-E159</f>
        <v>694190395.53364646</v>
      </c>
      <c r="F160" s="458">
        <f t="shared" si="42"/>
        <v>694190395.53364646</v>
      </c>
      <c r="G160" s="458">
        <f t="shared" si="42"/>
        <v>694190395.53364646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2:27" ht="12.75" customHeight="1">
      <c r="B161" s="96" t="s">
        <v>588</v>
      </c>
      <c r="C161" s="531">
        <f>(C154+C156+C158)/C160</f>
        <v>2.6933759843859471</v>
      </c>
      <c r="D161" s="531">
        <f t="shared" ref="D161:F161" si="43">(D154+D156+D158)/D160</f>
        <v>0.20894453311304251</v>
      </c>
      <c r="E161" s="531">
        <f t="shared" si="43"/>
        <v>0.20894453311304251</v>
      </c>
      <c r="F161" s="531">
        <f t="shared" si="43"/>
        <v>0.20894453311304251</v>
      </c>
      <c r="G161" s="531">
        <f>(G154+G156+G158)/G160</f>
        <v>0.20894453311304251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2:27" ht="19.5" customHeight="1">
      <c r="B162" s="97" t="s">
        <v>589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2:27" ht="12.7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2:27" ht="12.75" customHeight="1">
      <c r="B164" s="98" t="s">
        <v>2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2:27" ht="12.75" customHeight="1">
      <c r="B165" s="99" t="s">
        <v>590</v>
      </c>
      <c r="C165" s="532" t="s">
        <v>591</v>
      </c>
      <c r="D165" s="532" t="s">
        <v>592</v>
      </c>
      <c r="E165" s="532" t="s">
        <v>593</v>
      </c>
      <c r="F165" s="532" t="s">
        <v>594</v>
      </c>
      <c r="G165" s="532" t="s">
        <v>595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2:27" ht="12.75" customHeight="1">
      <c r="B166" s="100">
        <f>C114</f>
        <v>1417500000</v>
      </c>
      <c r="C166" s="533">
        <v>0</v>
      </c>
      <c r="D166" s="534" t="s">
        <v>596</v>
      </c>
      <c r="E166" s="441">
        <f>$C$154+$C$156+$C$158</f>
        <v>128153530.92758608</v>
      </c>
      <c r="F166" s="441">
        <f t="shared" ref="F166:F185" si="44">$F$186*C166</f>
        <v>0</v>
      </c>
      <c r="G166" s="441">
        <f>E166+F166</f>
        <v>128153530.92758608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2:27" ht="12.75" customHeight="1">
      <c r="B167" s="3"/>
      <c r="C167" s="533">
        <v>0.05</v>
      </c>
      <c r="D167" s="534">
        <f>C167*$B$166</f>
        <v>70875000</v>
      </c>
      <c r="E167" s="441">
        <f>$C$154+$C$156+$C$158</f>
        <v>128153530.92758608</v>
      </c>
      <c r="F167" s="441">
        <f>$F$186*C167</f>
        <v>68495949.847505167</v>
      </c>
      <c r="G167" s="441">
        <f t="shared" ref="G167:G186" si="45">E167+F167</f>
        <v>196649480.77509123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2:27" ht="12.75" customHeight="1">
      <c r="B168" s="3"/>
      <c r="C168" s="533">
        <v>0.1</v>
      </c>
      <c r="D168" s="534">
        <f t="shared" ref="D168:D186" si="46">C168*$B$166</f>
        <v>141750000</v>
      </c>
      <c r="E168" s="441">
        <f t="shared" ref="E168:E186" si="47">$C$154+$C$156+$C$158</f>
        <v>128153530.92758608</v>
      </c>
      <c r="F168" s="441">
        <f>$F$186*C168</f>
        <v>136991899.69501033</v>
      </c>
      <c r="G168" s="441">
        <f t="shared" si="45"/>
        <v>265145430.62259641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2:27" ht="12.75" customHeight="1">
      <c r="B169" s="3"/>
      <c r="C169" s="533">
        <v>0.15</v>
      </c>
      <c r="D169" s="534">
        <f t="shared" si="46"/>
        <v>212625000</v>
      </c>
      <c r="E169" s="441">
        <f>$C$154+$C$156+$C$158</f>
        <v>128153530.92758608</v>
      </c>
      <c r="F169" s="441">
        <f t="shared" si="44"/>
        <v>205487849.54251549</v>
      </c>
      <c r="G169" s="441">
        <f t="shared" si="45"/>
        <v>333641380.47010159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2:27" ht="12.75" customHeight="1">
      <c r="B170" s="3"/>
      <c r="C170" s="533">
        <v>0.2</v>
      </c>
      <c r="D170" s="534">
        <f>C170*$B$166</f>
        <v>283500000</v>
      </c>
      <c r="E170" s="441">
        <f t="shared" si="47"/>
        <v>128153530.92758608</v>
      </c>
      <c r="F170" s="441">
        <f t="shared" si="44"/>
        <v>273983799.39002067</v>
      </c>
      <c r="G170" s="441">
        <f>E170+F170</f>
        <v>402137330.31760675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2:27" ht="12.75" customHeight="1">
      <c r="B171" s="3"/>
      <c r="C171" s="533">
        <v>0.25</v>
      </c>
      <c r="D171" s="534">
        <f t="shared" si="46"/>
        <v>354375000</v>
      </c>
      <c r="E171" s="441">
        <f t="shared" si="47"/>
        <v>128153530.92758608</v>
      </c>
      <c r="F171" s="441">
        <f t="shared" si="44"/>
        <v>342479749.23752582</v>
      </c>
      <c r="G171" s="441">
        <f t="shared" si="45"/>
        <v>470633280.1651119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2:27" ht="12.75" customHeight="1">
      <c r="B172" s="3"/>
      <c r="C172" s="533">
        <v>0.3</v>
      </c>
      <c r="D172" s="534">
        <f t="shared" si="46"/>
        <v>425250000</v>
      </c>
      <c r="E172" s="441">
        <f t="shared" si="47"/>
        <v>128153530.92758608</v>
      </c>
      <c r="F172" s="441">
        <f t="shared" si="44"/>
        <v>410975699.08503097</v>
      </c>
      <c r="G172" s="441">
        <f t="shared" si="45"/>
        <v>539129230.01261711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2:27" ht="12.75" customHeight="1">
      <c r="B173" s="3"/>
      <c r="C173" s="533">
        <v>0.35</v>
      </c>
      <c r="D173" s="534">
        <f t="shared" si="46"/>
        <v>496124999.99999994</v>
      </c>
      <c r="E173" s="441">
        <f t="shared" si="47"/>
        <v>128153530.92758608</v>
      </c>
      <c r="F173" s="441">
        <f t="shared" si="44"/>
        <v>479471648.93253613</v>
      </c>
      <c r="G173" s="441">
        <f>E173+F173</f>
        <v>607625179.8601222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2:27" ht="12.75" customHeight="1">
      <c r="B174" s="3"/>
      <c r="C174" s="533">
        <v>0.4</v>
      </c>
      <c r="D174" s="534">
        <f t="shared" si="46"/>
        <v>567000000</v>
      </c>
      <c r="E174" s="441">
        <f t="shared" si="47"/>
        <v>128153530.92758608</v>
      </c>
      <c r="F174" s="441">
        <f t="shared" si="44"/>
        <v>547967598.78004134</v>
      </c>
      <c r="G174" s="441">
        <f t="shared" si="45"/>
        <v>676121129.70762742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2:27" ht="12.75" customHeight="1">
      <c r="B175" s="3"/>
      <c r="C175" s="533">
        <v>0.45</v>
      </c>
      <c r="D175" s="534">
        <f t="shared" si="46"/>
        <v>637875000</v>
      </c>
      <c r="E175" s="441">
        <f t="shared" si="47"/>
        <v>128153530.92758608</v>
      </c>
      <c r="F175" s="441">
        <f t="shared" si="44"/>
        <v>616463548.62754655</v>
      </c>
      <c r="G175" s="441">
        <f t="shared" si="45"/>
        <v>744617079.55513263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2:27" ht="12.75" customHeight="1">
      <c r="B176" s="3"/>
      <c r="C176" s="533">
        <v>0.5</v>
      </c>
      <c r="D176" s="534">
        <f t="shared" si="46"/>
        <v>708750000</v>
      </c>
      <c r="E176" s="441">
        <f t="shared" si="47"/>
        <v>128153530.92758608</v>
      </c>
      <c r="F176" s="441">
        <f t="shared" si="44"/>
        <v>684959498.47505164</v>
      </c>
      <c r="G176" s="441">
        <f t="shared" si="45"/>
        <v>813113029.40263772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2:27" ht="12.75" customHeight="1">
      <c r="B177" s="3"/>
      <c r="C177" s="533">
        <v>0.55000000000000004</v>
      </c>
      <c r="D177" s="534">
        <f t="shared" si="46"/>
        <v>779625000.00000012</v>
      </c>
      <c r="E177" s="441">
        <f t="shared" si="47"/>
        <v>128153530.92758608</v>
      </c>
      <c r="F177" s="441">
        <f t="shared" si="44"/>
        <v>753455448.32255685</v>
      </c>
      <c r="G177" s="441">
        <f>E177+F177</f>
        <v>881608979.25014293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2:27" ht="12.75" customHeight="1">
      <c r="B178" s="3"/>
      <c r="C178" s="533">
        <v>0.6</v>
      </c>
      <c r="D178" s="534">
        <f t="shared" si="46"/>
        <v>850500000</v>
      </c>
      <c r="E178" s="441">
        <f t="shared" si="47"/>
        <v>128153530.92758608</v>
      </c>
      <c r="F178" s="441">
        <f t="shared" si="44"/>
        <v>821951398.17006195</v>
      </c>
      <c r="G178" s="441">
        <f t="shared" si="45"/>
        <v>950104929.09764802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2:27" ht="12.75" customHeight="1">
      <c r="B179" s="3"/>
      <c r="C179" s="533">
        <v>0.65</v>
      </c>
      <c r="D179" s="534">
        <f t="shared" si="46"/>
        <v>921375000</v>
      </c>
      <c r="E179" s="441">
        <f t="shared" si="47"/>
        <v>128153530.92758608</v>
      </c>
      <c r="F179" s="441">
        <f t="shared" si="44"/>
        <v>890447348.01756716</v>
      </c>
      <c r="G179" s="441">
        <f t="shared" si="45"/>
        <v>1018600878.9451532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2:27" ht="12.75" customHeight="1">
      <c r="B180" s="3"/>
      <c r="C180" s="533">
        <v>0.7</v>
      </c>
      <c r="D180" s="534">
        <f t="shared" si="46"/>
        <v>992249999.99999988</v>
      </c>
      <c r="E180" s="441">
        <f t="shared" si="47"/>
        <v>128153530.92758608</v>
      </c>
      <c r="F180" s="441">
        <f t="shared" si="44"/>
        <v>958943297.86507225</v>
      </c>
      <c r="G180" s="441">
        <f t="shared" si="45"/>
        <v>1087096828.7926583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2:27" ht="12.75" customHeight="1">
      <c r="B181" s="3"/>
      <c r="C181" s="533">
        <v>0.75</v>
      </c>
      <c r="D181" s="534">
        <f t="shared" si="46"/>
        <v>1063125000</v>
      </c>
      <c r="E181" s="441">
        <f t="shared" si="47"/>
        <v>128153530.92758608</v>
      </c>
      <c r="F181" s="441">
        <f>$F$186*C181</f>
        <v>1027439247.7125775</v>
      </c>
      <c r="G181" s="441">
        <f t="shared" si="45"/>
        <v>1155592778.6401634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2:27" ht="12.75" customHeight="1">
      <c r="B182" s="3"/>
      <c r="C182" s="533">
        <v>0.8</v>
      </c>
      <c r="D182" s="534">
        <f t="shared" si="46"/>
        <v>1134000000</v>
      </c>
      <c r="E182" s="441">
        <f t="shared" si="47"/>
        <v>128153530.92758608</v>
      </c>
      <c r="F182" s="441">
        <f t="shared" si="44"/>
        <v>1095935197.5600827</v>
      </c>
      <c r="G182" s="441">
        <f t="shared" si="45"/>
        <v>1224088728.4876688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2:27" ht="12.75" customHeight="1">
      <c r="B183" s="3"/>
      <c r="C183" s="533">
        <v>0.85</v>
      </c>
      <c r="D183" s="534">
        <f t="shared" si="46"/>
        <v>1204875000</v>
      </c>
      <c r="E183" s="441">
        <f t="shared" si="47"/>
        <v>128153530.92758608</v>
      </c>
      <c r="F183" s="441">
        <f t="shared" si="44"/>
        <v>1164431147.4075878</v>
      </c>
      <c r="G183" s="441">
        <f t="shared" si="45"/>
        <v>1292584678.3351738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2:27" ht="12.75" customHeight="1">
      <c r="B184" s="3"/>
      <c r="C184" s="533">
        <v>0.9</v>
      </c>
      <c r="D184" s="534">
        <f t="shared" si="46"/>
        <v>1275750000</v>
      </c>
      <c r="E184" s="441">
        <f t="shared" si="47"/>
        <v>128153530.92758608</v>
      </c>
      <c r="F184" s="441">
        <f t="shared" si="44"/>
        <v>1232927097.2550931</v>
      </c>
      <c r="G184" s="441">
        <f t="shared" si="45"/>
        <v>1361080628.1826792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2:27" ht="12.75" customHeight="1">
      <c r="B185" s="3"/>
      <c r="C185" s="533">
        <v>0.95</v>
      </c>
      <c r="D185" s="534">
        <f t="shared" si="46"/>
        <v>1346625000</v>
      </c>
      <c r="E185" s="441">
        <f t="shared" si="47"/>
        <v>128153530.92758608</v>
      </c>
      <c r="F185" s="441">
        <f t="shared" si="44"/>
        <v>1301423047.102598</v>
      </c>
      <c r="G185" s="441">
        <f t="shared" si="45"/>
        <v>1429576578.030184</v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2:27" ht="12.75" customHeight="1">
      <c r="B186" s="3"/>
      <c r="C186" s="533">
        <v>1</v>
      </c>
      <c r="D186" s="534">
        <f t="shared" si="46"/>
        <v>1417500000</v>
      </c>
      <c r="E186" s="441">
        <f t="shared" si="47"/>
        <v>128153530.92758608</v>
      </c>
      <c r="F186" s="441">
        <f>C155+C157+C159</f>
        <v>1369918996.9501033</v>
      </c>
      <c r="G186" s="441">
        <f t="shared" si="45"/>
        <v>1498072527.8776894</v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2:27" ht="12.7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2:27" ht="12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2:27" ht="12.75" customHeight="1">
      <c r="B189" s="98" t="s">
        <v>6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2:27" ht="12.75" customHeight="1">
      <c r="B190" s="99" t="s">
        <v>590</v>
      </c>
      <c r="C190" s="532" t="s">
        <v>591</v>
      </c>
      <c r="D190" s="532" t="s">
        <v>592</v>
      </c>
      <c r="E190" s="532" t="s">
        <v>593</v>
      </c>
      <c r="F190" s="532" t="s">
        <v>594</v>
      </c>
      <c r="G190" s="532" t="s">
        <v>595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2:27" ht="12.75" customHeight="1">
      <c r="B191" s="100">
        <f>G114</f>
        <v>1984500000</v>
      </c>
      <c r="C191" s="533">
        <v>0</v>
      </c>
      <c r="D191" s="534">
        <f t="shared" ref="D191:D211" si="48">C191*$B$191</f>
        <v>0</v>
      </c>
      <c r="E191" s="441">
        <f>$G$154+$G$156+$G$158</f>
        <v>145047288.08633608</v>
      </c>
      <c r="F191" s="441">
        <f t="shared" ref="F191:F210" si="49">$F$211*C191</f>
        <v>0</v>
      </c>
      <c r="G191" s="441">
        <f>E191+F191</f>
        <v>145047288.08633608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2:27" ht="12.75" customHeight="1">
      <c r="B192" s="3"/>
      <c r="C192" s="533">
        <v>0.05</v>
      </c>
      <c r="D192" s="534">
        <f t="shared" si="48"/>
        <v>99225000</v>
      </c>
      <c r="E192" s="441">
        <f t="shared" ref="E192:E211" si="50">$G$154+$G$156+$G$158</f>
        <v>145047288.08633608</v>
      </c>
      <c r="F192" s="441">
        <f t="shared" si="49"/>
        <v>183613309.27315032</v>
      </c>
      <c r="G192" s="441">
        <f t="shared" ref="G192:G211" si="51">E192+F192</f>
        <v>328660597.3594864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2:27" ht="12.75" customHeight="1">
      <c r="B193" s="3"/>
      <c r="C193" s="533">
        <v>0.1</v>
      </c>
      <c r="D193" s="534">
        <f t="shared" si="48"/>
        <v>198450000</v>
      </c>
      <c r="E193" s="441">
        <f t="shared" si="50"/>
        <v>145047288.08633608</v>
      </c>
      <c r="F193" s="441">
        <f t="shared" si="49"/>
        <v>367226618.54630065</v>
      </c>
      <c r="G193" s="441">
        <f t="shared" si="51"/>
        <v>512273906.63263673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2:27" ht="12.75" customHeight="1">
      <c r="B194" s="3"/>
      <c r="C194" s="533">
        <v>0.15</v>
      </c>
      <c r="D194" s="534">
        <f t="shared" si="48"/>
        <v>297675000</v>
      </c>
      <c r="E194" s="441">
        <f t="shared" si="50"/>
        <v>145047288.08633608</v>
      </c>
      <c r="F194" s="441">
        <f>$F$211*C194</f>
        <v>550839927.81945086</v>
      </c>
      <c r="G194" s="441">
        <f t="shared" si="51"/>
        <v>695887215.90578699</v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2:27" ht="12.75" customHeight="1">
      <c r="B195" s="3"/>
      <c r="C195" s="533">
        <v>0.2</v>
      </c>
      <c r="D195" s="534">
        <f t="shared" si="48"/>
        <v>396900000</v>
      </c>
      <c r="E195" s="441">
        <f t="shared" si="50"/>
        <v>145047288.08633608</v>
      </c>
      <c r="F195" s="441">
        <f t="shared" si="49"/>
        <v>734453237.0926013</v>
      </c>
      <c r="G195" s="441">
        <f t="shared" si="51"/>
        <v>879500525.17893744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2:27" ht="12.75" customHeight="1">
      <c r="B196" s="3"/>
      <c r="C196" s="533">
        <v>0.25</v>
      </c>
      <c r="D196" s="534">
        <f t="shared" si="48"/>
        <v>496125000</v>
      </c>
      <c r="E196" s="441">
        <f t="shared" si="50"/>
        <v>145047288.08633608</v>
      </c>
      <c r="F196" s="441">
        <f t="shared" si="49"/>
        <v>918066546.3657515</v>
      </c>
      <c r="G196" s="441">
        <f t="shared" si="51"/>
        <v>1063113834.4520876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2:27" ht="12.75" customHeight="1">
      <c r="B197" s="3"/>
      <c r="C197" s="533">
        <v>0.3</v>
      </c>
      <c r="D197" s="534">
        <f t="shared" si="48"/>
        <v>595350000</v>
      </c>
      <c r="E197" s="441">
        <f t="shared" si="50"/>
        <v>145047288.08633608</v>
      </c>
      <c r="F197" s="441">
        <f t="shared" si="49"/>
        <v>1101679855.6389017</v>
      </c>
      <c r="G197" s="441">
        <f t="shared" si="51"/>
        <v>1246727143.7252378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2:27" ht="12.75" customHeight="1">
      <c r="B198" s="3"/>
      <c r="C198" s="533">
        <v>0.35</v>
      </c>
      <c r="D198" s="534">
        <f t="shared" si="48"/>
        <v>694575000</v>
      </c>
      <c r="E198" s="441">
        <f t="shared" si="50"/>
        <v>145047288.08633608</v>
      </c>
      <c r="F198" s="441">
        <f>$F$211*C198</f>
        <v>1285293164.9120519</v>
      </c>
      <c r="G198" s="441">
        <f t="shared" si="51"/>
        <v>1430340452.9983881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2:27" ht="12.75" customHeight="1">
      <c r="B199" s="3"/>
      <c r="C199" s="533">
        <v>0.4</v>
      </c>
      <c r="D199" s="534">
        <f t="shared" si="48"/>
        <v>793800000</v>
      </c>
      <c r="E199" s="441">
        <f t="shared" si="50"/>
        <v>145047288.08633608</v>
      </c>
      <c r="F199" s="441">
        <f t="shared" si="49"/>
        <v>1468906474.1852026</v>
      </c>
      <c r="G199" s="441">
        <f t="shared" si="51"/>
        <v>1613953762.2715387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2:27" ht="12.75" customHeight="1">
      <c r="B200" s="3"/>
      <c r="C200" s="533">
        <v>0.45</v>
      </c>
      <c r="D200" s="534">
        <f t="shared" si="48"/>
        <v>893025000</v>
      </c>
      <c r="E200" s="441">
        <f t="shared" si="50"/>
        <v>145047288.08633608</v>
      </c>
      <c r="F200" s="441">
        <f t="shared" si="49"/>
        <v>1652519783.4583528</v>
      </c>
      <c r="G200" s="441">
        <f t="shared" si="51"/>
        <v>1797567071.5446889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2:27" ht="12.75" customHeight="1">
      <c r="B201" s="3"/>
      <c r="C201" s="533">
        <v>0.5</v>
      </c>
      <c r="D201" s="534">
        <f t="shared" si="48"/>
        <v>992250000</v>
      </c>
      <c r="E201" s="441">
        <f t="shared" si="50"/>
        <v>145047288.08633608</v>
      </c>
      <c r="F201" s="441">
        <f t="shared" si="49"/>
        <v>1836133092.731503</v>
      </c>
      <c r="G201" s="441">
        <f t="shared" si="51"/>
        <v>1981180380.8178391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2:27" ht="12.75" customHeight="1">
      <c r="B202" s="3"/>
      <c r="C202" s="533">
        <v>0.55000000000000004</v>
      </c>
      <c r="D202" s="534">
        <f t="shared" si="48"/>
        <v>1091475000</v>
      </c>
      <c r="E202" s="441">
        <f t="shared" si="50"/>
        <v>145047288.08633608</v>
      </c>
      <c r="F202" s="441">
        <f t="shared" si="49"/>
        <v>2019746402.0046535</v>
      </c>
      <c r="G202" s="441">
        <f t="shared" si="51"/>
        <v>2164793690.0909896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2:27" ht="12.75" customHeight="1">
      <c r="B203" s="3"/>
      <c r="C203" s="533">
        <v>0.6</v>
      </c>
      <c r="D203" s="534">
        <f t="shared" si="48"/>
        <v>1190700000</v>
      </c>
      <c r="E203" s="441">
        <f t="shared" si="50"/>
        <v>145047288.08633608</v>
      </c>
      <c r="F203" s="441">
        <f t="shared" si="49"/>
        <v>2203359711.2778034</v>
      </c>
      <c r="G203" s="441">
        <f t="shared" si="51"/>
        <v>2348406999.3641396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2:27" ht="12.75" customHeight="1">
      <c r="B204" s="3"/>
      <c r="C204" s="533">
        <v>0.65</v>
      </c>
      <c r="D204" s="534">
        <f t="shared" si="48"/>
        <v>1289925000</v>
      </c>
      <c r="E204" s="441">
        <f t="shared" si="50"/>
        <v>145047288.08633608</v>
      </c>
      <c r="F204" s="441">
        <f t="shared" si="49"/>
        <v>2386973020.5509539</v>
      </c>
      <c r="G204" s="441">
        <f t="shared" si="51"/>
        <v>2532020308.63729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2:27" ht="12.75" customHeight="1">
      <c r="B205" s="3"/>
      <c r="C205" s="533">
        <v>0.7</v>
      </c>
      <c r="D205" s="534">
        <f t="shared" si="48"/>
        <v>1389150000</v>
      </c>
      <c r="E205" s="441">
        <f t="shared" si="50"/>
        <v>145047288.08633608</v>
      </c>
      <c r="F205" s="441">
        <f t="shared" si="49"/>
        <v>2570586329.8241038</v>
      </c>
      <c r="G205" s="441">
        <f>E205+F205</f>
        <v>2715633617.91044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2:27" ht="12.75" customHeight="1">
      <c r="B206" s="3"/>
      <c r="C206" s="533">
        <v>0.75</v>
      </c>
      <c r="D206" s="534">
        <f t="shared" si="48"/>
        <v>1488375000</v>
      </c>
      <c r="E206" s="441">
        <f t="shared" si="50"/>
        <v>145047288.08633608</v>
      </c>
      <c r="F206" s="441">
        <f t="shared" si="49"/>
        <v>2754199639.0972548</v>
      </c>
      <c r="G206" s="441">
        <f t="shared" si="51"/>
        <v>2899246927.1835909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2:27" ht="12.75" customHeight="1">
      <c r="B207" s="3"/>
      <c r="C207" s="533">
        <v>0.8</v>
      </c>
      <c r="D207" s="534">
        <f t="shared" si="48"/>
        <v>1587600000</v>
      </c>
      <c r="E207" s="441">
        <f t="shared" si="50"/>
        <v>145047288.08633608</v>
      </c>
      <c r="F207" s="441">
        <f t="shared" si="49"/>
        <v>2937812948.3704052</v>
      </c>
      <c r="G207" s="441">
        <f t="shared" si="51"/>
        <v>3082860236.4567413</v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2:27" ht="12.75" customHeight="1">
      <c r="B208" s="3"/>
      <c r="C208" s="533">
        <v>0.85</v>
      </c>
      <c r="D208" s="534">
        <f t="shared" si="48"/>
        <v>1686825000</v>
      </c>
      <c r="E208" s="441">
        <f t="shared" si="50"/>
        <v>145047288.08633608</v>
      </c>
      <c r="F208" s="441">
        <f t="shared" si="49"/>
        <v>3121426257.6435552</v>
      </c>
      <c r="G208" s="441">
        <f t="shared" si="51"/>
        <v>3266473545.7298913</v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2:27" ht="12.75" customHeight="1">
      <c r="B209" s="3"/>
      <c r="C209" s="533">
        <v>0.9</v>
      </c>
      <c r="D209" s="534">
        <f t="shared" si="48"/>
        <v>1786050000</v>
      </c>
      <c r="E209" s="441">
        <f t="shared" si="50"/>
        <v>145047288.08633608</v>
      </c>
      <c r="F209" s="441">
        <f t="shared" si="49"/>
        <v>3305039566.9167056</v>
      </c>
      <c r="G209" s="441">
        <f t="shared" si="51"/>
        <v>3450086855.0030417</v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2:27" ht="12.75" customHeight="1">
      <c r="B210" s="3"/>
      <c r="C210" s="533">
        <v>0.95</v>
      </c>
      <c r="D210" s="534">
        <f t="shared" si="48"/>
        <v>1885275000</v>
      </c>
      <c r="E210" s="441">
        <f t="shared" si="50"/>
        <v>145047288.08633608</v>
      </c>
      <c r="F210" s="441">
        <f t="shared" si="49"/>
        <v>3488652876.1898556</v>
      </c>
      <c r="G210" s="441">
        <f t="shared" si="51"/>
        <v>3633700164.2761917</v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2:27" ht="12.75" customHeight="1">
      <c r="B211" s="3"/>
      <c r="C211" s="533">
        <v>1</v>
      </c>
      <c r="D211" s="534">
        <f t="shared" si="48"/>
        <v>1984500000</v>
      </c>
      <c r="E211" s="441">
        <f t="shared" si="50"/>
        <v>145047288.08633608</v>
      </c>
      <c r="F211" s="441">
        <f>G180+G182+G184</f>
        <v>3672266185.463006</v>
      </c>
      <c r="G211" s="441">
        <f t="shared" si="51"/>
        <v>3817313473.5493422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2:27" ht="12.7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2:27" ht="12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2:27" ht="12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2:27" ht="12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2:27" ht="12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2:27" ht="12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2:27" ht="12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2:27" ht="12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2:27" ht="12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2:27" ht="12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2:27" ht="12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2:27" ht="12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2:27" ht="12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2:27" ht="12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2:27" ht="12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2:27" ht="12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2:27" ht="12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2:27" ht="12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2:27" ht="12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2:27" ht="12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2:27" ht="12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2:27" ht="12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2:27" ht="12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2:27" ht="12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2:27" ht="12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2:27" ht="12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2:27" ht="12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2:27" ht="12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2:27" ht="12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2:27" ht="12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2:27" ht="12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2:27" ht="12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2:27" ht="12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2:27" ht="12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2:27" ht="12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2:27" ht="12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2:27" ht="12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2:27" ht="12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2:27" ht="12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2:27" ht="12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2:27" ht="12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2:27" ht="12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2:27" ht="12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2:27" ht="12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2:27" ht="12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2:27" ht="12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2:27" ht="12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2:27" ht="12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2:27" ht="12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2:27" ht="12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2:27" ht="12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2:27" ht="12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2:27" ht="12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2:27" ht="12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2:27" ht="12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2:27" ht="12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2:27" ht="12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2:27" ht="12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2:27" ht="12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2:27" ht="12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2:27" ht="12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2:27" ht="12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2:27" ht="12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2:27" ht="12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2:27" ht="12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2:27" ht="12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2:27" ht="12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2:27" ht="12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2:27" ht="12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2:27" ht="12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2:27" ht="12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2:27" ht="12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2:27" ht="12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2:27" ht="12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2:27" ht="12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2:27" ht="12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2:27" ht="12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2:27" ht="12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2:27" ht="12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2:27" ht="12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2:27" ht="12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2:27" ht="12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2:27" ht="12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2:27" ht="12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2:27" ht="12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2:27" ht="12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2:27" ht="12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2:27" ht="12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2:27" ht="12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2:27" ht="12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2:27" ht="12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2:27" ht="12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2:27" ht="12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2:27" ht="12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2:27" ht="12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2:27" ht="12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2:27" ht="12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2:27" ht="12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2:27" ht="12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2:27" ht="12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2:27" ht="12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2:27" ht="12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2:27" ht="12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2:27" ht="12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2:27" ht="12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2:27" ht="12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2:27" ht="12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2:27" ht="12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2:27" ht="12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2:27" ht="12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2:27" ht="12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2:27" ht="12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2:27" ht="12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2:27" ht="12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2:27" ht="12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2:27" ht="12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2:27" ht="12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2:27" ht="12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2:27" ht="12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2:27" ht="12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2:27" ht="12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2:27" ht="12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2:27" ht="12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2:27" ht="12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2:27" ht="12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2:27" ht="12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2:27" ht="12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2:27" ht="12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2:27" ht="12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2:27" ht="12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2:27" ht="12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2:27" ht="12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2:27" ht="12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2:27" ht="12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2:27" ht="12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2:27" ht="12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2:27" ht="12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2:27" ht="12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2:27" ht="12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2:27" ht="12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2:27" ht="12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2:27" ht="12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2:27" ht="12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2:27" ht="12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2:27" ht="12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2:27" ht="12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2:27" ht="12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2:27" ht="12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2:27" ht="12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2:27" ht="12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2:27" ht="12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2:27" ht="15.75" customHeight="1"/>
    <row r="364" spans="2:27" ht="15.75" customHeight="1"/>
    <row r="365" spans="2:27" ht="15.75" customHeight="1"/>
    <row r="366" spans="2:27" ht="15.75" customHeight="1"/>
    <row r="367" spans="2:27" ht="15.75" customHeight="1"/>
    <row r="368" spans="2:27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7">
    <mergeCell ref="B4:G4"/>
    <mergeCell ref="B31:G31"/>
    <mergeCell ref="B30:H30"/>
    <mergeCell ref="B104:G104"/>
    <mergeCell ref="B83:G83"/>
    <mergeCell ref="B62:G62"/>
    <mergeCell ref="B48:G48"/>
  </mergeCells>
  <pageMargins left="0.32013888888888897" right="0.75" top="0.179861111111111" bottom="0.15972222222222199" header="0" footer="0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A1:Z1000"/>
  <sheetViews>
    <sheetView showGridLines="0" topLeftCell="A20" workbookViewId="0">
      <selection activeCell="G15" sqref="G15"/>
    </sheetView>
  </sheetViews>
  <sheetFormatPr baseColWidth="10" defaultColWidth="12.7109375" defaultRowHeight="15" customHeight="1"/>
  <cols>
    <col min="1" max="1" width="46.5703125" customWidth="1"/>
    <col min="2" max="2" width="19" bestFit="1" customWidth="1"/>
    <col min="3" max="3" width="21.140625" customWidth="1"/>
    <col min="4" max="4" width="19.42578125" customWidth="1"/>
    <col min="5" max="5" width="22.140625" customWidth="1"/>
    <col min="6" max="6" width="22.42578125" customWidth="1"/>
    <col min="7" max="7" width="19.5703125" customWidth="1"/>
    <col min="8" max="26" width="11.28515625" customWidth="1"/>
  </cols>
  <sheetData>
    <row r="1" spans="1:26" ht="12.75" customHeight="1">
      <c r="A1" s="19" t="s">
        <v>56</v>
      </c>
      <c r="B1" s="3"/>
      <c r="C1" s="3"/>
      <c r="D1" s="3"/>
      <c r="E1" s="20">
        <f>InfoInicial!E1</f>
        <v>9</v>
      </c>
      <c r="F1" s="3"/>
      <c r="G1" s="3"/>
      <c r="H1" s="1022" t="s">
        <v>597</v>
      </c>
      <c r="I1" s="991"/>
      <c r="J1" s="101">
        <v>30</v>
      </c>
      <c r="K1" s="3" t="s">
        <v>598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53" t="s">
        <v>599</v>
      </c>
      <c r="B3" s="77"/>
      <c r="C3" s="77"/>
      <c r="D3" s="77"/>
      <c r="E3" s="77"/>
      <c r="F3" s="77"/>
      <c r="G3" s="78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79" t="s">
        <v>444</v>
      </c>
      <c r="B4" s="435" t="s">
        <v>14</v>
      </c>
      <c r="C4" s="435" t="s">
        <v>2</v>
      </c>
      <c r="D4" s="435" t="s">
        <v>3</v>
      </c>
      <c r="E4" s="435" t="s">
        <v>4</v>
      </c>
      <c r="F4" s="435" t="s">
        <v>5</v>
      </c>
      <c r="G4" s="436" t="s">
        <v>6</v>
      </c>
      <c r="H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37" t="s">
        <v>600</v>
      </c>
      <c r="B5" s="438"/>
      <c r="C5" s="438"/>
      <c r="D5" s="438"/>
      <c r="E5" s="438"/>
      <c r="F5" s="438"/>
      <c r="G5" s="439"/>
      <c r="H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40" t="s">
        <v>601</v>
      </c>
      <c r="B6" s="441">
        <f>C6*B41</f>
        <v>2268000</v>
      </c>
      <c r="C6" s="441">
        <f>'E-Costos'!C114*$B$40</f>
        <v>28350000</v>
      </c>
      <c r="D6" s="441">
        <f>'E-Costos'!D114*$B$40</f>
        <v>39690000</v>
      </c>
      <c r="E6" s="441">
        <f>'E-Costos'!E114*$B$40</f>
        <v>39690000</v>
      </c>
      <c r="F6" s="441">
        <f>'E-Costos'!F114*$B$40</f>
        <v>39690000</v>
      </c>
      <c r="G6" s="441">
        <f>'E-Costos'!G114*$B$40</f>
        <v>39690000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40" t="s">
        <v>602</v>
      </c>
      <c r="B7" s="441">
        <v>0</v>
      </c>
      <c r="C7" s="441">
        <f>'E-Costos'!C114*'E-InvAT'!J1/365</f>
        <v>116506849.3150685</v>
      </c>
      <c r="D7" s="441">
        <f>'E-Costos'!D114*'E-InvAT'!J1/365</f>
        <v>163109589.04109588</v>
      </c>
      <c r="E7" s="441">
        <f>'E-Costos'!E114*'E-InvAT'!J1/365</f>
        <v>163109589.04109588</v>
      </c>
      <c r="F7" s="441">
        <f>'E-Costos'!F114*'E-InvAT'!J1/365</f>
        <v>163109589.04109588</v>
      </c>
      <c r="G7" s="441">
        <f>'E-Costos'!G114*'E-InvAT'!J1/365</f>
        <v>163109589.04109588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40"/>
      <c r="B8" s="441"/>
      <c r="C8" s="441"/>
      <c r="D8" s="441"/>
      <c r="E8" s="441"/>
      <c r="F8" s="441"/>
      <c r="G8" s="44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37" t="s">
        <v>603</v>
      </c>
      <c r="B9" s="441">
        <f>SUM(B10:B13)</f>
        <v>1016214.5634290001</v>
      </c>
      <c r="C9" s="441">
        <f>SUM(C10:C13)</f>
        <v>74360535.307567701</v>
      </c>
      <c r="D9" s="441">
        <f>SUM(D10:D13)</f>
        <v>73016996.893868476</v>
      </c>
      <c r="E9" s="441">
        <f>SUM(E10:E13)</f>
        <v>73015960.022665456</v>
      </c>
      <c r="F9" s="441">
        <f t="shared" ref="F9:G9" si="0">SUM(F10:F13)</f>
        <v>73015960.022665456</v>
      </c>
      <c r="G9" s="441">
        <f t="shared" si="0"/>
        <v>73015960.022665456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40" t="s">
        <v>604</v>
      </c>
      <c r="B10" s="441">
        <f>'CA Inv AT'!C10</f>
        <v>435014.463429</v>
      </c>
      <c r="C10" s="441">
        <f>'InfoInicial-CálcAux'!L18*'CA COSTOS'!D129</f>
        <v>44401499.999999993</v>
      </c>
      <c r="D10" s="441">
        <f>'InfoInicial-CálcAux'!M18*'CA COSTOS'!D129</f>
        <v>44401499.999999993</v>
      </c>
      <c r="E10" s="441">
        <f t="shared" ref="E10:G10" si="1">D10</f>
        <v>44401499.999999993</v>
      </c>
      <c r="F10" s="441">
        <f t="shared" si="1"/>
        <v>44401499.999999993</v>
      </c>
      <c r="G10" s="442">
        <f t="shared" si="1"/>
        <v>44401499.999999993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40" t="s">
        <v>605</v>
      </c>
      <c r="B11" s="441">
        <f>('CA COSTOS'!H9-'CA COSTOS'!H7)*'InfoInicial-CálcAux'!K20</f>
        <v>581200.10000000009</v>
      </c>
      <c r="C11" s="441">
        <f>'CA COSTOS'!K90</f>
        <v>1889023.1661843748</v>
      </c>
      <c r="D11" s="441">
        <f>C11</f>
        <v>1889023.1661843748</v>
      </c>
      <c r="E11" s="441">
        <f t="shared" ref="E11" si="2">D11</f>
        <v>1889023.1661843748</v>
      </c>
      <c r="F11" s="441">
        <f>E11</f>
        <v>1889023.1661843748</v>
      </c>
      <c r="G11" s="442">
        <f>F11</f>
        <v>1889023.1661843748</v>
      </c>
      <c r="H11" s="3"/>
      <c r="I11" s="15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40" t="s">
        <v>606</v>
      </c>
      <c r="B12" s="441">
        <v>0</v>
      </c>
      <c r="C12" s="946">
        <f>'E-Costos'!C45</f>
        <v>19961519.217785828</v>
      </c>
      <c r="D12" s="441">
        <f>'E-Costos'!D45</f>
        <v>18824955.105489835</v>
      </c>
      <c r="E12" s="441">
        <f>'E-Costos'!E45</f>
        <v>18824955.105489835</v>
      </c>
      <c r="F12" s="441">
        <f>'E-Costos'!F45</f>
        <v>18824955.105489835</v>
      </c>
      <c r="G12" s="441">
        <f>'E-Costos'!G45</f>
        <v>18824955.105489835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921" t="s">
        <v>607</v>
      </c>
      <c r="B13" s="944">
        <v>0</v>
      </c>
      <c r="C13" s="945">
        <f>'E-Costos'!C140*'InfoInicial-CálcAux'!L24</f>
        <v>8108492.9235975137</v>
      </c>
      <c r="D13" s="945">
        <f>'E-Costos'!D131+C13</f>
        <v>7901518.6221942743</v>
      </c>
      <c r="E13" s="945">
        <f>'E-Costos'!E131+D13</f>
        <v>7900481.7509912569</v>
      </c>
      <c r="F13" s="945">
        <f>'E-Costos'!F131+E13</f>
        <v>7900481.7509912569</v>
      </c>
      <c r="G13" s="945">
        <f>'E-Costos'!G131+F13</f>
        <v>7900481.7509912569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40"/>
      <c r="B14" s="441"/>
      <c r="C14" s="441">
        <f>C13-'E-Costos'!C10</f>
        <v>-62023627.238607883</v>
      </c>
      <c r="D14" s="441">
        <f>D13-'E-Costos'!D10</f>
        <v>-62230601.540011123</v>
      </c>
      <c r="E14" s="441">
        <f>E13-'E-Costos'!E10</f>
        <v>-62231638.411214143</v>
      </c>
      <c r="F14" s="441">
        <f>F13-'E-Costos'!F10</f>
        <v>-62231638.411214143</v>
      </c>
      <c r="G14" s="441">
        <f>G13-'E-Costos'!G10</f>
        <v>-62231638.411214143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37" t="s">
        <v>608</v>
      </c>
      <c r="B15" s="441">
        <f>B9+B6+B7</f>
        <v>3284214.5634289999</v>
      </c>
      <c r="C15" s="441">
        <f>C9+C6+C7</f>
        <v>219217384.6226362</v>
      </c>
      <c r="D15" s="441">
        <f>D9+D6+D7</f>
        <v>275816585.93496436</v>
      </c>
      <c r="E15" s="441">
        <f>E9+E6+E7</f>
        <v>275815549.06376135</v>
      </c>
      <c r="F15" s="441">
        <f t="shared" ref="F15:G15" si="3">F9+F6+F7</f>
        <v>275815549.06376135</v>
      </c>
      <c r="G15" s="441">
        <f t="shared" si="3"/>
        <v>275815549.06376135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437" t="s">
        <v>609</v>
      </c>
      <c r="B16" s="441"/>
      <c r="C16" s="441"/>
      <c r="D16" s="441"/>
      <c r="E16" s="441"/>
      <c r="F16" s="441"/>
      <c r="G16" s="44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40" t="s">
        <v>610</v>
      </c>
      <c r="B17" s="441">
        <v>0</v>
      </c>
      <c r="C17" s="441">
        <f>'E-Costos'!C36</f>
        <v>6766383.176293348</v>
      </c>
      <c r="D17" s="441">
        <f>'E-Costos'!D36</f>
        <v>5789016.4064248027</v>
      </c>
      <c r="E17" s="441">
        <f>'E-Costos'!E36</f>
        <v>5789016.4064248027</v>
      </c>
      <c r="F17" s="441">
        <f>'E-Costos'!F36</f>
        <v>5789016.4064248027</v>
      </c>
      <c r="G17" s="442">
        <f>'E-Costos'!G36</f>
        <v>5789016.4064248027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40" t="s">
        <v>611</v>
      </c>
      <c r="B18" s="441">
        <v>0</v>
      </c>
      <c r="C18" s="441">
        <f>(('E-Costos'!C10-'E-Costos'!C36)/'InfoInicial-CálcAux'!L14)*'InfoInicial-CálcAux'!L13</f>
        <v>1452232.3405016728</v>
      </c>
      <c r="D18" s="441">
        <f>(('E-Costos'!D10-'E-Costos'!D36)/'InfoInicial-CálcAux'!M14)*'InfoInicial-CálcAux'!M13</f>
        <v>1261629.4844061695</v>
      </c>
      <c r="E18" s="441">
        <f>(('E-Costos'!E10-'E-Costos'!E36)/'InfoInicial-CálcAux'!M14)*'InfoInicial-CálcAux'!M13</f>
        <v>1261629.4844061695</v>
      </c>
      <c r="F18" s="441">
        <f>(('E-Costos'!F10-'E-Costos'!F36)/'InfoInicial-CálcAux'!M14)*'InfoInicial-CálcAux'!M13</f>
        <v>1261629.4844061695</v>
      </c>
      <c r="G18" s="442">
        <f>(('E-Costos'!G10-'E-Costos'!G36)/'InfoInicial-CálcAux'!M14)*'InfoInicial-CálcAux'!M13</f>
        <v>1261629.4844061695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40" t="s">
        <v>612</v>
      </c>
      <c r="B19" s="441">
        <v>0</v>
      </c>
      <c r="C19" s="441">
        <f>C7*'E-Costos'!C147</f>
        <v>114162.04619484095</v>
      </c>
      <c r="D19" s="441">
        <f>D7*'E-Costos'!D147</f>
        <v>27217384.06691654</v>
      </c>
      <c r="E19" s="441">
        <f>E7*'E-Costos'!E147</f>
        <v>27284086.164103314</v>
      </c>
      <c r="F19" s="441">
        <f>F7*'E-Costos'!F147</f>
        <v>27284137.680978011</v>
      </c>
      <c r="G19" s="441">
        <f>G7*'E-Costos'!G147</f>
        <v>27284137.680978011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40" t="s">
        <v>613</v>
      </c>
      <c r="B20" s="441">
        <v>0</v>
      </c>
      <c r="C20" s="441">
        <f>('E-Costos'!C151-C17-C18)/365*J1</f>
        <v>4800567.0112849399</v>
      </c>
      <c r="D20" s="441">
        <f>('E-Costos'!D151-D17-D18)/365*J1</f>
        <v>4896564.5147888344</v>
      </c>
      <c r="E20" s="441">
        <f>('E-Costos'!E151-E17-E18)/365*J1</f>
        <v>4896564.5147888344</v>
      </c>
      <c r="F20" s="441">
        <f>('E-Costos'!F151-F17-F18)/365*J1</f>
        <v>4896564.5147888344</v>
      </c>
      <c r="G20" s="441">
        <f>('E-Costos'!G151-G17-G18)/365*J1</f>
        <v>4896564.5147888344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40"/>
      <c r="B21" s="441"/>
      <c r="C21" s="441"/>
      <c r="D21" s="441"/>
      <c r="E21" s="441"/>
      <c r="F21" s="441"/>
      <c r="G21" s="44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37" t="s">
        <v>614</v>
      </c>
      <c r="B22" s="441">
        <f>B15-SUM(B17:B20)</f>
        <v>3284214.5634289999</v>
      </c>
      <c r="C22" s="441">
        <f>C15-SUM(C17:C20)</f>
        <v>206084040.04836139</v>
      </c>
      <c r="D22" s="441">
        <f>D15-SUM(D17:D20)</f>
        <v>236651991.462428</v>
      </c>
      <c r="E22" s="441">
        <f t="shared" ref="E22:G22" si="4">E15-SUM(E17:E20)</f>
        <v>236584252.49403822</v>
      </c>
      <c r="F22" s="441">
        <f>F15-SUM(F17:F20)</f>
        <v>236584200.97716352</v>
      </c>
      <c r="G22" s="441">
        <f t="shared" si="4"/>
        <v>236584200.97716352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40"/>
      <c r="B23" s="441"/>
      <c r="C23" s="441"/>
      <c r="D23" s="441"/>
      <c r="E23" s="441"/>
      <c r="F23" s="441"/>
      <c r="G23" s="44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37" t="s">
        <v>615</v>
      </c>
      <c r="B24" s="441">
        <f>B15</f>
        <v>3284214.5634289999</v>
      </c>
      <c r="C24" s="441">
        <f>C15-B15</f>
        <v>215933170.0592072</v>
      </c>
      <c r="D24" s="441">
        <f>D15-C15</f>
        <v>56599201.31232816</v>
      </c>
      <c r="E24" s="441">
        <f>E15-D15</f>
        <v>-1036.8712030053139</v>
      </c>
      <c r="F24" s="441">
        <f t="shared" ref="F24" si="5">F15-E15</f>
        <v>0</v>
      </c>
      <c r="G24" s="442">
        <f>G15-F15</f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37" t="s">
        <v>616</v>
      </c>
      <c r="B25" s="441">
        <f>B22</f>
        <v>3284214.5634289999</v>
      </c>
      <c r="C25" s="441">
        <f>C22-B22</f>
        <v>202799825.48493239</v>
      </c>
      <c r="D25" s="441">
        <f>D22-C22</f>
        <v>30567951.414066613</v>
      </c>
      <c r="E25" s="441">
        <f>E22-D22</f>
        <v>-67738.968389779329</v>
      </c>
      <c r="F25" s="441">
        <f>F22-E22</f>
        <v>-51.516874700784683</v>
      </c>
      <c r="G25" s="442">
        <f>G22-F22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440"/>
      <c r="B26" s="441"/>
      <c r="C26" s="441"/>
      <c r="D26" s="441"/>
      <c r="E26" s="441"/>
      <c r="F26" s="441"/>
      <c r="G26" s="442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437" t="s">
        <v>617</v>
      </c>
      <c r="B27" s="441"/>
      <c r="C27" s="441"/>
      <c r="D27" s="441"/>
      <c r="E27" s="441"/>
      <c r="F27" s="441"/>
      <c r="G27" s="44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440" t="s">
        <v>618</v>
      </c>
      <c r="B28" s="441">
        <v>0</v>
      </c>
      <c r="C28" s="441">
        <f>(C7*0.21)-(B7*0.21)</f>
        <v>24466438.356164385</v>
      </c>
      <c r="D28" s="441">
        <f>(D7*0.21)-(C7*0.21)</f>
        <v>9786575.3424657471</v>
      </c>
      <c r="E28" s="441">
        <f t="shared" ref="E28:G28" si="6">(E7*0.21)-(D7*0.21)</f>
        <v>0</v>
      </c>
      <c r="F28" s="441">
        <f t="shared" si="6"/>
        <v>0</v>
      </c>
      <c r="G28" s="442">
        <f t="shared" si="6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440" t="s">
        <v>619</v>
      </c>
      <c r="B29" s="441"/>
      <c r="C29" s="441"/>
      <c r="D29" s="441"/>
      <c r="E29" s="441"/>
      <c r="F29" s="441"/>
      <c r="G29" s="44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440" t="s">
        <v>620</v>
      </c>
      <c r="B30" s="441">
        <f>InfoInicial!$B$3*B10</f>
        <v>91353.037320089992</v>
      </c>
      <c r="C30" s="441">
        <f>InfoInicial!$B$3*(C10-B10)</f>
        <v>9232961.9626799095</v>
      </c>
      <c r="D30" s="441">
        <f>InfoInicial!$B$3*(D10-C10)</f>
        <v>0</v>
      </c>
      <c r="E30" s="441">
        <f>InfoInicial!$B$3*(E10-D10)</f>
        <v>0</v>
      </c>
      <c r="F30" s="441">
        <f>InfoInicial!$B$3*(F10-E10)</f>
        <v>0</v>
      </c>
      <c r="G30" s="441">
        <f>InfoInicial!$B$3*(G10-F10)</f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440" t="s">
        <v>621</v>
      </c>
      <c r="B31" s="441">
        <v>0</v>
      </c>
      <c r="C31" s="441">
        <f>(C11-B11)*InfoInicial!$B$3</f>
        <v>274642.84389871871</v>
      </c>
      <c r="D31" s="441">
        <f>(D11-C11)*InfoInicial!$B$3</f>
        <v>0</v>
      </c>
      <c r="E31" s="441">
        <f>(E11-D11)*InfoInicial!$B$3</f>
        <v>0</v>
      </c>
      <c r="F31" s="441">
        <f>(F11-E11)*InfoInicial!$B$3</f>
        <v>0</v>
      </c>
      <c r="G31" s="441">
        <f>(G11-F11)*InfoInicial!$B$3</f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440" t="s">
        <v>622</v>
      </c>
      <c r="B32" s="441">
        <v>0</v>
      </c>
      <c r="C32" s="441">
        <f>0.21*('E-Costos'!C33+'E-Costos'!C38+'E-Costos'!C39)</f>
        <v>2550635.053171007</v>
      </c>
      <c r="D32" s="441">
        <f>(D12-C12)*InfoInicial!B3</f>
        <v>-238678.46358215844</v>
      </c>
      <c r="E32" s="441">
        <f t="shared" ref="E32:G32" si="7">(E12*0.21)-(D12*0.21)</f>
        <v>0</v>
      </c>
      <c r="F32" s="441">
        <f t="shared" si="7"/>
        <v>0</v>
      </c>
      <c r="G32" s="442">
        <f t="shared" si="7"/>
        <v>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921" t="s">
        <v>623</v>
      </c>
      <c r="B33" s="441">
        <v>0</v>
      </c>
      <c r="C33" s="441">
        <f>0.21*('CA COSTOS'!D165+'CA COSTOS'!D170+'CA COSTOS'!D171)</f>
        <v>5875840.7247429471</v>
      </c>
      <c r="D33" s="441">
        <f>(0.21*('CA COSTOS'!E165+'CA COSTOS'!E170+'CA COSTOS'!E171)-'E-InvAT'!C33)</f>
        <v>-918294.7304305546</v>
      </c>
      <c r="E33" s="443">
        <f>(0.21*('CA COSTOS'!F165+'CA COSTOS'!F170+'CA COSTOS'!F171)-(0.21*('CA COSTOS'!E165+'CA COSTOS'!E170+'CA COSTOS'!E171)))</f>
        <v>0</v>
      </c>
      <c r="F33" s="443">
        <f>(0.21*('CA COSTOS'!G165+'CA COSTOS'!G170+'CA COSTOS'!G171)-(0.21*('CA COSTOS'!F165+'CA COSTOS'!F170+'CA COSTOS'!F171)))</f>
        <v>0</v>
      </c>
      <c r="G33" s="444">
        <f>(0.21*('CA COSTOS'!H165+'CA COSTOS'!H170+'CA COSTOS'!H171))-(0.21*('CA COSTOS'!G165+'CA COSTOS'!G170+'CA COSTOS'!G171))</f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437" t="s">
        <v>624</v>
      </c>
      <c r="B34" s="441">
        <f>SUM(B28:B33)</f>
        <v>91353.037320089992</v>
      </c>
      <c r="C34" s="441">
        <f>SUM(C28:C33)</f>
        <v>42400518.940656975</v>
      </c>
      <c r="D34" s="441">
        <f>SUM(D28:D33)</f>
        <v>8629602.1484530345</v>
      </c>
      <c r="E34" s="445">
        <f>SUM(E28:E33)</f>
        <v>0</v>
      </c>
      <c r="F34" s="445">
        <f t="shared" ref="F34:G34" si="8">SUM(F28:F33)</f>
        <v>0</v>
      </c>
      <c r="G34" s="445">
        <f t="shared" si="8"/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440"/>
      <c r="B35" s="445"/>
      <c r="C35" s="445"/>
      <c r="D35" s="445"/>
      <c r="E35" s="445"/>
      <c r="F35" s="445"/>
      <c r="G35" s="446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447" t="s">
        <v>625</v>
      </c>
      <c r="B36" s="448">
        <f>B34+B25</f>
        <v>3375567.6007490898</v>
      </c>
      <c r="C36" s="448">
        <f>C34+C25</f>
        <v>245200344.42558938</v>
      </c>
      <c r="D36" s="448">
        <f>D34+D25</f>
        <v>39197553.562519647</v>
      </c>
      <c r="E36" s="448">
        <f t="shared" ref="E36:G36" si="9">E34+E25</f>
        <v>-67738.968389779329</v>
      </c>
      <c r="F36" s="448">
        <f t="shared" si="9"/>
        <v>-51.516874700784683</v>
      </c>
      <c r="G36" s="448">
        <f t="shared" si="9"/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>
        <f>'E-Costos'!C131</f>
        <v>1446184.7855606475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865" t="s">
        <v>626</v>
      </c>
      <c r="B40" s="900">
        <v>0.02</v>
      </c>
      <c r="C40" s="899" t="s">
        <v>627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865" t="s">
        <v>628</v>
      </c>
      <c r="B41" s="901">
        <v>0.08</v>
      </c>
      <c r="C41" s="899" t="s">
        <v>2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H1:I1"/>
  </mergeCells>
  <pageMargins left="0.25972222222222202" right="0.45972222222222198" top="0.6" bottom="1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InfoInicial-CálcAux</vt:lpstr>
      <vt:lpstr>InfoInicial</vt:lpstr>
      <vt:lpstr>CA Inv AF y Am</vt:lpstr>
      <vt:lpstr>CA Inv AT</vt:lpstr>
      <vt:lpstr>Hoja1</vt:lpstr>
      <vt:lpstr>CA COSTOS</vt:lpstr>
      <vt:lpstr>E-Inv AF y Am</vt:lpstr>
      <vt:lpstr>E-Costos</vt:lpstr>
      <vt:lpstr>E-InvAT</vt:lpstr>
      <vt:lpstr>E-IVA </vt:lpstr>
      <vt:lpstr>E-Cal Inv.</vt:lpstr>
      <vt:lpstr>E-Form</vt:lpstr>
      <vt:lpstr>Ej 50-66</vt:lpstr>
      <vt:lpstr>tecnico</vt:lpstr>
      <vt:lpstr>F-Cred</vt:lpstr>
      <vt:lpstr>F-CRes</vt:lpstr>
      <vt:lpstr>F-2 Estructura</vt:lpstr>
      <vt:lpstr>F-IVA</vt:lpstr>
      <vt:lpstr>F- CFyU</vt:lpstr>
      <vt:lpstr>F-Balance</vt:lpstr>
      <vt:lpstr>F- Form</vt:lpstr>
      <vt:lpstr>Análisis de riesgo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Alvarez Gargallo</dc:creator>
  <cp:keywords/>
  <dc:description/>
  <cp:lastModifiedBy>Manuel Contreras</cp:lastModifiedBy>
  <cp:revision/>
  <dcterms:created xsi:type="dcterms:W3CDTF">2021-08-14T00:13:07Z</dcterms:created>
  <dcterms:modified xsi:type="dcterms:W3CDTF">2022-11-27T19:39:20Z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