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634" firstSheet="3" activeTab="14"/>
  </bookViews>
  <sheets>
    <sheet name="InfoInicial" sheetId="1" r:id="rId1"/>
    <sheet name="E-Inv AF y Am" sheetId="2" r:id="rId2"/>
    <sheet name="E-Costos" sheetId="3" r:id="rId3"/>
    <sheet name="E-InvAT" sheetId="4" r:id="rId4"/>
    <sheet name="E-Cal Inv." sheetId="5" r:id="rId5"/>
    <sheet name="E-IVA " sheetId="6" r:id="rId6"/>
    <sheet name="E-Form" sheetId="7" r:id="rId7"/>
    <sheet name="Auxiliar" sheetId="15" r:id="rId8"/>
    <sheet name="F-Cred" sheetId="8" r:id="rId9"/>
    <sheet name="F-CRes" sheetId="9" r:id="rId10"/>
    <sheet name="F-2 Estructura" sheetId="10" r:id="rId11"/>
    <sheet name="F-IVA" sheetId="11" r:id="rId12"/>
    <sheet name="F- CFyU" sheetId="12" r:id="rId13"/>
    <sheet name="F-Balance" sheetId="13" r:id="rId14"/>
    <sheet name="F- Form" sheetId="14" r:id="rId15"/>
  </sheets>
  <definedNames>
    <definedName name="_xlnm.Print_Area" localSheetId="2">('E-Costos'!$A$3:$G$47,'E-Costos'!$A$50:$F$81,'E-Costos'!$A$84:$F$136)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45621"/>
</workbook>
</file>

<file path=xl/calcChain.xml><?xml version="1.0" encoding="utf-8"?>
<calcChain xmlns="http://schemas.openxmlformats.org/spreadsheetml/2006/main">
  <c r="K51" i="10" l="1"/>
  <c r="L51" i="10"/>
  <c r="B52" i="10"/>
  <c r="C51" i="10"/>
  <c r="C52" i="10"/>
  <c r="D51" i="10"/>
  <c r="K52" i="10"/>
  <c r="J52" i="10"/>
  <c r="L52" i="10" s="1"/>
  <c r="M52" i="10"/>
  <c r="E52" i="10"/>
  <c r="I52" i="10"/>
  <c r="A52" i="10"/>
  <c r="E30" i="3"/>
  <c r="D30" i="3"/>
  <c r="C30" i="3"/>
  <c r="G26" i="13"/>
  <c r="D26" i="13"/>
  <c r="E26" i="13"/>
  <c r="F26" i="13"/>
  <c r="C26" i="13"/>
  <c r="D52" i="10" l="1"/>
  <c r="B25" i="14"/>
  <c r="C25" i="14" s="1"/>
  <c r="B24" i="14"/>
  <c r="C26" i="14"/>
  <c r="C27" i="14"/>
  <c r="C28" i="14"/>
  <c r="C24" i="14"/>
  <c r="D25" i="14"/>
  <c r="D31" i="14" s="1"/>
  <c r="D26" i="14"/>
  <c r="D27" i="14"/>
  <c r="D28" i="14"/>
  <c r="D29" i="14"/>
  <c r="D24" i="14"/>
  <c r="L5" i="14"/>
  <c r="K5" i="14"/>
  <c r="J10" i="14"/>
  <c r="J9" i="14"/>
  <c r="J8" i="14"/>
  <c r="J7" i="14"/>
  <c r="J6" i="14"/>
  <c r="J5" i="14"/>
  <c r="I5" i="14"/>
  <c r="I10" i="14"/>
  <c r="I9" i="14"/>
  <c r="I8" i="14"/>
  <c r="I7" i="14"/>
  <c r="I6" i="14"/>
  <c r="H6" i="14"/>
  <c r="F6" i="14" s="1"/>
  <c r="E6" i="14"/>
  <c r="D6" i="14"/>
  <c r="B105" i="3"/>
  <c r="C6" i="14"/>
  <c r="C5" i="14"/>
  <c r="B12" i="14"/>
  <c r="B10" i="14"/>
  <c r="B6" i="14"/>
  <c r="B5" i="14"/>
  <c r="C6" i="4"/>
  <c r="C7" i="13"/>
  <c r="D7" i="13"/>
  <c r="E7" i="13"/>
  <c r="F7" i="13"/>
  <c r="G7" i="13"/>
  <c r="C34" i="13"/>
  <c r="C28" i="13"/>
  <c r="D28" i="13"/>
  <c r="E28" i="13"/>
  <c r="F28" i="13"/>
  <c r="G28" i="13"/>
  <c r="B28" i="13"/>
  <c r="F27" i="8"/>
  <c r="C27" i="8"/>
  <c r="D27" i="8"/>
  <c r="F27" i="13"/>
  <c r="F25" i="13" s="1"/>
  <c r="E27" i="13"/>
  <c r="E25" i="13" s="1"/>
  <c r="D27" i="13"/>
  <c r="D25" i="13" s="1"/>
  <c r="C27" i="13"/>
  <c r="B27" i="13"/>
  <c r="C25" i="13"/>
  <c r="G25" i="13"/>
  <c r="B25" i="13"/>
  <c r="G23" i="13"/>
  <c r="G21" i="13"/>
  <c r="F21" i="13"/>
  <c r="D21" i="13"/>
  <c r="E21" i="13"/>
  <c r="C21" i="13"/>
  <c r="C20" i="13"/>
  <c r="D20" i="13"/>
  <c r="E20" i="13"/>
  <c r="F20" i="13"/>
  <c r="B20" i="13"/>
  <c r="B19" i="13"/>
  <c r="E16" i="13"/>
  <c r="D16" i="13"/>
  <c r="G16" i="13"/>
  <c r="F16" i="13"/>
  <c r="C16" i="13"/>
  <c r="B14" i="13"/>
  <c r="B17" i="13" s="1"/>
  <c r="C15" i="13"/>
  <c r="G11" i="13"/>
  <c r="C14" i="13" l="1"/>
  <c r="C17" i="13" s="1"/>
  <c r="G6" i="14"/>
  <c r="B22" i="13"/>
  <c r="C19" i="13" s="1"/>
  <c r="C22" i="13" s="1"/>
  <c r="D19" i="13" s="1"/>
  <c r="D22" i="13" s="1"/>
  <c r="E19" i="13" s="1"/>
  <c r="E22" i="13" s="1"/>
  <c r="F19" i="13" s="1"/>
  <c r="F22" i="13" s="1"/>
  <c r="G19" i="13" s="1"/>
  <c r="G22" i="13" s="1"/>
  <c r="J12" i="14"/>
  <c r="I12" i="14"/>
  <c r="D14" i="13"/>
  <c r="D17" i="13" s="1"/>
  <c r="C10" i="13"/>
  <c r="C9" i="13"/>
  <c r="D9" i="13"/>
  <c r="E9" i="13"/>
  <c r="F9" i="13"/>
  <c r="G9" i="13"/>
  <c r="B10" i="13"/>
  <c r="B9" i="13"/>
  <c r="E14" i="13" l="1"/>
  <c r="E17" i="13" s="1"/>
  <c r="F14" i="13" l="1"/>
  <c r="F17" i="13" s="1"/>
  <c r="G25" i="12"/>
  <c r="F25" i="12"/>
  <c r="E25" i="12"/>
  <c r="D25" i="12"/>
  <c r="C25" i="12"/>
  <c r="H25" i="12" s="1"/>
  <c r="C21" i="12"/>
  <c r="G18" i="12"/>
  <c r="F18" i="12"/>
  <c r="E18" i="12"/>
  <c r="D18" i="12"/>
  <c r="C18" i="12"/>
  <c r="H20" i="12"/>
  <c r="H22" i="12"/>
  <c r="C14" i="12"/>
  <c r="B14" i="12"/>
  <c r="D10" i="12"/>
  <c r="E10" i="12"/>
  <c r="F10" i="12"/>
  <c r="G10" i="12"/>
  <c r="C10" i="12"/>
  <c r="H10" i="12" s="1"/>
  <c r="C9" i="12"/>
  <c r="F9" i="12"/>
  <c r="G9" i="12"/>
  <c r="C8" i="12"/>
  <c r="F8" i="12"/>
  <c r="G8" i="12"/>
  <c r="F7" i="12"/>
  <c r="G7" i="12"/>
  <c r="B9" i="12"/>
  <c r="H9" i="12" s="1"/>
  <c r="B8" i="12"/>
  <c r="H8" i="12" s="1"/>
  <c r="C17" i="11"/>
  <c r="C22" i="10"/>
  <c r="B22" i="10"/>
  <c r="C16" i="11" s="1"/>
  <c r="C19" i="10"/>
  <c r="C18" i="10"/>
  <c r="B18" i="10"/>
  <c r="C15" i="10"/>
  <c r="D15" i="10"/>
  <c r="B15" i="10"/>
  <c r="C14" i="10"/>
  <c r="D14" i="10"/>
  <c r="D13" i="10"/>
  <c r="D7" i="4"/>
  <c r="C10" i="10"/>
  <c r="C9" i="10"/>
  <c r="B10" i="10"/>
  <c r="C8" i="10"/>
  <c r="C7" i="10"/>
  <c r="B7" i="10"/>
  <c r="C14" i="11"/>
  <c r="C13" i="11"/>
  <c r="D13" i="11"/>
  <c r="E13" i="11"/>
  <c r="F13" i="11"/>
  <c r="G13" i="11"/>
  <c r="C12" i="11"/>
  <c r="B14" i="11"/>
  <c r="B13" i="11"/>
  <c r="B12" i="11"/>
  <c r="B10" i="11"/>
  <c r="C8" i="11"/>
  <c r="D8" i="11"/>
  <c r="E8" i="11"/>
  <c r="F8" i="11"/>
  <c r="G8" i="11"/>
  <c r="C7" i="11"/>
  <c r="D7" i="11"/>
  <c r="E7" i="11"/>
  <c r="F7" i="11"/>
  <c r="G7" i="11"/>
  <c r="B8" i="11"/>
  <c r="B7" i="11"/>
  <c r="C6" i="11"/>
  <c r="B6" i="11"/>
  <c r="C44" i="10"/>
  <c r="D44" i="10"/>
  <c r="E44" i="10"/>
  <c r="F44" i="10"/>
  <c r="B44" i="10"/>
  <c r="C42" i="10"/>
  <c r="D42" i="10"/>
  <c r="E42" i="10"/>
  <c r="F42" i="10"/>
  <c r="C41" i="10"/>
  <c r="D41" i="10"/>
  <c r="E41" i="10"/>
  <c r="F41" i="10"/>
  <c r="B42" i="10"/>
  <c r="B41" i="10"/>
  <c r="C40" i="10"/>
  <c r="D40" i="10"/>
  <c r="E40" i="10"/>
  <c r="F40" i="10"/>
  <c r="B40" i="10"/>
  <c r="C39" i="10"/>
  <c r="D39" i="10"/>
  <c r="E39" i="10"/>
  <c r="F39" i="10"/>
  <c r="B39" i="10"/>
  <c r="C38" i="10"/>
  <c r="D38" i="10"/>
  <c r="E38" i="10"/>
  <c r="F38" i="10"/>
  <c r="C37" i="10"/>
  <c r="D37" i="10"/>
  <c r="E37" i="10"/>
  <c r="F37" i="10"/>
  <c r="B38" i="10"/>
  <c r="B37" i="10"/>
  <c r="B31" i="10"/>
  <c r="D31" i="10" s="1"/>
  <c r="C30" i="10"/>
  <c r="D30" i="10"/>
  <c r="D1" i="10"/>
  <c r="B17" i="11" l="1"/>
  <c r="C18" i="11"/>
  <c r="H14" i="12"/>
  <c r="G14" i="13"/>
  <c r="H18" i="12"/>
  <c r="D16" i="11"/>
  <c r="D22" i="10"/>
  <c r="D18" i="10"/>
  <c r="D19" i="10"/>
  <c r="B18" i="11"/>
  <c r="C11" i="10"/>
  <c r="C26" i="10" s="1"/>
  <c r="D7" i="10"/>
  <c r="D10" i="10"/>
  <c r="C19" i="11" l="1"/>
  <c r="C21" i="11"/>
  <c r="D5" i="14"/>
  <c r="G5" i="14" s="1"/>
  <c r="M5" i="14" s="1"/>
  <c r="N5" i="14" s="1"/>
  <c r="B21" i="12"/>
  <c r="G17" i="13"/>
  <c r="G12" i="13" s="1"/>
  <c r="K6" i="14" l="1"/>
  <c r="L6" i="14" s="1"/>
  <c r="M6" i="14" s="1"/>
  <c r="N6" i="14" s="1"/>
  <c r="B11" i="13"/>
  <c r="C11" i="12"/>
  <c r="B23" i="13"/>
  <c r="B12" i="13" s="1"/>
  <c r="N6" i="9"/>
  <c r="N7" i="9"/>
  <c r="N8" i="9"/>
  <c r="N5" i="9"/>
  <c r="N4" i="9"/>
  <c r="C9" i="9"/>
  <c r="D9" i="9"/>
  <c r="E9" i="9"/>
  <c r="F9" i="9"/>
  <c r="B9" i="9"/>
  <c r="C8" i="9"/>
  <c r="D8" i="9"/>
  <c r="E8" i="9"/>
  <c r="F8" i="9"/>
  <c r="B8" i="9"/>
  <c r="C4" i="9"/>
  <c r="D4" i="9"/>
  <c r="E4" i="9"/>
  <c r="F4" i="9"/>
  <c r="B4" i="9"/>
  <c r="G8" i="9" l="1"/>
  <c r="G9" i="9"/>
  <c r="H9" i="9" s="1"/>
  <c r="G4" i="9"/>
  <c r="H8" i="9" l="1"/>
  <c r="AB35" i="8" l="1"/>
  <c r="D5" i="8"/>
  <c r="AB36" i="8" s="1"/>
  <c r="S9" i="8"/>
  <c r="S10" i="8"/>
  <c r="S11" i="8"/>
  <c r="S12" i="8"/>
  <c r="S13" i="8"/>
  <c r="S14" i="8"/>
  <c r="S15" i="8"/>
  <c r="S16" i="8"/>
  <c r="S17" i="8"/>
  <c r="S18" i="8"/>
  <c r="S19" i="8"/>
  <c r="S8" i="8"/>
  <c r="V34" i="8" l="1"/>
  <c r="H14" i="8" s="1"/>
  <c r="V33" i="8"/>
  <c r="R34" i="8"/>
  <c r="R33" i="8"/>
  <c r="S38" i="8" l="1"/>
  <c r="S40" i="8"/>
  <c r="D24" i="8" s="1"/>
  <c r="S37" i="8"/>
  <c r="S39" i="8"/>
  <c r="S41" i="8"/>
  <c r="D26" i="8" s="1"/>
  <c r="B13" i="8"/>
  <c r="H13" i="8"/>
  <c r="H15" i="8" s="1"/>
  <c r="V35" i="8"/>
  <c r="V42" i="8" s="1"/>
  <c r="R36" i="8"/>
  <c r="T34" i="8"/>
  <c r="B14" i="8"/>
  <c r="C14" i="8" l="1"/>
  <c r="T35" i="8"/>
  <c r="D22" i="8"/>
  <c r="B16" i="8"/>
  <c r="T37" i="8"/>
  <c r="R37" i="8"/>
  <c r="X37" i="8"/>
  <c r="D18" i="8"/>
  <c r="D20" i="8"/>
  <c r="B5" i="8"/>
  <c r="T9" i="8"/>
  <c r="V9" i="8" s="1"/>
  <c r="T10" i="8"/>
  <c r="T11" i="8"/>
  <c r="V11" i="8" s="1"/>
  <c r="T12" i="8"/>
  <c r="V12" i="8" s="1"/>
  <c r="T13" i="8"/>
  <c r="V13" i="8" s="1"/>
  <c r="T14" i="8"/>
  <c r="V14" i="8" s="1"/>
  <c r="T15" i="8"/>
  <c r="V15" i="8" s="1"/>
  <c r="T16" i="8"/>
  <c r="V16" i="8" s="1"/>
  <c r="T17" i="8"/>
  <c r="V17" i="8" s="1"/>
  <c r="T18" i="8"/>
  <c r="V18" i="8" s="1"/>
  <c r="T19" i="8"/>
  <c r="V19" i="8" s="1"/>
  <c r="T8" i="8"/>
  <c r="V8" i="8" s="1"/>
  <c r="F5" i="8"/>
  <c r="X35" i="8" l="1"/>
  <c r="T38" i="8"/>
  <c r="X38" i="8" s="1"/>
  <c r="R38" i="8"/>
  <c r="C15" i="8"/>
  <c r="F14" i="8"/>
  <c r="F15" i="8" s="1"/>
  <c r="T21" i="8"/>
  <c r="V10" i="8"/>
  <c r="V21" i="8"/>
  <c r="L4" i="9" l="1"/>
  <c r="U24" i="8"/>
  <c r="D6" i="8" s="1"/>
  <c r="R39" i="8"/>
  <c r="T39" i="8"/>
  <c r="X39" i="8" s="1"/>
  <c r="L5" i="9" l="1"/>
  <c r="L9" i="9" s="1"/>
  <c r="B8" i="10" s="1"/>
  <c r="L6" i="9"/>
  <c r="R40" i="8"/>
  <c r="T40" i="8"/>
  <c r="W58" i="8"/>
  <c r="D8" i="8"/>
  <c r="B9" i="10" l="1"/>
  <c r="D8" i="10"/>
  <c r="R55" i="8"/>
  <c r="R57" i="8"/>
  <c r="R59" i="8"/>
  <c r="R61" i="8"/>
  <c r="R63" i="8"/>
  <c r="S63" i="8" s="1"/>
  <c r="R56" i="8"/>
  <c r="R58" i="8"/>
  <c r="R60" i="8"/>
  <c r="R62" i="8"/>
  <c r="R54" i="8"/>
  <c r="T41" i="8"/>
  <c r="X41" i="8" s="1"/>
  <c r="R41" i="8"/>
  <c r="B26" i="8" s="1"/>
  <c r="X40" i="8"/>
  <c r="T42" i="8"/>
  <c r="D9" i="10" l="1"/>
  <c r="D11" i="10" s="1"/>
  <c r="B11" i="10"/>
  <c r="B26" i="10" s="1"/>
  <c r="M4" i="9"/>
  <c r="B17" i="8"/>
  <c r="S54" i="8"/>
  <c r="M7" i="9"/>
  <c r="O7" i="9" s="1"/>
  <c r="E10" i="9" s="1"/>
  <c r="B23" i="8"/>
  <c r="S60" i="8"/>
  <c r="M5" i="9"/>
  <c r="O5" i="9" s="1"/>
  <c r="C10" i="9" s="1"/>
  <c r="B19" i="8"/>
  <c r="S56" i="8"/>
  <c r="S61" i="8"/>
  <c r="C24" i="8" s="1"/>
  <c r="B24" i="8"/>
  <c r="S57" i="8"/>
  <c r="C20" i="8" s="1"/>
  <c r="B20" i="8"/>
  <c r="M8" i="9"/>
  <c r="O8" i="9" s="1"/>
  <c r="F10" i="9" s="1"/>
  <c r="B25" i="8"/>
  <c r="S62" i="8"/>
  <c r="M6" i="9"/>
  <c r="O6" i="9" s="1"/>
  <c r="D10" i="9" s="1"/>
  <c r="B21" i="8"/>
  <c r="S58" i="8"/>
  <c r="C26" i="8"/>
  <c r="S59" i="8"/>
  <c r="C22" i="8" s="1"/>
  <c r="B22" i="8"/>
  <c r="S55" i="8"/>
  <c r="C18" i="8" s="1"/>
  <c r="B18" i="8"/>
  <c r="D43" i="10" l="1"/>
  <c r="D45" i="10" s="1"/>
  <c r="D9" i="11"/>
  <c r="M9" i="9"/>
  <c r="O4" i="9"/>
  <c r="F43" i="10"/>
  <c r="F45" i="10" s="1"/>
  <c r="F9" i="11"/>
  <c r="E9" i="11"/>
  <c r="E43" i="10"/>
  <c r="E45" i="10" s="1"/>
  <c r="D26" i="10"/>
  <c r="C9" i="11"/>
  <c r="C10" i="11" s="1"/>
  <c r="C43" i="10"/>
  <c r="C45" i="10" s="1"/>
  <c r="E24" i="8"/>
  <c r="T63" i="8"/>
  <c r="C25" i="8"/>
  <c r="F26" i="8" s="1"/>
  <c r="F20" i="8"/>
  <c r="G20" i="8" s="1"/>
  <c r="E22" i="8"/>
  <c r="C23" i="8"/>
  <c r="F24" i="8" s="1"/>
  <c r="G24" i="8" s="1"/>
  <c r="T61" i="8"/>
  <c r="E20" i="8"/>
  <c r="E18" i="8"/>
  <c r="T59" i="8"/>
  <c r="C21" i="8"/>
  <c r="F22" i="8" s="1"/>
  <c r="G22" i="8" s="1"/>
  <c r="C19" i="8"/>
  <c r="T57" i="8"/>
  <c r="E26" i="8"/>
  <c r="C17" i="8"/>
  <c r="F18" i="8" s="1"/>
  <c r="T55" i="8"/>
  <c r="B10" i="9" l="1"/>
  <c r="O9" i="9"/>
  <c r="N9" i="9"/>
  <c r="G18" i="8"/>
  <c r="G26" i="8"/>
  <c r="S21" i="8"/>
  <c r="B43" i="10" l="1"/>
  <c r="B45" i="10" s="1"/>
  <c r="G10" i="9"/>
  <c r="K142" i="3"/>
  <c r="K141" i="3"/>
  <c r="D142" i="3"/>
  <c r="D141" i="3"/>
  <c r="J142" i="3"/>
  <c r="C142" i="3"/>
  <c r="C141" i="3"/>
  <c r="J141" i="3"/>
  <c r="I142" i="3"/>
  <c r="B142" i="3"/>
  <c r="H142" i="3"/>
  <c r="A142" i="3"/>
  <c r="L142" i="3"/>
  <c r="E142" i="3"/>
  <c r="G9" i="11" l="1"/>
  <c r="H10" i="9"/>
  <c r="G25" i="3"/>
  <c r="B86" i="3" l="1"/>
  <c r="C87" i="3"/>
  <c r="D87" i="3"/>
  <c r="E87" i="3"/>
  <c r="F87" i="3"/>
  <c r="B87" i="3"/>
  <c r="D105" i="3"/>
  <c r="E105" i="3"/>
  <c r="F105" i="3"/>
  <c r="C105" i="3"/>
  <c r="B135" i="15"/>
  <c r="B88" i="3" l="1"/>
  <c r="B6" i="4" s="1"/>
  <c r="B13" i="10" l="1"/>
  <c r="C13" i="10" s="1"/>
  <c r="C16" i="10" s="1"/>
  <c r="C23" i="10" s="1"/>
  <c r="B7" i="13"/>
  <c r="C7" i="4"/>
  <c r="B16" i="10" l="1"/>
  <c r="D16" i="10" s="1"/>
  <c r="D2" i="15"/>
  <c r="D5" i="15"/>
  <c r="D6" i="15"/>
  <c r="D8" i="15"/>
  <c r="D9" i="15"/>
  <c r="D10" i="15"/>
  <c r="D12" i="15"/>
  <c r="D14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2" i="15"/>
  <c r="D33" i="15"/>
  <c r="D35" i="15"/>
  <c r="D37" i="15"/>
  <c r="D40" i="15"/>
  <c r="N49" i="15"/>
  <c r="B56" i="15" s="1"/>
  <c r="B34" i="15"/>
  <c r="G1" i="6" l="1"/>
  <c r="B16" i="6"/>
  <c r="B15" i="6"/>
  <c r="B21" i="6"/>
  <c r="B23" i="6" s="1"/>
  <c r="B12" i="6"/>
  <c r="G1" i="5"/>
  <c r="D11" i="5"/>
  <c r="C11" i="5"/>
  <c r="B18" i="5"/>
  <c r="H8" i="5"/>
  <c r="H21" i="5" s="1"/>
  <c r="G8" i="5"/>
  <c r="B8" i="7" s="1"/>
  <c r="F8" i="5"/>
  <c r="E8" i="5"/>
  <c r="B6" i="7" s="1"/>
  <c r="F102" i="15"/>
  <c r="E1" i="4"/>
  <c r="O9" i="4"/>
  <c r="O8" i="4"/>
  <c r="F21" i="5" l="1"/>
  <c r="B7" i="7"/>
  <c r="E21" i="5"/>
  <c r="G21" i="5"/>
  <c r="C22" i="6" l="1"/>
  <c r="F86" i="3"/>
  <c r="F101" i="3" s="1"/>
  <c r="D86" i="3"/>
  <c r="D101" i="3" s="1"/>
  <c r="E86" i="3"/>
  <c r="E88" i="3" s="1"/>
  <c r="F22" i="6" s="1"/>
  <c r="C86" i="3"/>
  <c r="C88" i="3" s="1"/>
  <c r="F124" i="15"/>
  <c r="F126" i="15" s="1"/>
  <c r="E71" i="3" s="1"/>
  <c r="B124" i="15"/>
  <c r="B126" i="15" s="1"/>
  <c r="B54" i="3" s="1"/>
  <c r="F72" i="15"/>
  <c r="I70" i="15" s="1"/>
  <c r="B102" i="15"/>
  <c r="E93" i="15"/>
  <c r="E92" i="15"/>
  <c r="E91" i="15"/>
  <c r="D69" i="3" s="1"/>
  <c r="E90" i="15"/>
  <c r="B86" i="15"/>
  <c r="D8" i="3" s="1"/>
  <c r="D91" i="3" s="1"/>
  <c r="B85" i="15"/>
  <c r="E11" i="3" s="1"/>
  <c r="B69" i="15"/>
  <c r="E69" i="15"/>
  <c r="F69" i="15" s="1"/>
  <c r="B70" i="15"/>
  <c r="B71" i="15"/>
  <c r="B72" i="15"/>
  <c r="B73" i="15"/>
  <c r="B74" i="15"/>
  <c r="B75" i="15"/>
  <c r="B76" i="15"/>
  <c r="E76" i="15"/>
  <c r="F76" i="15" s="1"/>
  <c r="E78" i="15" s="1"/>
  <c r="E79" i="15" s="1"/>
  <c r="D56" i="15"/>
  <c r="B53" i="15"/>
  <c r="B49" i="15"/>
  <c r="E49" i="15" s="1"/>
  <c r="B50" i="2"/>
  <c r="B25" i="2"/>
  <c r="F33" i="15"/>
  <c r="F32" i="15"/>
  <c r="B36" i="15"/>
  <c r="B24" i="2"/>
  <c r="B23" i="2"/>
  <c r="B15" i="2"/>
  <c r="B47" i="2" s="1"/>
  <c r="B14" i="2"/>
  <c r="H25" i="15"/>
  <c r="H24" i="15"/>
  <c r="G23" i="15"/>
  <c r="H23" i="15" s="1"/>
  <c r="H22" i="15"/>
  <c r="H21" i="15"/>
  <c r="H20" i="15"/>
  <c r="H19" i="15"/>
  <c r="H18" i="15"/>
  <c r="H17" i="15"/>
  <c r="H16" i="15"/>
  <c r="H15" i="15"/>
  <c r="H14" i="15"/>
  <c r="H13" i="15"/>
  <c r="H12" i="15"/>
  <c r="B7" i="2"/>
  <c r="B43" i="2" s="1"/>
  <c r="H7" i="15"/>
  <c r="H6" i="15"/>
  <c r="B3" i="15"/>
  <c r="D71" i="3" l="1"/>
  <c r="B71" i="3"/>
  <c r="D88" i="3"/>
  <c r="E22" i="6" s="1"/>
  <c r="F71" i="3"/>
  <c r="C101" i="3"/>
  <c r="F88" i="3"/>
  <c r="G22" i="6" s="1"/>
  <c r="E101" i="3"/>
  <c r="B50" i="15"/>
  <c r="D3" i="15"/>
  <c r="B7" i="5"/>
  <c r="B29" i="2"/>
  <c r="C7" i="5" s="1"/>
  <c r="B38" i="15"/>
  <c r="C69" i="3"/>
  <c r="C71" i="3"/>
  <c r="D22" i="6"/>
  <c r="F7" i="4"/>
  <c r="E7" i="4"/>
  <c r="G7" i="4"/>
  <c r="E6" i="4"/>
  <c r="G6" i="4"/>
  <c r="F6" i="4"/>
  <c r="D6" i="4"/>
  <c r="E11" i="5" s="1"/>
  <c r="C14" i="3"/>
  <c r="B69" i="3"/>
  <c r="E52" i="3"/>
  <c r="C52" i="3"/>
  <c r="E69" i="3"/>
  <c r="B52" i="3"/>
  <c r="F52" i="3"/>
  <c r="D52" i="3"/>
  <c r="F69" i="3"/>
  <c r="E54" i="3"/>
  <c r="C54" i="3"/>
  <c r="F54" i="3"/>
  <c r="D54" i="3"/>
  <c r="B32" i="3"/>
  <c r="J36" i="4" s="1"/>
  <c r="E32" i="3"/>
  <c r="M36" i="4" s="1"/>
  <c r="C32" i="3"/>
  <c r="K36" i="4" s="1"/>
  <c r="D32" i="3"/>
  <c r="L36" i="4" s="1"/>
  <c r="F32" i="3"/>
  <c r="N36" i="4" s="1"/>
  <c r="E80" i="15"/>
  <c r="G32" i="3" s="1"/>
  <c r="E71" i="15"/>
  <c r="F71" i="15" s="1"/>
  <c r="E70" i="15"/>
  <c r="F70" i="15" s="1"/>
  <c r="B77" i="15"/>
  <c r="D11" i="3"/>
  <c r="F11" i="3"/>
  <c r="F50" i="15"/>
  <c r="D50" i="15"/>
  <c r="E50" i="15"/>
  <c r="F49" i="15"/>
  <c r="H9" i="15"/>
  <c r="F34" i="15"/>
  <c r="C31" i="15" s="1"/>
  <c r="D49" i="15"/>
  <c r="D53" i="15"/>
  <c r="E53" i="15"/>
  <c r="C8" i="3"/>
  <c r="E8" i="3"/>
  <c r="E91" i="3" s="1"/>
  <c r="C11" i="3"/>
  <c r="E94" i="15"/>
  <c r="F8" i="3"/>
  <c r="F91" i="3" s="1"/>
  <c r="B4" i="15"/>
  <c r="B8" i="2"/>
  <c r="B44" i="2" s="1"/>
  <c r="H26" i="15"/>
  <c r="B11" i="15" s="1"/>
  <c r="D11" i="15" s="1"/>
  <c r="D4" i="15" l="1"/>
  <c r="B52" i="15"/>
  <c r="B46" i="2" s="1"/>
  <c r="B7" i="15"/>
  <c r="D7" i="15" s="1"/>
  <c r="D9" i="6"/>
  <c r="K45" i="4"/>
  <c r="B39" i="15"/>
  <c r="B8" i="5"/>
  <c r="G26" i="3"/>
  <c r="E26" i="3"/>
  <c r="F26" i="3"/>
  <c r="C26" i="3"/>
  <c r="D26" i="3"/>
  <c r="B26" i="3"/>
  <c r="C91" i="3"/>
  <c r="C26" i="2"/>
  <c r="D31" i="15"/>
  <c r="C34" i="15"/>
  <c r="D34" i="15" s="1"/>
  <c r="D7" i="3"/>
  <c r="F7" i="3"/>
  <c r="B7" i="3"/>
  <c r="C25" i="3"/>
  <c r="K33" i="4" s="1"/>
  <c r="E25" i="3"/>
  <c r="M33" i="4" s="1"/>
  <c r="B25" i="3"/>
  <c r="J33" i="4" s="1"/>
  <c r="E7" i="3"/>
  <c r="C7" i="3"/>
  <c r="D25" i="3"/>
  <c r="L33" i="4" s="1"/>
  <c r="F25" i="3"/>
  <c r="N33" i="4" s="1"/>
  <c r="G10" i="4"/>
  <c r="E10" i="4"/>
  <c r="C10" i="4"/>
  <c r="F10" i="4"/>
  <c r="D10" i="4"/>
  <c r="B10" i="4"/>
  <c r="B31" i="2"/>
  <c r="F11" i="5"/>
  <c r="G11" i="5"/>
  <c r="H11" i="5"/>
  <c r="B106" i="15"/>
  <c r="B29" i="3" s="1"/>
  <c r="B104" i="15"/>
  <c r="B105" i="15" s="1"/>
  <c r="F73" i="15"/>
  <c r="E73" i="15"/>
  <c r="B16" i="2"/>
  <c r="B48" i="2" s="1"/>
  <c r="B54" i="15"/>
  <c r="B9" i="2"/>
  <c r="B45" i="2" s="1"/>
  <c r="B51" i="15"/>
  <c r="C15" i="3"/>
  <c r="D15" i="3"/>
  <c r="E15" i="3"/>
  <c r="F15" i="3"/>
  <c r="B15" i="3"/>
  <c r="B11" i="3"/>
  <c r="D50" i="2"/>
  <c r="G50" i="2" s="1"/>
  <c r="E47" i="2"/>
  <c r="E44" i="2"/>
  <c r="G44" i="2" s="1"/>
  <c r="D47" i="2"/>
  <c r="D45" i="2"/>
  <c r="D44" i="2"/>
  <c r="D43" i="2"/>
  <c r="E3" i="3"/>
  <c r="G1" i="7"/>
  <c r="E1" i="2"/>
  <c r="E1" i="12"/>
  <c r="G1" i="14"/>
  <c r="L25" i="14"/>
  <c r="E1" i="13"/>
  <c r="F1" i="8"/>
  <c r="F1" i="9"/>
  <c r="E1" i="11"/>
  <c r="F58" i="3" l="1"/>
  <c r="F75" i="3"/>
  <c r="D58" i="3"/>
  <c r="D75" i="3"/>
  <c r="C14" i="5"/>
  <c r="B30" i="4"/>
  <c r="G14" i="5"/>
  <c r="F30" i="4"/>
  <c r="E30" i="4"/>
  <c r="F14" i="5"/>
  <c r="D6" i="6"/>
  <c r="K42" i="4"/>
  <c r="C90" i="3"/>
  <c r="N42" i="4"/>
  <c r="G6" i="6"/>
  <c r="F90" i="3"/>
  <c r="C29" i="2"/>
  <c r="D7" i="5" s="1"/>
  <c r="B21" i="5"/>
  <c r="B23" i="5" s="1"/>
  <c r="B25" i="5" s="1"/>
  <c r="B41" i="15"/>
  <c r="B13" i="15"/>
  <c r="G47" i="2"/>
  <c r="E45" i="2"/>
  <c r="G45" i="2" s="1"/>
  <c r="B58" i="3"/>
  <c r="B75" i="3"/>
  <c r="E58" i="3"/>
  <c r="E75" i="3"/>
  <c r="C58" i="3"/>
  <c r="C75" i="3"/>
  <c r="B12" i="2"/>
  <c r="C36" i="15"/>
  <c r="B128" i="15"/>
  <c r="E55" i="3" s="1"/>
  <c r="F18" i="6" s="1"/>
  <c r="F128" i="15"/>
  <c r="E14" i="5"/>
  <c r="D30" i="4"/>
  <c r="C30" i="4"/>
  <c r="D14" i="5"/>
  <c r="H14" i="5"/>
  <c r="G30" i="4"/>
  <c r="F6" i="6"/>
  <c r="M42" i="4"/>
  <c r="E90" i="3"/>
  <c r="C6" i="6"/>
  <c r="B90" i="3"/>
  <c r="L42" i="4"/>
  <c r="E6" i="6"/>
  <c r="D90" i="3"/>
  <c r="I11" i="5"/>
  <c r="D55" i="3"/>
  <c r="E18" i="6" s="1"/>
  <c r="F55" i="3"/>
  <c r="G18" i="6" s="1"/>
  <c r="B117" i="15"/>
  <c r="B118" i="15"/>
  <c r="B33" i="3" s="1"/>
  <c r="E29" i="3"/>
  <c r="D29" i="3"/>
  <c r="F29" i="3"/>
  <c r="C29" i="3"/>
  <c r="F51" i="15"/>
  <c r="D51" i="15"/>
  <c r="E51" i="15"/>
  <c r="E54" i="15"/>
  <c r="D54" i="15"/>
  <c r="E52" i="15"/>
  <c r="F52" i="15"/>
  <c r="D52" i="15"/>
  <c r="E43" i="2"/>
  <c r="G43" i="2" s="1"/>
  <c r="C31" i="2"/>
  <c r="C33" i="2" s="1"/>
  <c r="F14" i="3"/>
  <c r="B14" i="3"/>
  <c r="C9" i="6" s="1"/>
  <c r="D14" i="3"/>
  <c r="E14" i="3"/>
  <c r="B8" i="3"/>
  <c r="B91" i="3" s="1"/>
  <c r="C55" i="3" l="1"/>
  <c r="L45" i="4"/>
  <c r="E9" i="6"/>
  <c r="N45" i="4"/>
  <c r="G9" i="6"/>
  <c r="B55" i="3"/>
  <c r="C18" i="6" s="1"/>
  <c r="D18" i="6"/>
  <c r="D72" i="3"/>
  <c r="E19" i="6" s="1"/>
  <c r="F72" i="3"/>
  <c r="G19" i="6" s="1"/>
  <c r="E72" i="3"/>
  <c r="F19" i="6" s="1"/>
  <c r="C72" i="3"/>
  <c r="C38" i="15"/>
  <c r="D36" i="15"/>
  <c r="B59" i="15" s="1"/>
  <c r="B18" i="2"/>
  <c r="D13" i="15"/>
  <c r="B55" i="15"/>
  <c r="D8" i="5"/>
  <c r="I7" i="5"/>
  <c r="I14" i="5"/>
  <c r="F9" i="6"/>
  <c r="M45" i="4"/>
  <c r="B15" i="15"/>
  <c r="D15" i="15" s="1"/>
  <c r="F57" i="15"/>
  <c r="F62" i="15" s="1"/>
  <c r="D33" i="3"/>
  <c r="F33" i="3"/>
  <c r="E33" i="3"/>
  <c r="C33" i="3"/>
  <c r="C34" i="2"/>
  <c r="C36" i="2" s="1"/>
  <c r="C13" i="3"/>
  <c r="D13" i="3"/>
  <c r="E13" i="3"/>
  <c r="F13" i="3"/>
  <c r="D46" i="2"/>
  <c r="E46" i="2"/>
  <c r="G8" i="6" l="1"/>
  <c r="E8" i="6"/>
  <c r="B5" i="7"/>
  <c r="D21" i="5"/>
  <c r="B57" i="15"/>
  <c r="E55" i="15"/>
  <c r="E57" i="15" s="1"/>
  <c r="E62" i="15" s="1"/>
  <c r="D55" i="15"/>
  <c r="D57" i="15" s="1"/>
  <c r="B49" i="2"/>
  <c r="B20" i="2"/>
  <c r="C6" i="5" s="1"/>
  <c r="C39" i="15"/>
  <c r="D39" i="15" s="1"/>
  <c r="D38" i="15"/>
  <c r="C41" i="15"/>
  <c r="D41" i="15" s="1"/>
  <c r="G46" i="2"/>
  <c r="F8" i="6"/>
  <c r="D8" i="6"/>
  <c r="D59" i="15"/>
  <c r="E59" i="15"/>
  <c r="B53" i="2"/>
  <c r="B72" i="3"/>
  <c r="C19" i="6" s="1"/>
  <c r="D19" i="6"/>
  <c r="B13" i="3"/>
  <c r="C8" i="6" s="1"/>
  <c r="D31" i="3"/>
  <c r="L35" i="4" s="1"/>
  <c r="F31" i="3"/>
  <c r="N35" i="4" s="1"/>
  <c r="E31" i="3"/>
  <c r="M35" i="4" s="1"/>
  <c r="C31" i="3"/>
  <c r="B33" i="2"/>
  <c r="B34" i="2" s="1"/>
  <c r="B36" i="2" s="1"/>
  <c r="D12" i="3"/>
  <c r="C12" i="3"/>
  <c r="F12" i="3"/>
  <c r="E12" i="3"/>
  <c r="E48" i="2"/>
  <c r="D48" i="2"/>
  <c r="L44" i="4" l="1"/>
  <c r="B31" i="3"/>
  <c r="K35" i="4"/>
  <c r="D53" i="2"/>
  <c r="E53" i="2"/>
  <c r="D49" i="2"/>
  <c r="G49" i="2"/>
  <c r="G51" i="2" s="1"/>
  <c r="G56" i="2" s="1"/>
  <c r="B9" i="7" s="1"/>
  <c r="E49" i="2"/>
  <c r="E51" i="2" s="1"/>
  <c r="B51" i="2"/>
  <c r="B56" i="2" s="1"/>
  <c r="N44" i="4"/>
  <c r="G48" i="2"/>
  <c r="K44" i="4"/>
  <c r="M44" i="4"/>
  <c r="I6" i="5"/>
  <c r="I8" i="5" s="1"/>
  <c r="I21" i="5" s="1"/>
  <c r="C8" i="5"/>
  <c r="D62" i="15"/>
  <c r="F11" i="4"/>
  <c r="G11" i="4"/>
  <c r="F30" i="3"/>
  <c r="F7" i="6"/>
  <c r="F12" i="6" s="1"/>
  <c r="M34" i="4"/>
  <c r="M38" i="4" s="1"/>
  <c r="B110" i="15"/>
  <c r="B113" i="15" s="1"/>
  <c r="L34" i="4"/>
  <c r="L38" i="4" s="1"/>
  <c r="D7" i="6"/>
  <c r="D12" i="6" s="1"/>
  <c r="B30" i="3"/>
  <c r="G7" i="6"/>
  <c r="G12" i="6" s="1"/>
  <c r="E7" i="6"/>
  <c r="E12" i="6" s="1"/>
  <c r="B112" i="15"/>
  <c r="B12" i="3"/>
  <c r="D51" i="2"/>
  <c r="D56" i="2" s="1"/>
  <c r="L43" i="4" l="1"/>
  <c r="L47" i="4" s="1"/>
  <c r="B4" i="7"/>
  <c r="B11" i="7" s="1"/>
  <c r="C21" i="5"/>
  <c r="I6" i="7"/>
  <c r="I5" i="7"/>
  <c r="B10" i="3"/>
  <c r="B28" i="3" s="1"/>
  <c r="I7" i="7"/>
  <c r="E56" i="2"/>
  <c r="G31" i="3"/>
  <c r="J35" i="4"/>
  <c r="E11" i="4"/>
  <c r="D11" i="4"/>
  <c r="C11" i="4"/>
  <c r="M43" i="4"/>
  <c r="M47" i="4" s="1"/>
  <c r="B111" i="15"/>
  <c r="B114" i="15" s="1"/>
  <c r="G30" i="3" s="1"/>
  <c r="G35" i="3" s="1"/>
  <c r="C13" i="6" s="1"/>
  <c r="C7" i="6"/>
  <c r="C12" i="6" s="1"/>
  <c r="K43" i="4"/>
  <c r="K47" i="4" s="1"/>
  <c r="K34" i="4"/>
  <c r="K38" i="4" s="1"/>
  <c r="L39" i="4" s="1"/>
  <c r="E32" i="4" s="1"/>
  <c r="E15" i="6" s="1"/>
  <c r="G31" i="4"/>
  <c r="H15" i="5"/>
  <c r="E31" i="4"/>
  <c r="D31" i="4"/>
  <c r="J34" i="4"/>
  <c r="J38" i="4" s="1"/>
  <c r="J39" i="4" s="1"/>
  <c r="C32" i="4" s="1"/>
  <c r="C15" i="6" s="1"/>
  <c r="M39" i="4"/>
  <c r="F32" i="4" s="1"/>
  <c r="F15" i="6" s="1"/>
  <c r="N43" i="4"/>
  <c r="N47" i="4" s="1"/>
  <c r="N34" i="4"/>
  <c r="N38" i="4" s="1"/>
  <c r="N39" i="4" s="1"/>
  <c r="G32" i="4" s="1"/>
  <c r="G15" i="6" s="1"/>
  <c r="D70" i="3"/>
  <c r="D76" i="3" s="1"/>
  <c r="F70" i="3"/>
  <c r="F76" i="3" s="1"/>
  <c r="C70" i="3"/>
  <c r="C76" i="3" s="1"/>
  <c r="E70" i="3"/>
  <c r="E76" i="3" s="1"/>
  <c r="B70" i="3"/>
  <c r="B76" i="3" s="1"/>
  <c r="D53" i="3"/>
  <c r="D59" i="3" s="1"/>
  <c r="C53" i="3"/>
  <c r="C59" i="3" s="1"/>
  <c r="B53" i="3"/>
  <c r="B59" i="3" s="1"/>
  <c r="D10" i="3"/>
  <c r="C10" i="3"/>
  <c r="M48" i="4" l="1"/>
  <c r="F33" i="4" s="1"/>
  <c r="F16" i="6" s="1"/>
  <c r="F17" i="6" s="1"/>
  <c r="N48" i="4"/>
  <c r="G33" i="4" s="1"/>
  <c r="G16" i="6" s="1"/>
  <c r="C28" i="3"/>
  <c r="D28" i="3"/>
  <c r="F15" i="5"/>
  <c r="I9" i="7"/>
  <c r="I8" i="7"/>
  <c r="I11" i="7" s="1"/>
  <c r="M18" i="7" s="1"/>
  <c r="F53" i="3"/>
  <c r="E10" i="3"/>
  <c r="E53" i="3"/>
  <c r="F10" i="3"/>
  <c r="G17" i="6"/>
  <c r="G34" i="4"/>
  <c r="H22" i="5" s="1"/>
  <c r="H23" i="5" s="1"/>
  <c r="G26" i="6" s="1"/>
  <c r="B16" i="3"/>
  <c r="B92" i="3" s="1"/>
  <c r="C16" i="3"/>
  <c r="C17" i="3" s="1"/>
  <c r="C94" i="3" s="1"/>
  <c r="D16" i="3"/>
  <c r="D39" i="3" s="1"/>
  <c r="B11" i="4"/>
  <c r="D15" i="5" s="1"/>
  <c r="E15" i="5"/>
  <c r="G15" i="5"/>
  <c r="F31" i="4"/>
  <c r="K39" i="4"/>
  <c r="D32" i="4" s="1"/>
  <c r="D15" i="6" s="1"/>
  <c r="L48" i="4"/>
  <c r="E33" i="4" s="1"/>
  <c r="E16" i="6" s="1"/>
  <c r="E17" i="6" s="1"/>
  <c r="B41" i="3"/>
  <c r="B97" i="3"/>
  <c r="E78" i="3"/>
  <c r="F78" i="3"/>
  <c r="B78" i="3"/>
  <c r="B61" i="3"/>
  <c r="D61" i="3"/>
  <c r="C61" i="3"/>
  <c r="B39" i="3"/>
  <c r="F34" i="4" l="1"/>
  <c r="G22" i="5" s="1"/>
  <c r="G23" i="5" s="1"/>
  <c r="E21" i="6"/>
  <c r="E6" i="11"/>
  <c r="E10" i="11" s="1"/>
  <c r="F21" i="6"/>
  <c r="F6" i="11"/>
  <c r="F10" i="11" s="1"/>
  <c r="D9" i="7"/>
  <c r="G17" i="11"/>
  <c r="G21" i="6"/>
  <c r="G6" i="11"/>
  <c r="G10" i="11" s="1"/>
  <c r="B17" i="3"/>
  <c r="B94" i="3" s="1"/>
  <c r="J7" i="7"/>
  <c r="F16" i="3"/>
  <c r="F17" i="3" s="1"/>
  <c r="E28" i="3"/>
  <c r="F28" i="3"/>
  <c r="E16" i="3"/>
  <c r="E59" i="3"/>
  <c r="E61" i="3"/>
  <c r="F59" i="3"/>
  <c r="F61" i="3"/>
  <c r="E17" i="4"/>
  <c r="D34" i="3"/>
  <c r="D35" i="3" s="1"/>
  <c r="D125" i="3"/>
  <c r="J42" i="4"/>
  <c r="J44" i="4"/>
  <c r="J45" i="4"/>
  <c r="J43" i="4"/>
  <c r="C125" i="3"/>
  <c r="D17" i="4"/>
  <c r="E18" i="4" s="1"/>
  <c r="C34" i="3"/>
  <c r="C35" i="3" s="1"/>
  <c r="D12" i="4" s="1"/>
  <c r="B125" i="3"/>
  <c r="C17" i="4"/>
  <c r="B34" i="3"/>
  <c r="B35" i="3" s="1"/>
  <c r="F26" i="6"/>
  <c r="F17" i="11" s="1"/>
  <c r="E34" i="4"/>
  <c r="F22" i="5" s="1"/>
  <c r="F23" i="5" s="1"/>
  <c r="E26" i="6" s="1"/>
  <c r="C31" i="4"/>
  <c r="C15" i="5"/>
  <c r="B9" i="4"/>
  <c r="B15" i="4" s="1"/>
  <c r="B21" i="10" s="1"/>
  <c r="B31" i="4"/>
  <c r="B34" i="4" s="1"/>
  <c r="C22" i="5" s="1"/>
  <c r="D63" i="3"/>
  <c r="D130" i="3" s="1"/>
  <c r="D109" i="3"/>
  <c r="B63" i="3"/>
  <c r="B130" i="3" s="1"/>
  <c r="B109" i="3"/>
  <c r="B110" i="3"/>
  <c r="B80" i="3"/>
  <c r="B132" i="3" s="1"/>
  <c r="B81" i="3"/>
  <c r="B133" i="3" s="1"/>
  <c r="B19" i="3"/>
  <c r="B128" i="3" s="1"/>
  <c r="C109" i="3"/>
  <c r="D78" i="3"/>
  <c r="C78" i="3"/>
  <c r="D92" i="3"/>
  <c r="C92" i="3"/>
  <c r="F110" i="3"/>
  <c r="F80" i="3"/>
  <c r="F132" i="3" s="1"/>
  <c r="F81" i="3"/>
  <c r="F133" i="3" s="1"/>
  <c r="E80" i="3"/>
  <c r="E132" i="3" s="1"/>
  <c r="E110" i="3"/>
  <c r="E81" i="3"/>
  <c r="E133" i="3" s="1"/>
  <c r="C39" i="3"/>
  <c r="D64" i="3"/>
  <c r="D131" i="3" s="1"/>
  <c r="C63" i="3"/>
  <c r="C130" i="3" s="1"/>
  <c r="C64" i="3"/>
  <c r="C131" i="3" s="1"/>
  <c r="B64" i="3"/>
  <c r="B131" i="3" s="1"/>
  <c r="D17" i="3"/>
  <c r="D20" i="3" s="1"/>
  <c r="D129" i="3" s="1"/>
  <c r="C19" i="3"/>
  <c r="C128" i="3" s="1"/>
  <c r="C20" i="3"/>
  <c r="C129" i="3" s="1"/>
  <c r="B20" i="3"/>
  <c r="B129" i="3" s="1"/>
  <c r="D7" i="7" l="1"/>
  <c r="E17" i="11"/>
  <c r="E23" i="6"/>
  <c r="E12" i="11"/>
  <c r="D10" i="14"/>
  <c r="G21" i="12"/>
  <c r="D9" i="14"/>
  <c r="F21" i="12"/>
  <c r="G23" i="6"/>
  <c r="G14" i="11" s="1"/>
  <c r="G12" i="11"/>
  <c r="F23" i="6"/>
  <c r="F14" i="11" s="1"/>
  <c r="F12" i="11"/>
  <c r="D8" i="7"/>
  <c r="F28" i="6"/>
  <c r="F94" i="3"/>
  <c r="F19" i="3"/>
  <c r="F128" i="3" s="1"/>
  <c r="F20" i="3"/>
  <c r="F129" i="3" s="1"/>
  <c r="F64" i="3"/>
  <c r="F131" i="3" s="1"/>
  <c r="F134" i="3" s="1"/>
  <c r="F135" i="3" s="1"/>
  <c r="E64" i="3"/>
  <c r="E131" i="3" s="1"/>
  <c r="F34" i="3"/>
  <c r="F125" i="3"/>
  <c r="F35" i="3"/>
  <c r="G17" i="4"/>
  <c r="F109" i="3"/>
  <c r="F63" i="3"/>
  <c r="F130" i="3" s="1"/>
  <c r="E109" i="3"/>
  <c r="E63" i="3"/>
  <c r="E130" i="3" s="1"/>
  <c r="E39" i="3"/>
  <c r="E92" i="3"/>
  <c r="E17" i="3"/>
  <c r="E34" i="3"/>
  <c r="E125" i="3"/>
  <c r="E35" i="3"/>
  <c r="E42" i="3" s="1"/>
  <c r="F17" i="4"/>
  <c r="F18" i="4" s="1"/>
  <c r="F20" i="4" s="1"/>
  <c r="F92" i="3"/>
  <c r="F39" i="3"/>
  <c r="D18" i="4"/>
  <c r="C18" i="4"/>
  <c r="C20" i="4" s="1"/>
  <c r="C42" i="3"/>
  <c r="C12" i="4"/>
  <c r="E16" i="5" s="1"/>
  <c r="D16" i="5"/>
  <c r="B22" i="4"/>
  <c r="B25" i="4" s="1"/>
  <c r="B24" i="4"/>
  <c r="B15" i="12" s="1"/>
  <c r="J47" i="4"/>
  <c r="C23" i="5"/>
  <c r="B26" i="6" s="1"/>
  <c r="I15" i="5"/>
  <c r="C18" i="5"/>
  <c r="E12" i="4"/>
  <c r="B134" i="3"/>
  <c r="B135" i="3" s="1"/>
  <c r="D19" i="3"/>
  <c r="D128" i="3" s="1"/>
  <c r="D94" i="3"/>
  <c r="D110" i="3"/>
  <c r="D80" i="3"/>
  <c r="D132" i="3" s="1"/>
  <c r="D81" i="3"/>
  <c r="D133" i="3" s="1"/>
  <c r="D134" i="3" s="1"/>
  <c r="C80" i="3"/>
  <c r="C132" i="3" s="1"/>
  <c r="C110" i="3"/>
  <c r="C81" i="3"/>
  <c r="C133" i="3" s="1"/>
  <c r="C134" i="3" s="1"/>
  <c r="B42" i="3"/>
  <c r="B46" i="3"/>
  <c r="D46" i="3"/>
  <c r="D42" i="3"/>
  <c r="C46" i="3"/>
  <c r="B47" i="3"/>
  <c r="D47" i="3"/>
  <c r="C47" i="3"/>
  <c r="D8" i="14" l="1"/>
  <c r="E21" i="12"/>
  <c r="E14" i="11"/>
  <c r="E30" i="6"/>
  <c r="B13" i="12"/>
  <c r="G18" i="4"/>
  <c r="G20" i="4" s="1"/>
  <c r="J8" i="7"/>
  <c r="F30" i="6"/>
  <c r="E98" i="3"/>
  <c r="E43" i="3"/>
  <c r="E44" i="3" s="1"/>
  <c r="E94" i="3"/>
  <c r="E19" i="3"/>
  <c r="E128" i="3" s="1"/>
  <c r="E20" i="3"/>
  <c r="E129" i="3" s="1"/>
  <c r="E134" i="3" s="1"/>
  <c r="E135" i="3" s="1"/>
  <c r="G12" i="4"/>
  <c r="F46" i="3"/>
  <c r="F42" i="3"/>
  <c r="F47" i="3"/>
  <c r="F12" i="4"/>
  <c r="G16" i="5" s="1"/>
  <c r="E46" i="3"/>
  <c r="E47" i="3"/>
  <c r="B36" i="4"/>
  <c r="B23" i="10" s="1"/>
  <c r="C4" i="7"/>
  <c r="C25" i="5"/>
  <c r="D20" i="4"/>
  <c r="E20" i="4"/>
  <c r="B27" i="6"/>
  <c r="D4" i="7"/>
  <c r="C25" i="6"/>
  <c r="J48" i="4"/>
  <c r="C33" i="4" s="1"/>
  <c r="K48" i="4"/>
  <c r="D33" i="4" s="1"/>
  <c r="F16" i="5"/>
  <c r="C135" i="3"/>
  <c r="C43" i="3"/>
  <c r="C44" i="3" s="1"/>
  <c r="C98" i="3"/>
  <c r="C100" i="3" s="1"/>
  <c r="B43" i="3"/>
  <c r="B44" i="3" s="1"/>
  <c r="B98" i="3"/>
  <c r="B100" i="3" s="1"/>
  <c r="D43" i="3"/>
  <c r="D44" i="3" s="1"/>
  <c r="D98" i="3"/>
  <c r="D100" i="3" s="1"/>
  <c r="D135" i="3"/>
  <c r="B24" i="10" l="1"/>
  <c r="D23" i="10"/>
  <c r="F43" i="3"/>
  <c r="F44" i="3" s="1"/>
  <c r="F98" i="3"/>
  <c r="F100" i="3" s="1"/>
  <c r="F102" i="3" s="1"/>
  <c r="H16" i="5"/>
  <c r="I16" i="5" s="1"/>
  <c r="E100" i="3"/>
  <c r="E102" i="3" s="1"/>
  <c r="G4" i="7"/>
  <c r="D16" i="6"/>
  <c r="D17" i="6" s="1"/>
  <c r="D34" i="4"/>
  <c r="E22" i="5" s="1"/>
  <c r="E23" i="5" s="1"/>
  <c r="C16" i="6"/>
  <c r="C17" i="6" s="1"/>
  <c r="C21" i="6" s="1"/>
  <c r="C23" i="6" s="1"/>
  <c r="C34" i="4"/>
  <c r="D22" i="5" s="1"/>
  <c r="D102" i="3"/>
  <c r="C102" i="3"/>
  <c r="D21" i="6" l="1"/>
  <c r="D6" i="11"/>
  <c r="D10" i="11" s="1"/>
  <c r="F13" i="4"/>
  <c r="F9" i="4" s="1"/>
  <c r="G13" i="4"/>
  <c r="G9" i="4" s="1"/>
  <c r="B27" i="10"/>
  <c r="L4" i="7"/>
  <c r="D26" i="6"/>
  <c r="D23" i="5"/>
  <c r="I22" i="5"/>
  <c r="I23" i="5" s="1"/>
  <c r="B7" i="8" s="1"/>
  <c r="F7" i="8" s="1"/>
  <c r="C28" i="6"/>
  <c r="J5" i="7" s="1"/>
  <c r="E13" i="4"/>
  <c r="D13" i="4"/>
  <c r="H17" i="5" l="1"/>
  <c r="D6" i="7"/>
  <c r="D17" i="11"/>
  <c r="D23" i="6"/>
  <c r="D14" i="11" s="1"/>
  <c r="D12" i="11"/>
  <c r="G15" i="4"/>
  <c r="G10" i="13"/>
  <c r="F15" i="4"/>
  <c r="F10" i="13"/>
  <c r="B28" i="10"/>
  <c r="M4" i="7"/>
  <c r="F17" i="5"/>
  <c r="G17" i="5"/>
  <c r="C26" i="6"/>
  <c r="E9" i="4"/>
  <c r="D9" i="4"/>
  <c r="D7" i="14" l="1"/>
  <c r="D12" i="14" s="1"/>
  <c r="D21" i="12"/>
  <c r="H21" i="12" s="1"/>
  <c r="D15" i="4"/>
  <c r="D10" i="13"/>
  <c r="D18" i="11"/>
  <c r="E15" i="4"/>
  <c r="F24" i="4" s="1"/>
  <c r="F15" i="12" s="1"/>
  <c r="C9" i="14" s="1"/>
  <c r="E10" i="13"/>
  <c r="G24" i="4"/>
  <c r="G15" i="12" s="1"/>
  <c r="B32" i="10"/>
  <c r="C27" i="6"/>
  <c r="D25" i="6" s="1"/>
  <c r="D28" i="6" s="1"/>
  <c r="D5" i="7"/>
  <c r="E24" i="4" l="1"/>
  <c r="E15" i="12" s="1"/>
  <c r="D21" i="11"/>
  <c r="D19" i="11"/>
  <c r="E16" i="11"/>
  <c r="C8" i="14"/>
  <c r="B32" i="13"/>
  <c r="B31" i="13" s="1"/>
  <c r="B35" i="13" s="1"/>
  <c r="B7" i="12"/>
  <c r="B33" i="10"/>
  <c r="J6" i="7"/>
  <c r="D30" i="6"/>
  <c r="E25" i="6"/>
  <c r="D11" i="7"/>
  <c r="D11" i="12" l="1"/>
  <c r="C11" i="13"/>
  <c r="K7" i="14"/>
  <c r="C23" i="13"/>
  <c r="C12" i="13" s="1"/>
  <c r="E18" i="11"/>
  <c r="B5" i="12"/>
  <c r="F25" i="6"/>
  <c r="G25" i="6"/>
  <c r="G28" i="6"/>
  <c r="F16" i="11" l="1"/>
  <c r="E21" i="11"/>
  <c r="E19" i="11"/>
  <c r="B24" i="12"/>
  <c r="B27" i="12" s="1"/>
  <c r="G30" i="6"/>
  <c r="J9" i="7"/>
  <c r="E11" i="12" l="1"/>
  <c r="K8" i="14"/>
  <c r="D11" i="13"/>
  <c r="D23" i="13"/>
  <c r="D12" i="13" s="1"/>
  <c r="F18" i="11"/>
  <c r="B8" i="13"/>
  <c r="B5" i="13" s="1"/>
  <c r="B24" i="13" s="1"/>
  <c r="B28" i="12"/>
  <c r="E24" i="14" s="1"/>
  <c r="F24" i="14" s="1"/>
  <c r="G24" i="14" s="1"/>
  <c r="H24" i="14" s="1"/>
  <c r="C6" i="12"/>
  <c r="J11" i="7"/>
  <c r="M19" i="7" s="1"/>
  <c r="B101" i="3"/>
  <c r="B102" i="3" s="1"/>
  <c r="C13" i="4"/>
  <c r="C107" i="3"/>
  <c r="B107" i="3"/>
  <c r="C112" i="3" l="1"/>
  <c r="C5" i="9"/>
  <c r="C6" i="9" s="1"/>
  <c r="C11" i="9" s="1"/>
  <c r="F19" i="11"/>
  <c r="G16" i="11"/>
  <c r="F21" i="11"/>
  <c r="B112" i="3"/>
  <c r="B114" i="3" s="1"/>
  <c r="B5" i="9"/>
  <c r="B38" i="13"/>
  <c r="C114" i="3"/>
  <c r="C116" i="3"/>
  <c r="B116" i="3"/>
  <c r="E17" i="5"/>
  <c r="D17" i="5"/>
  <c r="C9" i="4"/>
  <c r="C15" i="4" s="1"/>
  <c r="D21" i="10" s="1"/>
  <c r="C21" i="10" s="1"/>
  <c r="E107" i="3"/>
  <c r="F107" i="3"/>
  <c r="D107" i="3"/>
  <c r="G18" i="11" l="1"/>
  <c r="H7" i="14"/>
  <c r="D16" i="12"/>
  <c r="K9" i="14"/>
  <c r="F11" i="12"/>
  <c r="E11" i="13"/>
  <c r="E23" i="13"/>
  <c r="E12" i="13" s="1"/>
  <c r="D112" i="3"/>
  <c r="D116" i="3" s="1"/>
  <c r="D5" i="9"/>
  <c r="D6" i="9" s="1"/>
  <c r="D11" i="9" s="1"/>
  <c r="E112" i="3"/>
  <c r="E5" i="9"/>
  <c r="E6" i="9" s="1"/>
  <c r="E11" i="9" s="1"/>
  <c r="F112" i="3"/>
  <c r="F5" i="9"/>
  <c r="F6" i="9" s="1"/>
  <c r="F11" i="9" s="1"/>
  <c r="B6" i="9"/>
  <c r="B11" i="9" s="1"/>
  <c r="G5" i="9"/>
  <c r="F116" i="3"/>
  <c r="F114" i="3"/>
  <c r="D24" i="4"/>
  <c r="D15" i="12" s="1"/>
  <c r="C24" i="4"/>
  <c r="C15" i="12" s="1"/>
  <c r="D114" i="3"/>
  <c r="E116" i="3"/>
  <c r="E114" i="3"/>
  <c r="I17" i="5"/>
  <c r="B117" i="3"/>
  <c r="H5" i="7"/>
  <c r="H6" i="7"/>
  <c r="C117" i="3"/>
  <c r="E6" i="7" l="1"/>
  <c r="E7" i="14"/>
  <c r="F7" i="14" s="1"/>
  <c r="G7" i="14" s="1"/>
  <c r="C12" i="9"/>
  <c r="C7" i="14"/>
  <c r="L7" i="14"/>
  <c r="G19" i="11"/>
  <c r="G21" i="11"/>
  <c r="H8" i="14"/>
  <c r="E16" i="12"/>
  <c r="H10" i="14"/>
  <c r="G16" i="12"/>
  <c r="H9" i="14"/>
  <c r="F16" i="12"/>
  <c r="C16" i="12"/>
  <c r="E5" i="7"/>
  <c r="B12" i="9"/>
  <c r="G6" i="9"/>
  <c r="H5" i="9"/>
  <c r="H15" i="12"/>
  <c r="C10" i="14" s="1"/>
  <c r="C118" i="3"/>
  <c r="C120" i="3" s="1"/>
  <c r="B118" i="3"/>
  <c r="B120" i="3" s="1"/>
  <c r="B124" i="3" s="1"/>
  <c r="B126" i="3" s="1"/>
  <c r="F6" i="7"/>
  <c r="K6" i="7"/>
  <c r="K5" i="7"/>
  <c r="F5" i="7"/>
  <c r="E117" i="3"/>
  <c r="H8" i="7"/>
  <c r="D117" i="3"/>
  <c r="H7" i="7"/>
  <c r="F117" i="3"/>
  <c r="H9" i="7"/>
  <c r="H16" i="12" l="1"/>
  <c r="K10" i="14"/>
  <c r="K12" i="14" s="1"/>
  <c r="L26" i="14" s="1"/>
  <c r="G11" i="12"/>
  <c r="H11" i="12" s="1"/>
  <c r="F11" i="13"/>
  <c r="F23" i="13"/>
  <c r="F12" i="13" s="1"/>
  <c r="M7" i="14"/>
  <c r="N7" i="14" s="1"/>
  <c r="D19" i="12"/>
  <c r="C13" i="9"/>
  <c r="L8" i="14"/>
  <c r="E7" i="7"/>
  <c r="E8" i="14"/>
  <c r="F8" i="14" s="1"/>
  <c r="G8" i="14" s="1"/>
  <c r="D12" i="9"/>
  <c r="L9" i="14"/>
  <c r="H12" i="14"/>
  <c r="E9" i="7"/>
  <c r="F9" i="7" s="1"/>
  <c r="E10" i="14"/>
  <c r="F10" i="14" s="1"/>
  <c r="G10" i="14" s="1"/>
  <c r="F12" i="9"/>
  <c r="E8" i="7"/>
  <c r="E9" i="14"/>
  <c r="E12" i="14" s="1"/>
  <c r="E12" i="9"/>
  <c r="C12" i="14"/>
  <c r="L27" i="14" s="1"/>
  <c r="B29" i="14"/>
  <c r="G12" i="9"/>
  <c r="H12" i="9" s="1"/>
  <c r="C19" i="12"/>
  <c r="H6" i="9"/>
  <c r="G11" i="9"/>
  <c r="B13" i="9"/>
  <c r="F118" i="3"/>
  <c r="E118" i="3"/>
  <c r="E120" i="3" s="1"/>
  <c r="F120" i="3"/>
  <c r="D118" i="3"/>
  <c r="D120" i="3" s="1"/>
  <c r="B121" i="3"/>
  <c r="C19" i="4" s="1"/>
  <c r="E11" i="7"/>
  <c r="K9" i="7"/>
  <c r="C124" i="3"/>
  <c r="C126" i="3" s="1"/>
  <c r="C121" i="3"/>
  <c r="D19" i="4" s="1"/>
  <c r="H11" i="7"/>
  <c r="F7" i="7"/>
  <c r="K7" i="7"/>
  <c r="F8" i="7"/>
  <c r="K8" i="7"/>
  <c r="L10" i="14" l="1"/>
  <c r="L12" i="14" s="1"/>
  <c r="C14" i="9"/>
  <c r="D33" i="13" s="1"/>
  <c r="D17" i="12"/>
  <c r="D13" i="12" s="1"/>
  <c r="M8" i="14"/>
  <c r="N8" i="14" s="1"/>
  <c r="E19" i="12"/>
  <c r="D13" i="9"/>
  <c r="G19" i="12"/>
  <c r="F13" i="9"/>
  <c r="F9" i="14"/>
  <c r="F19" i="12"/>
  <c r="E13" i="9"/>
  <c r="C29" i="14"/>
  <c r="B31" i="14"/>
  <c r="M10" i="14"/>
  <c r="H11" i="9"/>
  <c r="G13" i="9"/>
  <c r="H13" i="9" s="1"/>
  <c r="B14" i="9"/>
  <c r="C17" i="12"/>
  <c r="F11" i="7"/>
  <c r="C16" i="4"/>
  <c r="C22" i="4" s="1"/>
  <c r="C25" i="4" s="1"/>
  <c r="E12" i="5"/>
  <c r="E18" i="5" s="1"/>
  <c r="K11" i="7"/>
  <c r="D12" i="5"/>
  <c r="D18" i="5" s="1"/>
  <c r="D124" i="3"/>
  <c r="D126" i="3" s="1"/>
  <c r="D121" i="3"/>
  <c r="E19" i="4" s="1"/>
  <c r="D16" i="4"/>
  <c r="D22" i="4" s="1"/>
  <c r="E121" i="3"/>
  <c r="F19" i="4" s="1"/>
  <c r="E124" i="3"/>
  <c r="E126" i="3" s="1"/>
  <c r="F124" i="3"/>
  <c r="F126" i="3" s="1"/>
  <c r="F121" i="3"/>
  <c r="G19" i="4" s="1"/>
  <c r="H19" i="12" l="1"/>
  <c r="D14" i="9"/>
  <c r="E33" i="13" s="1"/>
  <c r="E17" i="12"/>
  <c r="E13" i="12" s="1"/>
  <c r="E14" i="9"/>
  <c r="F33" i="13" s="1"/>
  <c r="F17" i="12"/>
  <c r="F13" i="12" s="1"/>
  <c r="G9" i="14"/>
  <c r="F12" i="14"/>
  <c r="F14" i="9"/>
  <c r="G33" i="13" s="1"/>
  <c r="G17" i="12"/>
  <c r="G13" i="12" s="1"/>
  <c r="C31" i="14"/>
  <c r="H17" i="12"/>
  <c r="C13" i="12"/>
  <c r="G14" i="9"/>
  <c r="C33" i="13"/>
  <c r="D34" i="13" s="1"/>
  <c r="E34" i="13" s="1"/>
  <c r="F34" i="13" s="1"/>
  <c r="G34" i="13" s="1"/>
  <c r="C20" i="10"/>
  <c r="H12" i="5"/>
  <c r="H18" i="5" s="1"/>
  <c r="H25" i="5" s="1"/>
  <c r="C36" i="4"/>
  <c r="C5" i="7"/>
  <c r="G12" i="5"/>
  <c r="G18" i="5" s="1"/>
  <c r="F12" i="5"/>
  <c r="D25" i="4"/>
  <c r="G16" i="4"/>
  <c r="G22" i="4" s="1"/>
  <c r="F16" i="4"/>
  <c r="F22" i="4" s="1"/>
  <c r="E25" i="5"/>
  <c r="E16" i="4"/>
  <c r="E22" i="4" s="1"/>
  <c r="E25" i="4" s="1"/>
  <c r="D25" i="5"/>
  <c r="M9" i="14" l="1"/>
  <c r="G12" i="14"/>
  <c r="D20" i="10"/>
  <c r="C24" i="10"/>
  <c r="H14" i="9"/>
  <c r="H13" i="12"/>
  <c r="D36" i="4"/>
  <c r="C6" i="7"/>
  <c r="G6" i="7" s="1"/>
  <c r="L6" i="7" s="1"/>
  <c r="E36" i="4"/>
  <c r="C7" i="7"/>
  <c r="G25" i="4"/>
  <c r="F18" i="5"/>
  <c r="I12" i="5"/>
  <c r="I18" i="5" s="1"/>
  <c r="B6" i="8" s="1"/>
  <c r="G25" i="5"/>
  <c r="F25" i="4"/>
  <c r="G5" i="7"/>
  <c r="D15" i="14" l="1"/>
  <c r="N9" i="14"/>
  <c r="N10" i="14" s="1"/>
  <c r="D14" i="14" s="1"/>
  <c r="D16" i="14"/>
  <c r="M12" i="14"/>
  <c r="L28" i="14" s="1"/>
  <c r="C27" i="10"/>
  <c r="D24" i="10"/>
  <c r="B8" i="8"/>
  <c r="C6" i="8" s="1"/>
  <c r="E6" i="8" s="1"/>
  <c r="F6" i="8"/>
  <c r="G36" i="4"/>
  <c r="C9" i="7"/>
  <c r="F36" i="4"/>
  <c r="C8" i="7"/>
  <c r="G8" i="7" s="1"/>
  <c r="L8" i="7" s="1"/>
  <c r="I25" i="5"/>
  <c r="L5" i="7"/>
  <c r="F25" i="5"/>
  <c r="C28" i="10" l="1"/>
  <c r="D27" i="10"/>
  <c r="G6" i="8"/>
  <c r="F8" i="8"/>
  <c r="G8" i="8" s="1"/>
  <c r="G7" i="8"/>
  <c r="C7" i="8"/>
  <c r="G5" i="8"/>
  <c r="C5" i="8"/>
  <c r="G7" i="7"/>
  <c r="M5" i="7"/>
  <c r="M6" i="7" s="1"/>
  <c r="C32" i="10" l="1"/>
  <c r="D28" i="10"/>
  <c r="E5" i="8"/>
  <c r="E8" i="8" s="1"/>
  <c r="C8" i="8"/>
  <c r="L7" i="7"/>
  <c r="M7" i="7" s="1"/>
  <c r="D14" i="7" s="1"/>
  <c r="C7" i="12" l="1"/>
  <c r="C33" i="10"/>
  <c r="D32" i="10"/>
  <c r="M8" i="7"/>
  <c r="C11" i="7"/>
  <c r="M20" i="7" s="1"/>
  <c r="G9" i="7"/>
  <c r="G11" i="7" s="1"/>
  <c r="D32" i="13" l="1"/>
  <c r="D31" i="13" s="1"/>
  <c r="C32" i="13"/>
  <c r="C31" i="13" s="1"/>
  <c r="E32" i="10"/>
  <c r="F32" i="13"/>
  <c r="F31" i="13" s="1"/>
  <c r="E32" i="13"/>
  <c r="E31" i="13" s="1"/>
  <c r="D33" i="10"/>
  <c r="G32" i="13"/>
  <c r="G31" i="13" s="1"/>
  <c r="H7" i="12"/>
  <c r="C5" i="12"/>
  <c r="L9" i="7"/>
  <c r="C24" i="12" l="1"/>
  <c r="C27" i="12" s="1"/>
  <c r="E30" i="10"/>
  <c r="E31" i="10"/>
  <c r="E33" i="10"/>
  <c r="D15" i="7"/>
  <c r="M9" i="7"/>
  <c r="D13" i="7" s="1"/>
  <c r="L11" i="7"/>
  <c r="C8" i="13" l="1"/>
  <c r="C5" i="13" s="1"/>
  <c r="C24" i="13" s="1"/>
  <c r="D6" i="12"/>
  <c r="D5" i="12" s="1"/>
  <c r="C28" i="12"/>
  <c r="E25" i="14" s="1"/>
  <c r="F25" i="14" s="1"/>
  <c r="G25" i="14" s="1"/>
  <c r="H25" i="14" s="1"/>
  <c r="M21" i="7"/>
  <c r="F30" i="13"/>
  <c r="F35" i="13" s="1"/>
  <c r="D30" i="13"/>
  <c r="D35" i="13" s="1"/>
  <c r="G30" i="13"/>
  <c r="G35" i="13" s="1"/>
  <c r="C30" i="13"/>
  <c r="C35" i="13" s="1"/>
  <c r="E30" i="13"/>
  <c r="E35" i="13" s="1"/>
  <c r="B30" i="13"/>
  <c r="G29" i="13"/>
  <c r="B29" i="13"/>
  <c r="C29" i="13" s="1"/>
  <c r="D29" i="13" s="1"/>
  <c r="E29" i="13" s="1"/>
  <c r="F29" i="13" s="1"/>
  <c r="D24" i="12" l="1"/>
  <c r="D27" i="12" s="1"/>
  <c r="C38" i="13"/>
  <c r="D28" i="12" l="1"/>
  <c r="E26" i="14" s="1"/>
  <c r="F26" i="14" s="1"/>
  <c r="G26" i="14" s="1"/>
  <c r="H26" i="14" s="1"/>
  <c r="D8" i="13"/>
  <c r="D5" i="13" s="1"/>
  <c r="D24" i="13" s="1"/>
  <c r="E6" i="12"/>
  <c r="E5" i="12" s="1"/>
  <c r="E24" i="12" l="1"/>
  <c r="E27" i="12" s="1"/>
  <c r="D38" i="13"/>
  <c r="E8" i="13" l="1"/>
  <c r="E5" i="13" s="1"/>
  <c r="E24" i="13" s="1"/>
  <c r="F6" i="12"/>
  <c r="F5" i="12" s="1"/>
  <c r="E28" i="12"/>
  <c r="E27" i="14" s="1"/>
  <c r="F27" i="14" s="1"/>
  <c r="G27" i="14" s="1"/>
  <c r="H27" i="14" s="1"/>
  <c r="F24" i="12" l="1"/>
  <c r="F27" i="12" s="1"/>
  <c r="E38" i="13"/>
  <c r="F28" i="12" l="1"/>
  <c r="E28" i="14" s="1"/>
  <c r="F28" i="14" s="1"/>
  <c r="G28" i="14" s="1"/>
  <c r="H28" i="14" s="1"/>
  <c r="F8" i="13"/>
  <c r="F5" i="13" s="1"/>
  <c r="F24" i="13" s="1"/>
  <c r="G6" i="12"/>
  <c r="G5" i="12" s="1"/>
  <c r="G24" i="12" l="1"/>
  <c r="G27" i="12" s="1"/>
  <c r="H5" i="12"/>
  <c r="H24" i="12" s="1"/>
  <c r="F38" i="13"/>
  <c r="G8" i="13" l="1"/>
  <c r="G5" i="13" s="1"/>
  <c r="G24" i="13" s="1"/>
  <c r="G28" i="12"/>
  <c r="E29" i="14" s="1"/>
  <c r="F29" i="14" l="1"/>
  <c r="E31" i="14"/>
  <c r="H28" i="12"/>
  <c r="H27" i="12"/>
  <c r="G38" i="13"/>
  <c r="L36" i="14"/>
  <c r="F31" i="14" l="1"/>
  <c r="G29" i="14"/>
  <c r="D36" i="14" l="1"/>
  <c r="D35" i="14"/>
  <c r="H29" i="14"/>
  <c r="G31" i="14"/>
  <c r="D34" i="14" l="1"/>
  <c r="L30" i="14"/>
  <c r="L33" i="14"/>
  <c r="L34" i="14"/>
  <c r="L32" i="14"/>
  <c r="L31" i="14"/>
  <c r="X42" i="8"/>
  <c r="S42" i="8"/>
</calcChain>
</file>

<file path=xl/sharedStrings.xml><?xml version="1.0" encoding="utf-8"?>
<sst xmlns="http://schemas.openxmlformats.org/spreadsheetml/2006/main" count="1001" uniqueCount="617">
  <si>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</si>
  <si>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</si>
  <si>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</si>
  <si>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</si>
  <si>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</si>
  <si>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</si>
  <si>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</si>
  <si>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</si>
  <si>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</si>
  <si>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</si>
  <si>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</si>
  <si>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</si>
  <si>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</si>
  <si>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</si>
  <si>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</si>
  <si>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</si>
  <si>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</si>
  <si>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</si>
  <si>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</si>
  <si>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</si>
  <si>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</si>
  <si>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</si>
  <si>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</si>
  <si>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</si>
  <si>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</si>
  <si>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</si>
  <si>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</si>
  <si>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</si>
  <si>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</si>
  <si>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</si>
  <si>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</si>
  <si>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</si>
  <si>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</si>
  <si>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</si>
  <si>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</si>
  <si>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</si>
  <si>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</si>
  <si>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</si>
  <si>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</si>
  <si>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</si>
  <si>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</si>
  <si>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</si>
  <si>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</si>
  <si>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</si>
  <si>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</si>
  <si>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</si>
  <si>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</si>
  <si>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</si>
  <si>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Oktubre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</si>
  <si>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</si>
  <si>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</si>
  <si>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</si>
  <si>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</si>
  <si>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</si>
  <si>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</si>
  <si>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</si>
  <si>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</si>
  <si>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</si>
  <si>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</si>
  <si>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</si>
  <si>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</si>
  <si>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</si>
  <si>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</si>
  <si>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</si>
  <si>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</si>
  <si>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</si>
  <si>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</si>
  <si>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</si>
  <si>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</si>
  <si>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</si>
  <si>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</si>
  <si>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</si>
  <si>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</si>
  <si>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</si>
  <si>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</si>
  <si>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</si>
  <si>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</si>
  <si>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</si>
  <si>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</si>
  <si>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</si>
  <si>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</si>
  <si>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</si>
  <si>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</si>
  <si>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</si>
  <si>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</si>
  <si>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</si>
  <si>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</si>
  <si>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</si>
  <si>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</si>
  <si>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</si>
  <si>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</si>
  <si>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</si>
  <si>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</si>
  <si>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</si>
  <si>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</si>
  <si>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</si>
  <si>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</si>
  <si>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</si>
  <si>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</si>
  <si>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</si>
  <si>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</si>
  <si>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</si>
  <si>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</si>
  <si>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</si>
  <si>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</si>
  <si>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</si>
  <si>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</si>
  <si>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</si>
  <si>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</si>
  <si>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</si>
  <si>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</si>
  <si>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</si>
  <si>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</si>
  <si>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</si>
  <si>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</si>
  <si>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</si>
  <si>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</si>
  <si>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</si>
  <si>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</si>
  <si>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</si>
  <si>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</si>
  <si>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</si>
  <si>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</si>
  <si>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</si>
  <si>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</si>
  <si>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</si>
  <si>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</si>
  <si>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</si>
  <si>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</si>
  <si>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</si>
  <si>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</si>
  <si>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</si>
  <si>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</si>
  <si>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</si>
  <si>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</si>
  <si>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</si>
  <si>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</si>
  <si>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</si>
  <si>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</si>
  <si>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</si>
  <si>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</si>
  <si>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</si>
  <si>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</si>
  <si>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</si>
  <si>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</si>
  <si>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</si>
  <si>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</si>
  <si>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</si>
  <si>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</si>
  <si>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</si>
  <si>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</si>
  <si>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</si>
  <si>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</si>
  <si>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</si>
  <si>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</si>
  <si>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</si>
  <si>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</si>
  <si>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</si>
  <si>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</si>
  <si>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</si>
  <si>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</si>
  <si>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</si>
  <si>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</si>
  <si>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</si>
  <si>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</si>
  <si>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</si>
  <si>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</si>
  <si>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</si>
  <si>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</si>
  <si>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</si>
  <si>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</si>
  <si>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</si>
  <si>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</si>
  <si>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</si>
  <si>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</si>
  <si>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</si>
  <si>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</si>
  <si>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</si>
  <si>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</si>
  <si>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</si>
  <si>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</si>
  <si>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</si>
  <si>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</si>
  <si>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</si>
  <si>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</si>
  <si>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</si>
  <si>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</si>
  <si>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</si>
  <si>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</si>
  <si>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</si>
  <si>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</si>
  <si>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</si>
  <si>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</si>
  <si>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</si>
  <si>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</si>
  <si>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</si>
  <si>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</si>
  <si>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</si>
  <si>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</si>
  <si>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</si>
  <si>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</si>
  <si>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</si>
  <si>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</si>
  <si>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</si>
  <si>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</si>
  <si>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</si>
  <si>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</si>
  <si>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</si>
  <si>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</si>
  <si>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</si>
  <si>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</si>
  <si>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</si>
  <si>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</si>
  <si>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</si>
  <si>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</si>
  <si>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</si>
  <si>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</si>
  <si>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</si>
  <si>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</si>
  <si>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</si>
  <si>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</si>
  <si>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</si>
  <si>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</si>
  <si>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</si>
  <si>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</si>
  <si>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</si>
  <si>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</si>
  <si>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</si>
  <si>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</si>
  <si>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</si>
  <si>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</si>
  <si>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</si>
  <si>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</si>
  <si>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</si>
  <si>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</si>
  <si>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</si>
  <si>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</si>
  <si>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</si>
  <si>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</si>
  <si>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</si>
  <si>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</si>
  <si>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</si>
  <si>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</si>
  <si>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</si>
  <si>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</si>
  <si>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</si>
  <si>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</si>
  <si>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</si>
  <si>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</si>
  <si>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</si>
  <si>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</si>
  <si>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</si>
  <si>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</si>
  <si>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</si>
  <si>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</si>
  <si>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</si>
  <si>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</si>
  <si>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</si>
  <si>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</si>
  <si>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</si>
  <si>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</si>
  <si>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</si>
  <si>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</si>
  <si>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</si>
  <si>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</si>
  <si>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</si>
  <si>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</si>
  <si>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</si>
  <si>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</si>
  <si>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</si>
  <si>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</si>
  <si>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</si>
  <si>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</si>
  <si>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</si>
  <si>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</si>
  <si>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</si>
  <si>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</si>
  <si>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</si>
  <si>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</si>
  <si>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</si>
  <si>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</si>
  <si>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</si>
  <si>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</si>
  <si>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</si>
  <si>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</si>
  <si>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</si>
  <si>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</si>
  <si>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</si>
  <si>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</si>
  <si>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</si>
  <si>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</si>
  <si>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</si>
  <si>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</si>
  <si>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</si>
  <si>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</si>
  <si>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</si>
  <si>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</si>
  <si>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</si>
  <si>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</si>
  <si>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</si>
  <si>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</si>
  <si>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</si>
  <si>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</si>
  <si>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</si>
  <si>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</si>
  <si>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</si>
  <si>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</si>
  <si>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</si>
  <si>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</si>
  <si>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</si>
  <si>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</si>
  <si>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</si>
  <si>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</si>
  <si>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</si>
  <si>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</si>
  <si>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</si>
  <si>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</si>
  <si>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</si>
  <si>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</si>
  <si>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</si>
  <si>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</si>
  <si>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</si>
  <si>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</si>
  <si>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</si>
  <si>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</si>
  <si>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</si>
  <si>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</si>
  <si>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</si>
  <si>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</si>
  <si>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</si>
  <si>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</si>
  <si>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</si>
  <si>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</si>
  <si>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</si>
  <si>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</si>
  <si>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</si>
  <si>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</si>
  <si>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</si>
  <si>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</si>
  <si>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</si>
  <si>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</si>
  <si>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</si>
  <si>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</si>
  <si>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</si>
  <si>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</si>
  <si>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</si>
  <si>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</si>
  <si>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</si>
  <si>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</si>
  <si>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</si>
  <si>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</si>
  <si>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</si>
  <si>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</si>
  <si>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</si>
  <si>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</si>
  <si>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</si>
  <si>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</si>
  <si>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</si>
  <si>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</si>
  <si>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</si>
  <si>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</si>
  <si>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</si>
  <si>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</si>
  <si>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</si>
  <si>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</si>
  <si>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</si>
  <si>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</si>
  <si>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</si>
  <si>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</si>
  <si>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</si>
  <si>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</si>
  <si>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</si>
  <si>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</si>
  <si>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</si>
  <si>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</si>
  <si>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</si>
  <si>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</si>
  <si>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</si>
  <si>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</si>
  <si>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</si>
  <si>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</si>
  <si>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</si>
  <si>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</si>
  <si>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</si>
  <si>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</si>
  <si>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</si>
  <si>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</si>
  <si>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</si>
  <si>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</si>
  <si>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</si>
  <si>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</si>
  <si>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</si>
  <si>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</si>
  <si>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</si>
  <si>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</si>
  <si>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</si>
  <si>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</si>
  <si>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</si>
  <si>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</si>
  <si>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Barbero</t>
  </si>
  <si>
    <t>Terreno</t>
  </si>
  <si>
    <t>Muebles y Utiles</t>
  </si>
  <si>
    <t>Pc</t>
  </si>
  <si>
    <t>Sillas</t>
  </si>
  <si>
    <t>Ventiladores</t>
  </si>
  <si>
    <t>Estufa</t>
  </si>
  <si>
    <t>Aire acondicionado</t>
  </si>
  <si>
    <t>Cafetera</t>
  </si>
  <si>
    <t>Telefono fijo</t>
  </si>
  <si>
    <t>Escritorios</t>
  </si>
  <si>
    <t>cant</t>
  </si>
  <si>
    <t>impresora</t>
  </si>
  <si>
    <t>Estanterias pt</t>
  </si>
  <si>
    <t>Estanterias mp</t>
  </si>
  <si>
    <t>Mesas industriales</t>
  </si>
  <si>
    <t>Mesa Gerencial</t>
  </si>
  <si>
    <t>Mesas Operacionales</t>
  </si>
  <si>
    <t>Precio unitario</t>
  </si>
  <si>
    <t>Máquinas</t>
  </si>
  <si>
    <t>Corte</t>
  </si>
  <si>
    <t>Confección</t>
  </si>
  <si>
    <t>Cantiodad</t>
  </si>
  <si>
    <t>Precio Unitario</t>
  </si>
  <si>
    <t>Shablon+Maniqueta</t>
  </si>
  <si>
    <t>Exceso Tela</t>
  </si>
  <si>
    <t>Exceso Servicios</t>
  </si>
  <si>
    <t>Años 6/10</t>
  </si>
  <si>
    <t>Cantidad</t>
  </si>
  <si>
    <t>Componentes 1 barbero</t>
  </si>
  <si>
    <t>Tela sylver</t>
  </si>
  <si>
    <t xml:space="preserve">Velcro </t>
  </si>
  <si>
    <t>Sopapas Ventosas</t>
  </si>
  <si>
    <t>Argollas de metal</t>
  </si>
  <si>
    <t>Tela Bies</t>
  </si>
  <si>
    <t>Hilo de Poliester</t>
  </si>
  <si>
    <t>Tinta</t>
  </si>
  <si>
    <t>Empaque</t>
  </si>
  <si>
    <t>Costo</t>
  </si>
  <si>
    <t>Energía</t>
  </si>
  <si>
    <t>Consumo Anual en Régimen</t>
  </si>
  <si>
    <t>Consumo Área Producción</t>
  </si>
  <si>
    <t>Consumo Mantenimiento</t>
  </si>
  <si>
    <t>Gasto Fijo Anual</t>
  </si>
  <si>
    <t>Consumo</t>
  </si>
  <si>
    <t>*</t>
  </si>
  <si>
    <t>*33,23 precio gas oil por litro</t>
  </si>
  <si>
    <t>https://www.zonaprop.com.ar/propiedades/lote-portela-al-500-42873238.html</t>
  </si>
  <si>
    <t>https://servicio.mercadolibre.com.ar/MLA-741092832-galpones-completos-tinglados-pisos-industriales-x-m2-comp-_JM</t>
  </si>
  <si>
    <t>Consideramo que la instalaciones industriales son un 80% del costo de edificio y obras complementarias</t>
  </si>
  <si>
    <t>https://auto.mercadolibre.com.ar/MLA-745872965-fiat-fiorino-13-fire-2010-_JM</t>
  </si>
  <si>
    <t>https://articulo.mercadolibre.com.ar/MLA-736904866-cortadora-de-tela-cuchilla-circular-dapet-5-pulgadas-_JM</t>
  </si>
  <si>
    <t>https://articulo.mercadolibre.com.ar/MLA-678847238-nueva-recta-industrial-jack-f4-motor-bajo-consumo-_JM</t>
  </si>
  <si>
    <t>Imprevistos consideramos que es el 1% de los gastos de bienes de uso</t>
  </si>
  <si>
    <t>https://articulo.mercadolibre.com.ar/MLA-606269565-schablones-shablones-40x50-47h-serigrafia-manigueta-_JM</t>
  </si>
  <si>
    <t>https://articulo.mercadolibre.com.ar/MLA-699259684-manigueta-25cm-color-ambar-serigrafia-_JM</t>
  </si>
  <si>
    <t>Aproximación del costo de abrir una SRL (pyme)</t>
  </si>
  <si>
    <t>Sale del dimensionamiento técnico</t>
  </si>
  <si>
    <t>precio tela sylver: 46$/m2</t>
  </si>
  <si>
    <t>Instalaciones Industriales</t>
  </si>
  <si>
    <t>Máquinas Operativas</t>
  </si>
  <si>
    <t>Años de amorización</t>
  </si>
  <si>
    <t>Repuesto</t>
  </si>
  <si>
    <t>Cuchilla Cortadora</t>
  </si>
  <si>
    <t>Set de agujas</t>
  </si>
  <si>
    <t>Gerente General 100000</t>
  </si>
  <si>
    <t>Gerente Producción 80000</t>
  </si>
  <si>
    <t>Jefes 60000</t>
  </si>
  <si>
    <t>Limpieza y Operario 10700</t>
  </si>
  <si>
    <t>Total PI</t>
  </si>
  <si>
    <t>MOD</t>
  </si>
  <si>
    <t>Sueldo</t>
  </si>
  <si>
    <t>Gasto anual</t>
  </si>
  <si>
    <t>Gerente General</t>
  </si>
  <si>
    <t>Gerente Producción</t>
  </si>
  <si>
    <t>Jefe</t>
  </si>
  <si>
    <t>Carga Social (%)</t>
  </si>
  <si>
    <t>Días de trabajo</t>
  </si>
  <si>
    <t>Cantidad de operarios</t>
  </si>
  <si>
    <t>Turno</t>
  </si>
  <si>
    <t>Horas</t>
  </si>
  <si>
    <t>Jornal ($/h)</t>
  </si>
  <si>
    <t>Gasto específico</t>
  </si>
  <si>
    <t>Gasto de la mercadería en proceso</t>
  </si>
  <si>
    <t>Gasto en la mercadería en proceso</t>
  </si>
  <si>
    <t>Consumo de MP en proceso</t>
  </si>
  <si>
    <t>Potencia Total Instalada</t>
  </si>
  <si>
    <t>Ventas Año 1</t>
  </si>
  <si>
    <t>Gas Oil</t>
  </si>
  <si>
    <t>Gasto Específico</t>
  </si>
  <si>
    <t>Gasto de Mercadería en Proceso</t>
  </si>
  <si>
    <t>Exceso gasto PM</t>
  </si>
  <si>
    <t>Materiales Mercadería CySE Puesta en MArcha</t>
  </si>
  <si>
    <t>Gasto Anual</t>
  </si>
  <si>
    <t>Gasto de Producto Terminado</t>
  </si>
  <si>
    <t>Exceso de gasto de materiales en PM</t>
  </si>
  <si>
    <t>Impuestos</t>
  </si>
  <si>
    <t>Año 2 a n</t>
  </si>
  <si>
    <t>Gastos en el Área de Administración</t>
  </si>
  <si>
    <t>Mantenimiento</t>
  </si>
  <si>
    <t>Limpieza</t>
  </si>
  <si>
    <t xml:space="preserve">Papelería y útiles </t>
  </si>
  <si>
    <t>(10% de limpieza)</t>
  </si>
  <si>
    <t>5% del total</t>
  </si>
  <si>
    <t>Librería</t>
  </si>
  <si>
    <t>Costo Total y Resultados a Nivel Económico</t>
  </si>
  <si>
    <t>Costo de Producción Anual</t>
  </si>
  <si>
    <t>Producción Anual en Unidades Año 1</t>
  </si>
  <si>
    <t>Sale del dimensionamiento Técnico</t>
  </si>
  <si>
    <t>Produccion en MCySE</t>
  </si>
  <si>
    <t>Las disponibilidades mínimas en Caja y Bancos se estiman en el 2% de las ventas anuales.</t>
  </si>
  <si>
    <t>El plazo promedio de financiación a clientes es de 30 días.</t>
  </si>
  <si>
    <t>llamar colum</t>
  </si>
  <si>
    <t>ventas en u</t>
  </si>
  <si>
    <t>precio de venta</t>
  </si>
  <si>
    <t>venta en $</t>
  </si>
  <si>
    <t>año1</t>
  </si>
  <si>
    <t>año 2-n</t>
  </si>
  <si>
    <t>mp</t>
  </si>
  <si>
    <t>año 0</t>
  </si>
  <si>
    <t>Produción anual</t>
  </si>
  <si>
    <t>Stock elab</t>
  </si>
  <si>
    <t>año2-n</t>
  </si>
  <si>
    <t>Mercadería en proceso</t>
  </si>
  <si>
    <t>Incrementos</t>
  </si>
  <si>
    <r>
      <t xml:space="preserve"> </t>
    </r>
    <r>
      <rPr>
        <u/>
        <sz val="10"/>
        <rFont val="Arial"/>
        <family val="2"/>
      </rPr>
      <t>Stock de elaborados</t>
    </r>
  </si>
  <si>
    <t>e) Recupero de Credito Fiscal</t>
  </si>
  <si>
    <t>Año0</t>
  </si>
  <si>
    <t>Valor residual</t>
  </si>
  <si>
    <t xml:space="preserve">Stock </t>
  </si>
  <si>
    <t>Cte en años 2 a n aunque renovado</t>
  </si>
  <si>
    <t>Variación de stock años 2 a n</t>
  </si>
  <si>
    <t>Mercaderiá en curso y SE  (dimensionamiento técnico)</t>
  </si>
  <si>
    <t>Porcentaje de desperdicio no recuperables</t>
  </si>
  <si>
    <t>*Producción en el período de puesta en marcha</t>
  </si>
  <si>
    <t>**(14,36+0,1*14,369)-14,36</t>
  </si>
  <si>
    <t>Consumo de MP año 1 Area de Producción</t>
  </si>
  <si>
    <t>Consumo de MP año 2 a n Area de Producción</t>
  </si>
  <si>
    <t>Unidades Vendidas</t>
  </si>
  <si>
    <t>Costo Variable</t>
  </si>
  <si>
    <t>Costo Fijo</t>
  </si>
  <si>
    <t>Costo Total</t>
  </si>
  <si>
    <t>Ingreso por ventas</t>
  </si>
  <si>
    <t>Ingreso por Ventas</t>
  </si>
  <si>
    <t>Datos año 1</t>
  </si>
  <si>
    <t>Datos año 5</t>
  </si>
  <si>
    <t>-</t>
  </si>
  <si>
    <t>equivalencia del crédito de proveedores con un crédito renovable</t>
  </si>
  <si>
    <t>meses</t>
  </si>
  <si>
    <t xml:space="preserve">monto de compra </t>
  </si>
  <si>
    <t>credito</t>
  </si>
  <si>
    <t xml:space="preserve">cancelacion </t>
  </si>
  <si>
    <t>intereses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</si>
  <si>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</si>
  <si>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</si>
  <si>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</si>
  <si>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</si>
  <si>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</si>
  <si>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</si>
  <si>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</si>
  <si>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</si>
  <si>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</si>
  <si>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</si>
  <si>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</si>
  <si>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</si>
  <si>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Los intereses equivalen a un crédito anual de :</t>
  </si>
  <si>
    <t xml:space="preserve">Servicio de cada crédito </t>
  </si>
  <si>
    <t>Fecha</t>
  </si>
  <si>
    <t>amortizacion anual</t>
  </si>
  <si>
    <t>intereses anuales</t>
  </si>
  <si>
    <t>gastos bancarios peoperativos</t>
  </si>
  <si>
    <t>01/07/-1</t>
  </si>
  <si>
    <t>31/12/-1</t>
  </si>
  <si>
    <t>1/1/1.</t>
  </si>
  <si>
    <t>30/12/1.</t>
  </si>
  <si>
    <t>30/12/2.</t>
  </si>
  <si>
    <t>30/12/3.</t>
  </si>
  <si>
    <t>30/12/4.</t>
  </si>
  <si>
    <t>30/12/5.</t>
  </si>
  <si>
    <t xml:space="preserve">Deuda </t>
  </si>
  <si>
    <t>Credito renovable: Financiación a proveedores de materias primas a 30 días sobre el 50% de la compra con tasa de interes del 12%anual.</t>
  </si>
  <si>
    <t>Caracteristicas del credito</t>
  </si>
  <si>
    <t>Institucion otorgante</t>
  </si>
  <si>
    <t>destino financiar el 60% de la compra del terreno</t>
  </si>
  <si>
    <t xml:space="preserve">importe inversion </t>
  </si>
  <si>
    <t>Monto de credito</t>
  </si>
  <si>
    <t xml:space="preserve">intereses </t>
  </si>
  <si>
    <t>comisiones y gs bancarios</t>
  </si>
  <si>
    <t>% del credito</t>
  </si>
  <si>
    <t xml:space="preserve"> </t>
  </si>
  <si>
    <t>Para la compra del terreno</t>
  </si>
  <si>
    <t>% anual sist aleman pago por semestre vencido</t>
  </si>
  <si>
    <t>CUOTA</t>
  </si>
  <si>
    <t xml:space="preserve">Gastos preoperativos </t>
  </si>
  <si>
    <t>TOTALES</t>
  </si>
  <si>
    <t>Credito renovable del proveedor de mp</t>
  </si>
  <si>
    <t>monto de credito</t>
  </si>
  <si>
    <t>tasa anual a pago vencido</t>
  </si>
  <si>
    <t>amortizaciones</t>
  </si>
  <si>
    <t>al ser renovable no las hay</t>
  </si>
  <si>
    <t>30/06/1.</t>
  </si>
  <si>
    <t>30/06/2.</t>
  </si>
  <si>
    <t>30/06/3.</t>
  </si>
  <si>
    <t>30/06/4.</t>
  </si>
  <si>
    <t>30/06/5.</t>
  </si>
  <si>
    <t>intereses semestral</t>
  </si>
  <si>
    <t>interes anual</t>
  </si>
  <si>
    <t>%anual</t>
  </si>
  <si>
    <t>a 180 dias</t>
  </si>
  <si>
    <t>totales</t>
  </si>
  <si>
    <t>amortizacion 5 cuotas  iguales y consecutivas, primer pago a los 12 meses de haber comenzado la actividad</t>
  </si>
  <si>
    <t>amortiz. Int. Y gastos preop</t>
  </si>
  <si>
    <t>int y cred renovables</t>
  </si>
  <si>
    <t>int y cred no renov</t>
  </si>
  <si>
    <t>total gs financiero</t>
  </si>
  <si>
    <t>Crédito por Ventas</t>
  </si>
  <si>
    <t>días</t>
  </si>
  <si>
    <t>Gasto anual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</si>
</sst>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\$* #,##0.000_);_(\$* \(#,##0.000\);_(\$* \-??_);_(@_)"/>
    <numFmt numFmtId="171" formatCode="0.0%"/>
    <numFmt numFmtId="172" formatCode="#,##0.0"/>
    <numFmt numFmtId="173" formatCode="_(* #,##0.00_);_(* \(#,##0.00\);_(* &quot;-&quot;??_);_(@_)"/>
    <numFmt numFmtId="174" formatCode="_(\$* #,##0_);_(\$* \(#,##0\);_(\$* \-??_);_(@_)"/>
    <numFmt numFmtId="175" formatCode="0.00000%"/>
    <numFmt numFmtId="176" formatCode="_(&quot;$&quot;* #,##0.00_);_(&quot;$&quot;* \(#,##0.00\);_(&quot;$&quot;* &quot;-&quot;??_);_(@_)"/>
  </numFmts>
  <fonts count="29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/>
  </cellStyleXfs>
  <cellXfs count="537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5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5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5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165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4" fillId="0" borderId="40" xfId="0" applyFont="1" applyFill="1" applyBorder="1" applyAlignment="1">
      <alignment horizontal="center"/>
    </xf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41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21" fillId="13" borderId="0" xfId="0" applyNumberFormat="1" applyFont="1" applyFill="1"/>
    <xf numFmtId="4" fontId="0" fillId="11" borderId="2" xfId="0" applyNumberFormat="1" applyFill="1" applyBorder="1" applyProtection="1">
      <protection locked="0"/>
    </xf>
    <xf numFmtId="0" fontId="0" fillId="0" borderId="0" xfId="0" applyFill="1" applyBorder="1"/>
    <xf numFmtId="0" fontId="0" fillId="14" borderId="0" xfId="0" applyFill="1"/>
    <xf numFmtId="0" fontId="0" fillId="14" borderId="0" xfId="0" applyFill="1" applyBorder="1"/>
    <xf numFmtId="0" fontId="0" fillId="0" borderId="0" xfId="0" applyFont="1" applyFill="1" applyBorder="1" applyAlignment="1">
      <alignment horizontal="left"/>
    </xf>
    <xf numFmtId="170" fontId="0" fillId="0" borderId="17" xfId="13" applyNumberFormat="1" applyFont="1" applyFill="1" applyBorder="1" applyAlignment="1" applyProtection="1">
      <protection locked="0"/>
    </xf>
    <xf numFmtId="43" fontId="20" fillId="0" borderId="17" xfId="13" applyNumberFormat="1" applyFill="1" applyBorder="1" applyAlignment="1" applyProtection="1">
      <protection locked="0"/>
    </xf>
    <xf numFmtId="43" fontId="20" fillId="0" borderId="17" xfId="13" applyNumberFormat="1" applyFill="1" applyBorder="1" applyAlignment="1">
      <alignment horizontal="center"/>
    </xf>
    <xf numFmtId="0" fontId="0" fillId="13" borderId="0" xfId="0" applyFill="1"/>
    <xf numFmtId="4" fontId="21" fillId="0" borderId="0" xfId="0" applyNumberFormat="1" applyFont="1"/>
    <xf numFmtId="165" fontId="20" fillId="0" borderId="17" xfId="13" applyFill="1" applyBorder="1" applyAlignment="1" applyProtection="1">
      <alignment horizontal="center"/>
      <protection locked="0"/>
    </xf>
    <xf numFmtId="9" fontId="20" fillId="0" borderId="12" xfId="16" applyFill="1" applyBorder="1" applyAlignment="1" applyProtection="1">
      <alignment horizontal="center"/>
      <protection locked="0"/>
    </xf>
    <xf numFmtId="9" fontId="20" fillId="0" borderId="24" xfId="16" applyFill="1" applyBorder="1" applyAlignment="1" applyProtection="1">
      <alignment horizontal="center"/>
      <protection locked="0"/>
    </xf>
    <xf numFmtId="3" fontId="21" fillId="0" borderId="0" xfId="0" applyNumberFormat="1" applyFont="1"/>
    <xf numFmtId="3" fontId="0" fillId="0" borderId="0" xfId="0" applyNumberFormat="1" applyFill="1"/>
    <xf numFmtId="0" fontId="14" fillId="0" borderId="9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22"/>
    <xf numFmtId="9" fontId="0" fillId="0" borderId="0" xfId="0" applyNumberFormat="1"/>
    <xf numFmtId="2" fontId="0" fillId="0" borderId="0" xfId="0" applyNumberFormat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13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165" fontId="0" fillId="0" borderId="17" xfId="16" applyNumberFormat="1" applyFont="1" applyFill="1" applyBorder="1" applyAlignment="1" applyProtection="1">
      <protection locked="0"/>
    </xf>
    <xf numFmtId="165" fontId="23" fillId="0" borderId="17" xfId="13" applyFont="1" applyFill="1" applyBorder="1" applyAlignment="1" applyProtection="1">
      <protection locked="0"/>
    </xf>
    <xf numFmtId="171" fontId="20" fillId="0" borderId="12" xfId="16" applyNumberFormat="1" applyFill="1" applyBorder="1" applyAlignment="1" applyProtection="1">
      <protection locked="0"/>
    </xf>
    <xf numFmtId="0" fontId="24" fillId="0" borderId="0" xfId="0" applyFont="1" applyFill="1"/>
    <xf numFmtId="0" fontId="0" fillId="0" borderId="0" xfId="0" applyFill="1" applyAlignment="1">
      <alignment horizontal="left"/>
    </xf>
    <xf numFmtId="172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24" fillId="15" borderId="0" xfId="0" applyFont="1" applyFill="1"/>
    <xf numFmtId="0" fontId="0" fillId="15" borderId="0" xfId="0" applyFill="1" applyAlignment="1">
      <alignment horizontal="right"/>
    </xf>
    <xf numFmtId="4" fontId="0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6" fillId="0" borderId="42" xfId="0" applyFont="1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165" fontId="20" fillId="0" borderId="0" xfId="13" applyFill="1" applyBorder="1"/>
    <xf numFmtId="165" fontId="20" fillId="0" borderId="46" xfId="13" applyFill="1" applyBorder="1"/>
    <xf numFmtId="167" fontId="0" fillId="0" borderId="0" xfId="0" applyNumberFormat="1" applyFill="1" applyBorder="1"/>
    <xf numFmtId="167" fontId="0" fillId="0" borderId="46" xfId="0" applyNumberFormat="1" applyFill="1" applyBorder="1"/>
    <xf numFmtId="0" fontId="0" fillId="0" borderId="47" xfId="0" applyFill="1" applyBorder="1"/>
    <xf numFmtId="165" fontId="20" fillId="0" borderId="48" xfId="13" applyFill="1" applyBorder="1"/>
    <xf numFmtId="165" fontId="20" fillId="0" borderId="49" xfId="13" applyFill="1" applyBorder="1"/>
    <xf numFmtId="0" fontId="0" fillId="0" borderId="42" xfId="0" applyFill="1" applyBorder="1"/>
    <xf numFmtId="165" fontId="14" fillId="0" borderId="36" xfId="13" applyFont="1" applyFill="1" applyBorder="1" applyAlignment="1" applyProtection="1">
      <alignment horizontal="center"/>
      <protection locked="0"/>
    </xf>
    <xf numFmtId="0" fontId="0" fillId="15" borderId="0" xfId="0" applyFont="1" applyFill="1"/>
    <xf numFmtId="165" fontId="14" fillId="0" borderId="24" xfId="13" applyFont="1" applyFill="1" applyBorder="1" applyAlignment="1" applyProtection="1">
      <alignment horizontal="center"/>
      <protection locked="0"/>
    </xf>
    <xf numFmtId="165" fontId="14" fillId="0" borderId="36" xfId="13" applyFont="1" applyFill="1" applyBorder="1" applyAlignment="1" applyProtection="1">
      <alignment horizontal="center"/>
    </xf>
    <xf numFmtId="165" fontId="14" fillId="0" borderId="38" xfId="13" applyFont="1" applyFill="1" applyBorder="1" applyAlignment="1" applyProtection="1">
      <alignment horizontal="center"/>
      <protection locked="0"/>
    </xf>
    <xf numFmtId="43" fontId="0" fillId="0" borderId="0" xfId="0" applyNumberFormat="1"/>
    <xf numFmtId="43" fontId="0" fillId="0" borderId="0" xfId="0" applyNumberFormat="1" applyAlignment="1">
      <alignment horizontal="left"/>
    </xf>
    <xf numFmtId="43" fontId="0" fillId="0" borderId="0" xfId="0" applyNumberFormat="1" applyAlignment="1"/>
    <xf numFmtId="43" fontId="0" fillId="0" borderId="0" xfId="0" applyNumberFormat="1" applyAlignment="1">
      <alignment horizontal="left" vertical="center"/>
    </xf>
    <xf numFmtId="0" fontId="0" fillId="0" borderId="0" xfId="0" applyAlignment="1"/>
    <xf numFmtId="165" fontId="0" fillId="0" borderId="0" xfId="0" applyNumberFormat="1" applyFill="1"/>
    <xf numFmtId="12" fontId="20" fillId="0" borderId="17" xfId="13" applyNumberFormat="1" applyFill="1" applyBorder="1" applyAlignment="1" applyProtection="1">
      <protection locked="0"/>
    </xf>
    <xf numFmtId="43" fontId="0" fillId="0" borderId="0" xfId="0" applyNumberFormat="1" applyFill="1"/>
    <xf numFmtId="0" fontId="0" fillId="0" borderId="0" xfId="0" applyFill="1"/>
    <xf numFmtId="165" fontId="0" fillId="0" borderId="17" xfId="13" applyFont="1" applyFill="1" applyBorder="1" applyAlignment="1" applyProtection="1">
      <protection locked="0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165" fontId="14" fillId="0" borderId="17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36" xfId="13" applyFont="1" applyFill="1" applyBorder="1" applyAlignment="1" applyProtection="1">
      <alignment horizontal="center"/>
      <protection locked="0"/>
    </xf>
    <xf numFmtId="165" fontId="0" fillId="0" borderId="36" xfId="13" applyFont="1" applyFill="1" applyBorder="1" applyAlignment="1" applyProtection="1">
      <alignment horizontal="center"/>
    </xf>
    <xf numFmtId="165" fontId="0" fillId="0" borderId="38" xfId="13" applyFont="1" applyFill="1" applyBorder="1" applyAlignment="1" applyProtection="1">
      <alignment horizontal="center"/>
      <protection locked="0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9" fontId="0" fillId="0" borderId="2" xfId="16" applyFont="1" applyFill="1" applyBorder="1" applyAlignment="1" applyProtection="1">
      <protection locked="0"/>
    </xf>
    <xf numFmtId="173" fontId="0" fillId="0" borderId="0" xfId="0" applyNumberFormat="1" applyFill="1"/>
    <xf numFmtId="173" fontId="0" fillId="0" borderId="2" xfId="0" applyNumberFormat="1" applyFill="1" applyBorder="1" applyProtection="1">
      <protection locked="0"/>
    </xf>
    <xf numFmtId="0" fontId="0" fillId="0" borderId="54" xfId="0" applyFill="1" applyBorder="1"/>
    <xf numFmtId="165" fontId="0" fillId="0" borderId="54" xfId="0" applyNumberFormat="1" applyFill="1" applyBorder="1"/>
    <xf numFmtId="168" fontId="0" fillId="0" borderId="54" xfId="0" applyNumberFormat="1" applyFill="1" applyBorder="1"/>
    <xf numFmtId="173" fontId="0" fillId="0" borderId="54" xfId="0" applyNumberFormat="1" applyFill="1" applyBorder="1"/>
    <xf numFmtId="174" fontId="0" fillId="0" borderId="54" xfId="0" applyNumberFormat="1" applyFill="1" applyBorder="1"/>
    <xf numFmtId="165" fontId="20" fillId="0" borderId="54" xfId="13" applyFill="1" applyBorder="1"/>
    <xf numFmtId="165" fontId="27" fillId="0" borderId="54" xfId="0" applyNumberFormat="1" applyFont="1" applyFill="1" applyBorder="1"/>
    <xf numFmtId="0" fontId="0" fillId="0" borderId="53" xfId="0" applyFont="1" applyBorder="1" applyAlignment="1">
      <alignment horizontal="center"/>
    </xf>
    <xf numFmtId="168" fontId="0" fillId="0" borderId="0" xfId="0" applyNumberFormat="1" applyFill="1"/>
    <xf numFmtId="0" fontId="0" fillId="0" borderId="54" xfId="0" applyFont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65" fontId="0" fillId="0" borderId="30" xfId="13" applyFont="1" applyFill="1" applyBorder="1" applyAlignment="1" applyProtection="1">
      <protection locked="0"/>
    </xf>
    <xf numFmtId="166" fontId="0" fillId="0" borderId="30" xfId="0" applyNumberFormat="1" applyFill="1" applyBorder="1"/>
    <xf numFmtId="2" fontId="0" fillId="0" borderId="30" xfId="0" applyNumberFormat="1" applyFill="1" applyBorder="1" applyAlignment="1">
      <alignment horizontal="center"/>
    </xf>
    <xf numFmtId="0" fontId="14" fillId="0" borderId="54" xfId="0" applyFont="1" applyFill="1" applyBorder="1" applyAlignment="1">
      <alignment horizontal="center"/>
    </xf>
    <xf numFmtId="0" fontId="0" fillId="0" borderId="55" xfId="0" applyFill="1" applyBorder="1"/>
    <xf numFmtId="165" fontId="20" fillId="0" borderId="55" xfId="13" applyFill="1" applyBorder="1"/>
    <xf numFmtId="165" fontId="20" fillId="0" borderId="56" xfId="13" applyFill="1" applyBorder="1"/>
    <xf numFmtId="0" fontId="0" fillId="0" borderId="54" xfId="0" applyBorder="1" applyAlignment="1">
      <alignment horizontal="center"/>
    </xf>
    <xf numFmtId="165" fontId="0" fillId="0" borderId="59" xfId="13" applyFont="1" applyFill="1" applyBorder="1" applyAlignment="1" applyProtection="1">
      <alignment horizontal="center"/>
      <protection locked="0"/>
    </xf>
    <xf numFmtId="165" fontId="0" fillId="0" borderId="61" xfId="13" applyFont="1" applyFill="1" applyBorder="1" applyAlignment="1" applyProtection="1">
      <alignment horizontal="center"/>
      <protection locked="0"/>
    </xf>
    <xf numFmtId="165" fontId="0" fillId="0" borderId="62" xfId="13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14" fontId="0" fillId="0" borderId="82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74" xfId="0" applyFill="1" applyBorder="1" applyAlignment="1">
      <alignment horizontal="center"/>
    </xf>
    <xf numFmtId="14" fontId="0" fillId="0" borderId="74" xfId="0" applyNumberFormat="1" applyBorder="1" applyAlignment="1">
      <alignment horizontal="center"/>
    </xf>
    <xf numFmtId="14" fontId="0" fillId="0" borderId="76" xfId="0" applyNumberFormat="1" applyBorder="1" applyAlignment="1">
      <alignment horizontal="center"/>
    </xf>
    <xf numFmtId="175" fontId="0" fillId="0" borderId="0" xfId="0" applyNumberFormat="1" applyFill="1"/>
    <xf numFmtId="165" fontId="0" fillId="0" borderId="57" xfId="13" applyFont="1" applyFill="1" applyBorder="1" applyAlignment="1" applyProtection="1">
      <alignment horizontal="center"/>
      <protection locked="0"/>
    </xf>
    <xf numFmtId="9" fontId="0" fillId="0" borderId="58" xfId="16" applyFont="1" applyFill="1" applyBorder="1" applyAlignment="1" applyProtection="1">
      <alignment horizontal="center"/>
      <protection locked="0"/>
    </xf>
    <xf numFmtId="10" fontId="0" fillId="0" borderId="60" xfId="16" applyNumberFormat="1" applyFont="1" applyFill="1" applyBorder="1" applyAlignment="1" applyProtection="1">
      <alignment horizontal="center"/>
      <protection locked="0"/>
    </xf>
    <xf numFmtId="10" fontId="0" fillId="0" borderId="57" xfId="16" applyNumberFormat="1" applyFont="1" applyFill="1" applyBorder="1" applyAlignment="1" applyProtection="1">
      <alignment horizontal="center"/>
      <protection locked="0"/>
    </xf>
    <xf numFmtId="9" fontId="0" fillId="0" borderId="60" xfId="16" applyFont="1" applyFill="1" applyBorder="1" applyAlignment="1" applyProtection="1">
      <alignment horizontal="center"/>
      <protection locked="0"/>
    </xf>
    <xf numFmtId="9" fontId="14" fillId="0" borderId="63" xfId="16" applyFont="1" applyFill="1" applyBorder="1" applyAlignment="1" applyProtection="1">
      <alignment horizontal="center"/>
      <protection locked="0"/>
    </xf>
    <xf numFmtId="165" fontId="0" fillId="0" borderId="64" xfId="13" applyFont="1" applyFill="1" applyBorder="1" applyAlignment="1" applyProtection="1">
      <alignment horizontal="center"/>
      <protection locked="0"/>
    </xf>
    <xf numFmtId="10" fontId="20" fillId="0" borderId="64" xfId="16" applyNumberFormat="1" applyFill="1" applyBorder="1" applyAlignment="1" applyProtection="1">
      <alignment horizontal="center"/>
      <protection locked="0"/>
    </xf>
    <xf numFmtId="174" fontId="0" fillId="0" borderId="54" xfId="0" applyNumberFormat="1" applyBorder="1" applyAlignment="1">
      <alignment horizontal="center"/>
    </xf>
    <xf numFmtId="0" fontId="0" fillId="0" borderId="72" xfId="0" applyBorder="1" applyAlignment="1"/>
    <xf numFmtId="0" fontId="0" fillId="0" borderId="73" xfId="0" applyBorder="1" applyAlignment="1"/>
    <xf numFmtId="0" fontId="0" fillId="0" borderId="75" xfId="0" applyBorder="1" applyAlignment="1"/>
    <xf numFmtId="0" fontId="0" fillId="0" borderId="81" xfId="0" applyBorder="1" applyAlignment="1"/>
    <xf numFmtId="174" fontId="0" fillId="0" borderId="80" xfId="0" applyNumberFormat="1" applyBorder="1" applyAlignment="1">
      <alignment horizontal="center"/>
    </xf>
    <xf numFmtId="0" fontId="0" fillId="0" borderId="89" xfId="0" applyBorder="1" applyAlignment="1"/>
    <xf numFmtId="165" fontId="0" fillId="16" borderId="70" xfId="0" applyNumberFormat="1" applyFill="1" applyBorder="1" applyAlignment="1"/>
    <xf numFmtId="174" fontId="0" fillId="0" borderId="56" xfId="0" applyNumberFormat="1" applyBorder="1" applyAlignment="1">
      <alignment horizontal="center"/>
    </xf>
    <xf numFmtId="43" fontId="0" fillId="0" borderId="75" xfId="0" applyNumberFormat="1" applyBorder="1" applyAlignment="1"/>
    <xf numFmtId="0" fontId="0" fillId="0" borderId="0" xfId="0" applyBorder="1" applyAlignment="1"/>
    <xf numFmtId="174" fontId="0" fillId="0" borderId="66" xfId="0" applyNumberFormat="1" applyBorder="1"/>
    <xf numFmtId="0" fontId="0" fillId="0" borderId="66" xfId="0" applyBorder="1" applyAlignment="1"/>
    <xf numFmtId="165" fontId="0" fillId="0" borderId="67" xfId="0" applyNumberFormat="1" applyBorder="1" applyAlignment="1"/>
    <xf numFmtId="0" fontId="0" fillId="0" borderId="0" xfId="0" applyFill="1" applyBorder="1" applyAlignment="1">
      <alignment horizontal="center"/>
    </xf>
    <xf numFmtId="165" fontId="0" fillId="0" borderId="0" xfId="0" applyNumberFormat="1" applyBorder="1" applyAlignmen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85" xfId="0" applyBorder="1" applyAlignment="1">
      <alignment horizontal="center"/>
    </xf>
    <xf numFmtId="165" fontId="0" fillId="0" borderId="87" xfId="0" applyNumberFormat="1" applyBorder="1" applyAlignment="1">
      <alignment horizontal="center"/>
    </xf>
    <xf numFmtId="0" fontId="0" fillId="0" borderId="73" xfId="0" applyFill="1" applyBorder="1" applyAlignment="1">
      <alignment horizontal="center"/>
    </xf>
    <xf numFmtId="165" fontId="0" fillId="0" borderId="83" xfId="0" applyNumberFormat="1" applyBorder="1" applyAlignment="1">
      <alignment horizontal="center"/>
    </xf>
    <xf numFmtId="43" fontId="0" fillId="0" borderId="54" xfId="0" applyNumberFormat="1" applyBorder="1" applyAlignment="1">
      <alignment horizontal="center"/>
    </xf>
    <xf numFmtId="165" fontId="20" fillId="0" borderId="0" xfId="13" applyFont="1" applyFill="1" applyBorder="1" applyAlignment="1" applyProtection="1">
      <alignment horizontal="center"/>
      <protection locked="0"/>
    </xf>
    <xf numFmtId="10" fontId="20" fillId="0" borderId="0" xfId="16" applyNumberFormat="1" applyFont="1" applyFill="1" applyBorder="1" applyProtection="1">
      <protection locked="0"/>
    </xf>
    <xf numFmtId="165" fontId="0" fillId="0" borderId="0" xfId="13" applyFont="1" applyFill="1" applyBorder="1" applyAlignment="1" applyProtection="1">
      <alignment horizontal="center"/>
      <protection locked="0"/>
    </xf>
    <xf numFmtId="9" fontId="0" fillId="0" borderId="0" xfId="16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>
      <alignment horizontal="center"/>
      <protection locked="0"/>
    </xf>
    <xf numFmtId="169" fontId="0" fillId="0" borderId="0" xfId="0" applyNumberFormat="1" applyFont="1" applyFill="1" applyBorder="1" applyAlignment="1" applyProtection="1">
      <alignment horizontal="left"/>
      <protection locked="0"/>
    </xf>
    <xf numFmtId="165" fontId="0" fillId="0" borderId="0" xfId="13" applyFont="1" applyFill="1" applyBorder="1" applyAlignment="1" applyProtection="1">
      <protection locked="0"/>
    </xf>
    <xf numFmtId="9" fontId="0" fillId="0" borderId="0" xfId="16" applyFont="1" applyFill="1" applyBorder="1" applyAlignment="1" applyProtection="1">
      <protection locked="0"/>
    </xf>
    <xf numFmtId="169" fontId="0" fillId="0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>
      <alignment horizontal="center"/>
    </xf>
    <xf numFmtId="165" fontId="14" fillId="0" borderId="0" xfId="13" applyFont="1" applyFill="1" applyBorder="1" applyAlignment="1" applyProtection="1"/>
    <xf numFmtId="9" fontId="14" fillId="0" borderId="0" xfId="16" applyFont="1" applyFill="1" applyBorder="1" applyAlignment="1" applyProtection="1"/>
    <xf numFmtId="165" fontId="0" fillId="0" borderId="54" xfId="13" applyFont="1" applyFill="1" applyBorder="1" applyAlignment="1" applyProtection="1">
      <alignment horizontal="center"/>
      <protection locked="0"/>
    </xf>
    <xf numFmtId="165" fontId="0" fillId="0" borderId="54" xfId="13" applyFont="1" applyFill="1" applyBorder="1" applyAlignment="1" applyProtection="1">
      <protection locked="0"/>
    </xf>
    <xf numFmtId="9" fontId="0" fillId="0" borderId="54" xfId="16" applyFont="1" applyFill="1" applyBorder="1" applyAlignment="1" applyProtection="1">
      <protection locked="0"/>
    </xf>
    <xf numFmtId="165" fontId="20" fillId="0" borderId="54" xfId="13" applyFont="1" applyFill="1" applyBorder="1" applyAlignment="1" applyProtection="1">
      <alignment horizontal="center"/>
      <protection locked="0"/>
    </xf>
    <xf numFmtId="165" fontId="20" fillId="0" borderId="54" xfId="13" applyFont="1" applyFill="1" applyBorder="1" applyProtection="1">
      <protection locked="0"/>
    </xf>
    <xf numFmtId="9" fontId="20" fillId="0" borderId="54" xfId="16" applyFont="1" applyFill="1" applyBorder="1" applyProtection="1">
      <protection locked="0"/>
    </xf>
    <xf numFmtId="10" fontId="20" fillId="0" borderId="54" xfId="16" applyNumberFormat="1" applyFont="1" applyFill="1" applyBorder="1" applyProtection="1">
      <protection locked="0"/>
    </xf>
    <xf numFmtId="165" fontId="0" fillId="0" borderId="72" xfId="13" applyFont="1" applyFill="1" applyBorder="1" applyAlignment="1" applyProtection="1">
      <alignment horizontal="center"/>
      <protection locked="0"/>
    </xf>
    <xf numFmtId="165" fontId="0" fillId="0" borderId="72" xfId="13" applyFont="1" applyFill="1" applyBorder="1" applyAlignment="1" applyProtection="1">
      <protection locked="0"/>
    </xf>
    <xf numFmtId="9" fontId="0" fillId="0" borderId="72" xfId="16" applyFont="1" applyFill="1" applyBorder="1" applyAlignment="1" applyProtection="1">
      <protection locked="0"/>
    </xf>
    <xf numFmtId="165" fontId="0" fillId="0" borderId="73" xfId="13" applyFont="1" applyFill="1" applyBorder="1" applyAlignment="1" applyProtection="1">
      <alignment horizontal="center"/>
      <protection locked="0"/>
    </xf>
    <xf numFmtId="165" fontId="0" fillId="0" borderId="75" xfId="13" applyFont="1" applyFill="1" applyBorder="1" applyAlignment="1" applyProtection="1">
      <alignment horizontal="center"/>
      <protection locked="0"/>
    </xf>
    <xf numFmtId="165" fontId="20" fillId="0" borderId="75" xfId="13" applyFont="1" applyFill="1" applyBorder="1" applyAlignment="1" applyProtection="1">
      <alignment horizontal="center"/>
      <protection locked="0"/>
    </xf>
    <xf numFmtId="0" fontId="0" fillId="0" borderId="75" xfId="0" applyFill="1" applyBorder="1"/>
    <xf numFmtId="165" fontId="0" fillId="0" borderId="77" xfId="13" applyFont="1" applyFill="1" applyBorder="1" applyAlignment="1" applyProtection="1">
      <alignment horizontal="center"/>
      <protection locked="0"/>
    </xf>
    <xf numFmtId="165" fontId="14" fillId="16" borderId="54" xfId="13" applyFont="1" applyFill="1" applyBorder="1" applyAlignment="1">
      <alignment horizontal="center"/>
    </xf>
    <xf numFmtId="165" fontId="14" fillId="16" borderId="54" xfId="13" applyFont="1" applyFill="1" applyBorder="1" applyAlignment="1" applyProtection="1">
      <alignment horizontal="center"/>
      <protection locked="0"/>
    </xf>
    <xf numFmtId="165" fontId="14" fillId="16" borderId="54" xfId="13" applyFont="1" applyFill="1" applyBorder="1"/>
    <xf numFmtId="9" fontId="0" fillId="16" borderId="54" xfId="16" applyFont="1" applyFill="1" applyBorder="1"/>
    <xf numFmtId="165" fontId="14" fillId="16" borderId="75" xfId="13" applyFont="1" applyFill="1" applyBorder="1" applyAlignment="1" applyProtection="1">
      <alignment horizontal="center"/>
      <protection locked="0"/>
    </xf>
    <xf numFmtId="165" fontId="20" fillId="0" borderId="72" xfId="13" applyFill="1" applyBorder="1" applyAlignment="1" applyProtection="1">
      <alignment horizontal="center"/>
      <protection locked="0"/>
    </xf>
    <xf numFmtId="165" fontId="20" fillId="0" borderId="54" xfId="13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left"/>
    </xf>
    <xf numFmtId="0" fontId="18" fillId="0" borderId="93" xfId="0" applyFont="1" applyFill="1" applyBorder="1" applyAlignment="1">
      <alignment horizontal="left"/>
    </xf>
    <xf numFmtId="0" fontId="18" fillId="0" borderId="94" xfId="0" applyFont="1" applyFill="1" applyBorder="1" applyAlignment="1">
      <alignment horizontal="left"/>
    </xf>
    <xf numFmtId="0" fontId="18" fillId="0" borderId="95" xfId="0" applyFont="1" applyFill="1" applyBorder="1" applyAlignment="1">
      <alignment horizontal="left"/>
    </xf>
    <xf numFmtId="0" fontId="14" fillId="0" borderId="96" xfId="0" applyFont="1" applyFill="1" applyBorder="1" applyAlignment="1">
      <alignment horizontal="center"/>
    </xf>
    <xf numFmtId="0" fontId="14" fillId="0" borderId="97" xfId="0" applyFont="1" applyFill="1" applyBorder="1" applyAlignment="1">
      <alignment horizontal="center"/>
    </xf>
    <xf numFmtId="0" fontId="14" fillId="0" borderId="98" xfId="0" applyFont="1" applyFill="1" applyBorder="1" applyAlignment="1">
      <alignment horizontal="center"/>
    </xf>
    <xf numFmtId="0" fontId="14" fillId="0" borderId="99" xfId="0" applyFont="1" applyFill="1" applyBorder="1" applyAlignment="1">
      <alignment horizontal="center"/>
    </xf>
    <xf numFmtId="0" fontId="14" fillId="0" borderId="100" xfId="0" applyFont="1" applyFill="1" applyBorder="1" applyAlignment="1">
      <alignment horizontal="center"/>
    </xf>
    <xf numFmtId="165" fontId="0" fillId="0" borderId="66" xfId="13" applyFont="1" applyFill="1" applyBorder="1" applyAlignment="1" applyProtection="1">
      <alignment horizontal="center"/>
      <protection locked="0"/>
    </xf>
    <xf numFmtId="165" fontId="0" fillId="0" borderId="66" xfId="13" applyFont="1" applyFill="1" applyBorder="1" applyAlignment="1" applyProtection="1">
      <protection locked="0"/>
    </xf>
    <xf numFmtId="9" fontId="0" fillId="0" borderId="67" xfId="16" applyFont="1" applyFill="1" applyBorder="1" applyAlignment="1" applyProtection="1">
      <protection locked="0"/>
    </xf>
    <xf numFmtId="43" fontId="0" fillId="0" borderId="0" xfId="0" applyNumberFormat="1" applyBorder="1" applyAlignment="1">
      <alignment horizontal="center"/>
    </xf>
    <xf numFmtId="43" fontId="0" fillId="0" borderId="0" xfId="0" applyNumberFormat="1" applyBorder="1" applyAlignment="1"/>
    <xf numFmtId="43" fontId="0" fillId="0" borderId="77" xfId="0" applyNumberFormat="1" applyBorder="1" applyAlignment="1">
      <alignment horizontal="center"/>
    </xf>
    <xf numFmtId="43" fontId="0" fillId="0" borderId="78" xfId="0" applyNumberFormat="1" applyBorder="1" applyAlignment="1"/>
    <xf numFmtId="174" fontId="0" fillId="0" borderId="0" xfId="0" applyNumberFormat="1" applyBorder="1" applyAlignment="1">
      <alignment horizontal="center"/>
    </xf>
    <xf numFmtId="165" fontId="20" fillId="0" borderId="0" xfId="13" applyFill="1" applyBorder="1" applyAlignment="1" applyProtection="1">
      <alignment horizontal="center"/>
      <protection locked="0"/>
    </xf>
    <xf numFmtId="0" fontId="0" fillId="0" borderId="43" xfId="0" applyFill="1" applyBorder="1" applyProtection="1"/>
    <xf numFmtId="0" fontId="0" fillId="0" borderId="44" xfId="0" applyFill="1" applyBorder="1" applyProtection="1"/>
    <xf numFmtId="0" fontId="0" fillId="0" borderId="54" xfId="0" applyFill="1" applyBorder="1" applyProtection="1"/>
    <xf numFmtId="165" fontId="20" fillId="0" borderId="54" xfId="13" applyFill="1" applyBorder="1" applyAlignment="1" applyProtection="1">
      <alignment horizontal="center"/>
    </xf>
    <xf numFmtId="0" fontId="0" fillId="0" borderId="54" xfId="0" applyFill="1" applyBorder="1" applyAlignment="1" applyProtection="1">
      <alignment horizontal="center"/>
    </xf>
    <xf numFmtId="165" fontId="20" fillId="0" borderId="54" xfId="13" applyFill="1" applyBorder="1" applyProtection="1"/>
    <xf numFmtId="165" fontId="20" fillId="0" borderId="54" xfId="13" applyFill="1" applyBorder="1" applyAlignment="1" applyProtection="1">
      <alignment horizontal="center" vertical="center"/>
    </xf>
    <xf numFmtId="165" fontId="20" fillId="0" borderId="87" xfId="13" applyFill="1" applyBorder="1" applyAlignment="1" applyProtection="1">
      <alignment horizontal="center"/>
    </xf>
    <xf numFmtId="165" fontId="20" fillId="0" borderId="54" xfId="13" applyBorder="1" applyAlignment="1"/>
    <xf numFmtId="165" fontId="20" fillId="0" borderId="56" xfId="13" applyBorder="1" applyAlignment="1"/>
    <xf numFmtId="165" fontId="0" fillId="0" borderId="66" xfId="0" applyNumberFormat="1" applyBorder="1" applyAlignment="1"/>
    <xf numFmtId="165" fontId="0" fillId="0" borderId="0" xfId="0" applyNumberFormat="1" applyFill="1" applyProtection="1"/>
    <xf numFmtId="0" fontId="18" fillId="0" borderId="54" xfId="0" applyFont="1" applyFill="1" applyBorder="1" applyAlignment="1" applyProtection="1">
      <alignment horizontal="center"/>
    </xf>
    <xf numFmtId="0" fontId="14" fillId="0" borderId="54" xfId="0" applyFont="1" applyFill="1" applyBorder="1" applyAlignment="1" applyProtection="1">
      <alignment horizontal="center"/>
    </xf>
    <xf numFmtId="165" fontId="0" fillId="0" borderId="54" xfId="13" applyFont="1" applyFill="1" applyBorder="1" applyAlignment="1" applyProtection="1">
      <alignment horizontal="center"/>
    </xf>
    <xf numFmtId="0" fontId="13" fillId="0" borderId="42" xfId="0" applyFont="1" applyBorder="1"/>
    <xf numFmtId="0" fontId="0" fillId="0" borderId="43" xfId="0" applyBorder="1"/>
    <xf numFmtId="0" fontId="0" fillId="0" borderId="101" xfId="0" applyBorder="1"/>
    <xf numFmtId="0" fontId="14" fillId="0" borderId="101" xfId="0" applyFont="1" applyBorder="1"/>
    <xf numFmtId="0" fontId="18" fillId="0" borderId="74" xfId="0" applyFont="1" applyFill="1" applyBorder="1" applyAlignment="1" applyProtection="1">
      <alignment horizontal="left"/>
    </xf>
    <xf numFmtId="0" fontId="14" fillId="0" borderId="74" xfId="0" applyFont="1" applyFill="1" applyBorder="1" applyAlignment="1" applyProtection="1">
      <alignment horizontal="center"/>
    </xf>
    <xf numFmtId="0" fontId="0" fillId="0" borderId="74" xfId="0" applyFill="1" applyBorder="1" applyProtection="1"/>
    <xf numFmtId="1" fontId="20" fillId="0" borderId="75" xfId="16" applyNumberFormat="1" applyFill="1" applyBorder="1" applyAlignment="1" applyProtection="1">
      <alignment horizontal="center" vertical="center"/>
    </xf>
    <xf numFmtId="2" fontId="0" fillId="0" borderId="75" xfId="0" applyNumberFormat="1" applyFill="1" applyBorder="1" applyAlignment="1" applyProtection="1">
      <alignment horizontal="center" vertical="center"/>
    </xf>
    <xf numFmtId="0" fontId="0" fillId="0" borderId="75" xfId="0" applyFill="1" applyBorder="1" applyAlignment="1" applyProtection="1">
      <alignment horizontal="center" vertical="center"/>
    </xf>
    <xf numFmtId="0" fontId="14" fillId="0" borderId="74" xfId="0" applyFont="1" applyFill="1" applyBorder="1" applyProtection="1"/>
    <xf numFmtId="0" fontId="0" fillId="0" borderId="74" xfId="0" applyFont="1" applyFill="1" applyBorder="1" applyAlignment="1" applyProtection="1">
      <alignment horizontal="left"/>
    </xf>
    <xf numFmtId="0" fontId="14" fillId="0" borderId="76" xfId="0" applyFont="1" applyFill="1" applyBorder="1" applyProtection="1"/>
    <xf numFmtId="2" fontId="0" fillId="0" borderId="78" xfId="0" applyNumberFormat="1" applyFill="1" applyBorder="1" applyAlignment="1" applyProtection="1">
      <alignment horizontal="center" vertical="center"/>
    </xf>
    <xf numFmtId="0" fontId="0" fillId="0" borderId="80" xfId="0" applyFill="1" applyBorder="1" applyProtection="1"/>
    <xf numFmtId="165" fontId="0" fillId="0" borderId="102" xfId="0" applyNumberFormat="1" applyFill="1" applyBorder="1" applyProtection="1"/>
    <xf numFmtId="165" fontId="0" fillId="0" borderId="103" xfId="0" applyNumberFormat="1" applyFill="1" applyBorder="1" applyProtection="1"/>
    <xf numFmtId="165" fontId="20" fillId="17" borderId="57" xfId="13" applyFill="1" applyBorder="1" applyAlignment="1" applyProtection="1">
      <alignment horizontal="center"/>
      <protection locked="0"/>
    </xf>
    <xf numFmtId="165" fontId="20" fillId="17" borderId="104" xfId="13" applyFill="1" applyBorder="1" applyAlignment="1" applyProtection="1">
      <alignment horizontal="center"/>
      <protection locked="0"/>
    </xf>
    <xf numFmtId="165" fontId="20" fillId="0" borderId="57" xfId="13" applyFill="1" applyBorder="1" applyAlignment="1" applyProtection="1">
      <alignment horizontal="center"/>
    </xf>
    <xf numFmtId="165" fontId="20" fillId="0" borderId="104" xfId="13" applyFill="1" applyBorder="1" applyAlignment="1" applyProtection="1">
      <alignment horizontal="center"/>
    </xf>
    <xf numFmtId="176" fontId="0" fillId="0" borderId="0" xfId="0" applyNumberFormat="1" applyProtection="1"/>
    <xf numFmtId="0" fontId="0" fillId="0" borderId="105" xfId="0" applyBorder="1" applyProtection="1"/>
    <xf numFmtId="165" fontId="20" fillId="0" borderId="58" xfId="13" applyFill="1" applyBorder="1" applyAlignment="1" applyProtection="1">
      <alignment horizontal="center"/>
    </xf>
    <xf numFmtId="165" fontId="14" fillId="0" borderId="106" xfId="13" applyFont="1" applyFill="1" applyBorder="1" applyAlignment="1" applyProtection="1">
      <alignment horizontal="center"/>
    </xf>
    <xf numFmtId="165" fontId="20" fillId="17" borderId="58" xfId="13" applyFill="1" applyBorder="1" applyAlignment="1" applyProtection="1">
      <alignment horizontal="center"/>
      <protection locked="0"/>
    </xf>
    <xf numFmtId="9" fontId="20" fillId="17" borderId="104" xfId="16" applyFill="1" applyBorder="1" applyAlignment="1" applyProtection="1">
      <alignment horizontal="center"/>
      <protection locked="0"/>
    </xf>
    <xf numFmtId="165" fontId="20" fillId="17" borderId="63" xfId="13" applyFill="1" applyBorder="1" applyAlignment="1" applyProtection="1">
      <alignment horizontal="center"/>
      <protection locked="0"/>
    </xf>
    <xf numFmtId="0" fontId="14" fillId="0" borderId="0" xfId="0" applyFont="1" applyBorder="1"/>
    <xf numFmtId="165" fontId="0" fillId="17" borderId="57" xfId="13" applyFont="1" applyFill="1" applyBorder="1" applyProtection="1">
      <protection locked="0"/>
    </xf>
    <xf numFmtId="9" fontId="0" fillId="17" borderId="63" xfId="16" applyFont="1" applyFill="1" applyBorder="1" applyAlignment="1" applyProtection="1">
      <alignment horizontal="center"/>
      <protection locked="0"/>
    </xf>
    <xf numFmtId="43" fontId="0" fillId="0" borderId="0" xfId="0" applyNumberFormat="1" applyFill="1" applyProtection="1"/>
    <xf numFmtId="0" fontId="0" fillId="0" borderId="107" xfId="0" applyBorder="1" applyProtection="1"/>
    <xf numFmtId="165" fontId="14" fillId="17" borderId="57" xfId="13" applyFont="1" applyFill="1" applyBorder="1" applyAlignment="1" applyProtection="1">
      <alignment horizontal="center"/>
      <protection locked="0"/>
    </xf>
    <xf numFmtId="168" fontId="20" fillId="17" borderId="104" xfId="12" applyFont="1" applyFill="1" applyBorder="1" applyAlignment="1" applyProtection="1">
      <alignment horizontal="center"/>
      <protection locked="0"/>
    </xf>
    <xf numFmtId="165" fontId="20" fillId="17" borderId="63" xfId="13" applyFill="1" applyBorder="1" applyProtection="1">
      <protection locked="0"/>
    </xf>
    <xf numFmtId="165" fontId="0" fillId="0" borderId="0" xfId="0" applyNumberFormat="1" applyProtection="1"/>
    <xf numFmtId="43" fontId="0" fillId="0" borderId="2" xfId="0" applyNumberFormat="1" applyFill="1" applyBorder="1" applyProtection="1">
      <protection locked="0"/>
    </xf>
    <xf numFmtId="165" fontId="1" fillId="0" borderId="108" xfId="23" applyNumberFormat="1" applyFont="1" applyBorder="1" applyAlignment="1">
      <alignment horizontal="center"/>
    </xf>
    <xf numFmtId="0" fontId="0" fillId="0" borderId="0" xfId="0" applyFill="1"/>
    <xf numFmtId="165" fontId="0" fillId="0" borderId="17" xfId="13" applyFont="1" applyFill="1" applyBorder="1" applyAlignment="1" applyProtection="1">
      <alignment horizontal="center"/>
      <protection locked="0"/>
    </xf>
    <xf numFmtId="0" fontId="0" fillId="0" borderId="54" xfId="0" applyFill="1" applyBorder="1"/>
    <xf numFmtId="165" fontId="0" fillId="0" borderId="54" xfId="0" applyNumberFormat="1" applyFill="1" applyBorder="1"/>
    <xf numFmtId="168" fontId="0" fillId="0" borderId="54" xfId="0" applyNumberFormat="1" applyFill="1" applyBorder="1"/>
    <xf numFmtId="173" fontId="0" fillId="0" borderId="54" xfId="0" applyNumberFormat="1" applyFill="1" applyBorder="1"/>
    <xf numFmtId="174" fontId="0" fillId="0" borderId="54" xfId="0" applyNumberFormat="1" applyFill="1" applyBorder="1"/>
    <xf numFmtId="165" fontId="20" fillId="0" borderId="54" xfId="13" applyFill="1" applyBorder="1"/>
    <xf numFmtId="165" fontId="27" fillId="0" borderId="54" xfId="0" applyNumberFormat="1" applyFont="1" applyFill="1" applyBorder="1"/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20" fillId="0" borderId="51" xfId="0" applyFont="1" applyBorder="1"/>
    <xf numFmtId="0" fontId="20" fillId="0" borderId="52" xfId="0" applyFont="1" applyBorder="1"/>
    <xf numFmtId="0" fontId="0" fillId="0" borderId="54" xfId="0" applyBorder="1" applyAlignment="1">
      <alignment horizontal="center"/>
    </xf>
    <xf numFmtId="0" fontId="20" fillId="0" borderId="54" xfId="0" applyFont="1" applyBorder="1"/>
    <xf numFmtId="0" fontId="16" fillId="12" borderId="39" xfId="0" applyFont="1" applyFill="1" applyBorder="1" applyAlignment="1" applyProtection="1">
      <alignment horizontal="center" vertic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165" fontId="20" fillId="0" borderId="87" xfId="13" applyBorder="1" applyAlignment="1">
      <alignment horizontal="center"/>
    </xf>
    <xf numFmtId="165" fontId="20" fillId="0" borderId="88" xfId="13" applyBorder="1" applyAlignment="1">
      <alignment horizontal="center"/>
    </xf>
    <xf numFmtId="165" fontId="20" fillId="16" borderId="91" xfId="13" applyFill="1" applyBorder="1" applyAlignment="1">
      <alignment horizontal="center"/>
    </xf>
    <xf numFmtId="165" fontId="20" fillId="16" borderId="90" xfId="13" applyFill="1" applyBorder="1" applyAlignment="1">
      <alignment horizontal="center"/>
    </xf>
    <xf numFmtId="165" fontId="20" fillId="0" borderId="83" xfId="13" applyBorder="1" applyAlignment="1">
      <alignment horizontal="center"/>
    </xf>
    <xf numFmtId="165" fontId="20" fillId="0" borderId="84" xfId="13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14" fillId="16" borderId="92" xfId="0" applyFont="1" applyFill="1" applyBorder="1" applyAlignment="1">
      <alignment horizontal="center"/>
    </xf>
    <xf numFmtId="0" fontId="14" fillId="16" borderId="88" xfId="0" applyFont="1" applyFill="1" applyBorder="1" applyAlignment="1">
      <alignment horizontal="center"/>
    </xf>
    <xf numFmtId="169" fontId="0" fillId="0" borderId="65" xfId="0" applyNumberFormat="1" applyFont="1" applyFill="1" applyBorder="1" applyAlignment="1" applyProtection="1">
      <alignment horizontal="center"/>
      <protection locked="0"/>
    </xf>
    <xf numFmtId="169" fontId="0" fillId="0" borderId="66" xfId="0" applyNumberFormat="1" applyFont="1" applyFill="1" applyBorder="1" applyAlignment="1" applyProtection="1">
      <alignment horizontal="center"/>
      <protection locked="0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16" borderId="68" xfId="0" applyFill="1" applyBorder="1" applyAlignment="1">
      <alignment horizontal="center"/>
    </xf>
    <xf numFmtId="0" fontId="0" fillId="16" borderId="69" xfId="0" applyFill="1" applyBorder="1" applyAlignment="1">
      <alignment horizontal="center"/>
    </xf>
    <xf numFmtId="0" fontId="0" fillId="16" borderId="70" xfId="0" applyFill="1" applyBorder="1" applyAlignment="1">
      <alignment horizontal="center"/>
    </xf>
    <xf numFmtId="165" fontId="20" fillId="16" borderId="65" xfId="13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20" fillId="0" borderId="0" xfId="13" applyBorder="1" applyAlignment="1">
      <alignment horizontal="center"/>
    </xf>
    <xf numFmtId="43" fontId="0" fillId="0" borderId="66" xfId="0" applyNumberFormat="1" applyBorder="1" applyAlignment="1">
      <alignment horizontal="center"/>
    </xf>
    <xf numFmtId="0" fontId="0" fillId="0" borderId="81" xfId="0" applyFill="1" applyBorder="1" applyAlignment="1" applyProtection="1">
      <alignment horizontal="center" vertical="center"/>
    </xf>
    <xf numFmtId="0" fontId="0" fillId="0" borderId="89" xfId="0" applyFill="1" applyBorder="1" applyAlignment="1" applyProtection="1">
      <alignment horizontal="center" vertical="center"/>
    </xf>
    <xf numFmtId="0" fontId="16" fillId="12" borderId="39" xfId="0" applyFont="1" applyFill="1" applyBorder="1" applyAlignment="1" applyProtection="1">
      <alignment horizontal="center"/>
    </xf>
  </cellXfs>
  <cellStyles count="24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ipervínculo" xfId="22" builtinId="8"/>
    <cellStyle name="Millares" xfId="12" builtinId="3"/>
    <cellStyle name="Moneda" xfId="13" builtinId="4"/>
    <cellStyle name="Neutral 1" xfId="14"/>
    <cellStyle name="Normal" xfId="0" builtinId="0"/>
    <cellStyle name="Normal 2" xfId="23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Costo Variable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'E-Costos'!$B$141:$B$142</c:f>
              <c:numCache>
                <c:formatCode>_(* #,##0.00_);_(* \(#,##0.00\);_(* "-"??_);_(@_)</c:formatCode>
                <c:ptCount val="2"/>
                <c:pt idx="0" formatCode="General">
                  <c:v>0</c:v>
                </c:pt>
                <c:pt idx="1">
                  <c:v>8270926.0165347848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C-432F-8931-5FCD40B0B9CD}"/>
            </c:ext>
          </c:extLst>
        </c:ser>
        <c:ser>
          <c:idx val="2"/>
          <c:order val="1"/>
          <c:tx>
            <c:v>Costo Fijo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'E-Costos'!$C$141:$C$142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3213880.666666667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0C-432F-8931-5FCD40B0B9CD}"/>
            </c:ext>
          </c:extLst>
        </c:ser>
        <c:ser>
          <c:idx val="3"/>
          <c:order val="2"/>
          <c:tx>
            <c:v>Costo Total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'E-Costos'!$D$141:$D$142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11484806.683201451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0C-432F-8931-5FCD40B0B9CD}"/>
            </c:ext>
          </c:extLst>
        </c:ser>
        <c:ser>
          <c:idx val="4"/>
          <c:order val="3"/>
          <c:tx>
            <c:v>Ingreso por Ventas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'E-Costos'!$E$141:$E$142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17379400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0C-432F-8931-5FCD40B0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08768"/>
        <c:axId val="75810304"/>
      </c:lineChart>
      <c:catAx>
        <c:axId val="7580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5810304"/>
        <c:crosses val="autoZero"/>
        <c:auto val="1"/>
        <c:lblAlgn val="ctr"/>
        <c:lblOffset val="100"/>
        <c:noMultiLvlLbl val="0"/>
      </c:catAx>
      <c:valAx>
        <c:axId val="758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580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959180463869907E-2"/>
          <c:y val="0.90388605836035196"/>
          <c:w val="0.8434147702708179"/>
          <c:h val="7.0903857606034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equilibro Año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Costo Variable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'E-Costos'!$I$141:$I$142</c:f>
              <c:numCache>
                <c:formatCode>_(\$* #,##0.00_);_(\$* \(#,##0.00\);_(\$* \-??_);_(@_)</c:formatCode>
                <c:ptCount val="2"/>
                <c:pt idx="0" formatCode="_(* #,##0.00_);_(* \(#,##0.00\);_(* &quot;-&quot;??_);_(@_)">
                  <c:v>0</c:v>
                </c:pt>
                <c:pt idx="1">
                  <c:v>13011110.127455331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E3-4F99-A549-69023F1C1CE2}"/>
            </c:ext>
          </c:extLst>
        </c:ser>
        <c:ser>
          <c:idx val="1"/>
          <c:order val="1"/>
          <c:tx>
            <c:v>Costo Fijo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'E-Costos'!$J$141:$J$142</c:f>
              <c:numCache>
                <c:formatCode>_(\$* #,##0.00_);_(\$* \(#,##0.00\);_(\$* \-??_);_(@_)</c:formatCode>
                <c:ptCount val="2"/>
                <c:pt idx="0">
                  <c:v>3256950.666666667</c:v>
                </c:pt>
                <c:pt idx="1">
                  <c:v>3256950.666666667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E3-4F99-A549-69023F1C1CE2}"/>
            </c:ext>
          </c:extLst>
        </c:ser>
        <c:ser>
          <c:idx val="2"/>
          <c:order val="2"/>
          <c:tx>
            <c:v>Costo Total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'E-Costos'!$K$141:$K$142</c:f>
              <c:numCache>
                <c:formatCode>_(\$* #,##0.00_);_(\$* \(#,##0.00\);_(\$* \-??_);_(@_)</c:formatCode>
                <c:ptCount val="2"/>
                <c:pt idx="0">
                  <c:v>3256950.666666667</c:v>
                </c:pt>
                <c:pt idx="1">
                  <c:v>16268060.794121999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E3-4F99-A549-69023F1C1CE2}"/>
            </c:ext>
          </c:extLst>
        </c:ser>
        <c:ser>
          <c:idx val="3"/>
          <c:order val="3"/>
          <c:tx>
            <c:v>Ingreso por Ventas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115.86199999999999</c:v>
              </c:pt>
            </c:numLit>
          </c:cat>
          <c:val>
            <c:numRef>
              <c:f>'E-Costos'!$L$141:$L$142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23172400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E3-4F99-A549-69023F1C1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42144"/>
        <c:axId val="83143680"/>
      </c:lineChart>
      <c:catAx>
        <c:axId val="831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3143680"/>
        <c:crosses val="autoZero"/>
        <c:auto val="1"/>
        <c:lblAlgn val="ctr"/>
        <c:lblOffset val="100"/>
        <c:noMultiLvlLbl val="0"/>
      </c:catAx>
      <c:valAx>
        <c:axId val="831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31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4"/>
          <c:tx>
            <c:v>Costo Fijo</c:v>
          </c:tx>
          <c:marker>
            <c:symbol val="none"/>
          </c:marker>
          <c:cat>
            <c:numRef>
              <c:f>'F-2 Estructura'!$A$51:$A$52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86897</c:v>
                </c:pt>
              </c:numCache>
            </c:numRef>
          </c:cat>
          <c:val>
            <c:numRef>
              <c:f>'F-2 Estructura'!$C$51:$C$52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3213880.666666667</c:v>
                </c:pt>
              </c:numCache>
            </c:numRef>
          </c:val>
          <c:smooth val="0"/>
        </c:ser>
        <c:ser>
          <c:idx val="6"/>
          <c:order val="5"/>
          <c:tx>
            <c:v>Ingreso por Ventas</c:v>
          </c:tx>
          <c:marker>
            <c:symbol val="none"/>
          </c:marker>
          <c:cat>
            <c:numRef>
              <c:f>'F-2 Estructura'!$A$51:$A$52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86897</c:v>
                </c:pt>
              </c:numCache>
            </c:numRef>
          </c:cat>
          <c:val>
            <c:numRef>
              <c:f>'F-2 Estructura'!$E$51:$E$52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17379400</c:v>
                </c:pt>
              </c:numCache>
            </c:numRef>
          </c:val>
          <c:smooth val="0"/>
        </c:ser>
        <c:ser>
          <c:idx val="1"/>
          <c:order val="0"/>
          <c:tx>
            <c:v>Costo Variable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'E-Costos'!$B$141:$B$142</c:f>
              <c:numCache>
                <c:formatCode>_(* #,##0.00_);_(* \(#,##0.00\);_(* "-"??_);_(@_)</c:formatCode>
                <c:ptCount val="2"/>
                <c:pt idx="0" formatCode="General">
                  <c:v>0</c:v>
                </c:pt>
                <c:pt idx="1">
                  <c:v>8270926.0165347848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C-432F-8931-5FCD40B0B9CD}"/>
            </c:ext>
          </c:extLst>
        </c:ser>
        <c:ser>
          <c:idx val="2"/>
          <c:order val="1"/>
          <c:tx>
            <c:v>Costo Fijo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'E-Costos'!$C$141:$C$142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3213880.666666667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0C-432F-8931-5FCD40B0B9CD}"/>
            </c:ext>
          </c:extLst>
        </c:ser>
        <c:ser>
          <c:idx val="3"/>
          <c:order val="2"/>
          <c:tx>
            <c:v>Costo Total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'E-Costos'!$D$141:$D$142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11484806.683201451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0C-432F-8931-5FCD40B0B9CD}"/>
            </c:ext>
          </c:extLst>
        </c:ser>
        <c:ser>
          <c:idx val="4"/>
          <c:order val="3"/>
          <c:tx>
            <c:v>Ingreso por Ventas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'E-Costos'!$E$141:$E$142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17379400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0C-432F-8931-5FCD40B0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66048"/>
        <c:axId val="83667584"/>
      </c:lineChart>
      <c:catAx>
        <c:axId val="8366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3667584"/>
        <c:crosses val="autoZero"/>
        <c:auto val="1"/>
        <c:lblAlgn val="ctr"/>
        <c:lblOffset val="100"/>
        <c:noMultiLvlLbl val="0"/>
      </c:catAx>
      <c:valAx>
        <c:axId val="8366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\$* #,##0.00_);_(\$* \(#,##0.00\);_(\$* \-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366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9.6959180463869907E-2"/>
          <c:y val="0.90388605836035196"/>
          <c:w val="0.8434147702708179"/>
          <c:h val="7.0903857606034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4"/>
          <c:tx>
            <c:v>Costo Fijo</c:v>
          </c:tx>
          <c:marker>
            <c:symbol val="none"/>
          </c:marker>
          <c:cat>
            <c:numRef>
              <c:f>'F-2 Estructura'!$A$51:$A$52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86897</c:v>
                </c:pt>
              </c:numCache>
            </c:numRef>
          </c:cat>
          <c:val>
            <c:numRef>
              <c:f>'F-2 Estructura'!$C$51:$C$52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3213880.666666667</c:v>
                </c:pt>
              </c:numCache>
            </c:numRef>
          </c:val>
          <c:smooth val="0"/>
        </c:ser>
        <c:ser>
          <c:idx val="6"/>
          <c:order val="5"/>
          <c:tx>
            <c:v>Ingreso por Ventas</c:v>
          </c:tx>
          <c:marker>
            <c:symbol val="none"/>
          </c:marker>
          <c:cat>
            <c:numRef>
              <c:f>'F-2 Estructura'!$A$51:$A$52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86897</c:v>
                </c:pt>
              </c:numCache>
            </c:numRef>
          </c:cat>
          <c:val>
            <c:numRef>
              <c:f>'F-2 Estructura'!$E$51:$E$52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17379400</c:v>
                </c:pt>
              </c:numCache>
            </c:numRef>
          </c:val>
          <c:smooth val="0"/>
        </c:ser>
        <c:ser>
          <c:idx val="1"/>
          <c:order val="0"/>
          <c:tx>
            <c:v>Costo Variable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'E-Costos'!$B$141:$B$142</c:f>
              <c:numCache>
                <c:formatCode>_(* #,##0.00_);_(* \(#,##0.00\);_(* "-"??_);_(@_)</c:formatCode>
                <c:ptCount val="2"/>
                <c:pt idx="0" formatCode="General">
                  <c:v>0</c:v>
                </c:pt>
                <c:pt idx="1">
                  <c:v>8270926.0165347848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C-432F-8931-5FCD40B0B9CD}"/>
            </c:ext>
          </c:extLst>
        </c:ser>
        <c:ser>
          <c:idx val="2"/>
          <c:order val="1"/>
          <c:tx>
            <c:v>Costo Fijo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'E-Costos'!$C$141:$C$142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3213880.666666667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0C-432F-8931-5FCD40B0B9CD}"/>
            </c:ext>
          </c:extLst>
        </c:ser>
        <c:ser>
          <c:idx val="3"/>
          <c:order val="2"/>
          <c:tx>
            <c:v>Costo Total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'E-Costos'!$D$141:$D$142</c:f>
              <c:numCache>
                <c:formatCode>_(\$* #,##0.00_);_(\$* \(#,##0.00\);_(\$* \-??_);_(@_)</c:formatCode>
                <c:ptCount val="2"/>
                <c:pt idx="0">
                  <c:v>3213880.666666667</c:v>
                </c:pt>
                <c:pt idx="1">
                  <c:v>11484806.683201451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0C-432F-8931-5FCD40B0B9CD}"/>
            </c:ext>
          </c:extLst>
        </c:ser>
        <c:ser>
          <c:idx val="4"/>
          <c:order val="3"/>
          <c:tx>
            <c:v>Ingreso por Ventas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"/>
              <c:pt idx="0">
                <c:v>0</c:v>
              </c:pt>
              <c:pt idx="1">
                <c:v>86.897000000000006</c:v>
              </c:pt>
            </c:numLit>
          </c:cat>
          <c:val>
            <c:numRef>
              <c:f>'E-Costos'!$E$141:$E$142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17379400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0C-432F-8931-5FCD40B0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81440"/>
        <c:axId val="83982976"/>
      </c:lineChart>
      <c:catAx>
        <c:axId val="8398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3982976"/>
        <c:crosses val="autoZero"/>
        <c:auto val="1"/>
        <c:lblAlgn val="ctr"/>
        <c:lblOffset val="100"/>
        <c:noMultiLvlLbl val="0"/>
      </c:catAx>
      <c:valAx>
        <c:axId val="8398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\$* #,##0.00_);_(\$* \(#,##0.00\);_(\$* \-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39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9.6959180463869907E-2"/>
          <c:y val="0.90388605836035196"/>
          <c:w val="0.8434147702708179"/>
          <c:h val="7.0903857606034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2084916</xdr:colOff>
      <xdr:row>144</xdr:row>
      <xdr:rowOff>88900</xdr:rowOff>
    </xdr:from>
    <xdr:to>
      <xdr:col>3</xdr:col>
      <xdr:colOff>592665</xdr:colOff>
      <xdr:row>163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C48699F8-1F66-4C57-ADA0-7FB9F6311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624416</xdr:colOff>
      <xdr:row>144</xdr:row>
      <xdr:rowOff>67735</xdr:rowOff>
    </xdr:from>
    <xdr:to>
      <xdr:col>10</xdr:col>
      <xdr:colOff>1058333</xdr:colOff>
      <xdr:row>161</xdr:row>
      <xdr:rowOff>112185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CC5D12F-53FD-4A8C-9F76-EDC0C982D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1936748</xdr:colOff>
      <xdr:row>54</xdr:row>
      <xdr:rowOff>73024</xdr:rowOff>
    </xdr:from>
    <xdr:to>
      <xdr:col>4</xdr:col>
      <xdr:colOff>158750</xdr:colOff>
      <xdr:row>75</xdr:row>
      <xdr:rowOff>105834</xdr:rowOff>
    </xdr:to>
    <xdr:graphicFrame macro="">
      <xdr:nvGraphicFramePr>
        <xdr:cNvPr id="5" name="4 Gráfico" descr="Punto de equilibrio Año 1" title="Punto de equilibrio Añ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677331</xdr:colOff>
      <xdr:row>53</xdr:row>
      <xdr:rowOff>148166</xdr:rowOff>
    </xdr:from>
    <xdr:to>
      <xdr:col>13</xdr:col>
      <xdr:colOff>158750</xdr:colOff>
      <xdr:row>75</xdr:row>
      <xdr:rowOff>148166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rticulo.mercadolibre.com.ar/MLA-678847238-nueva-recta-industrial-jack-f4-motor-bajo-consumo-_J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zoomScale="90" zoomScaleNormal="90" workbookViewId="0">
      <selection activeCell="B39" sqref="B39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 x14ac:dyDescent="0.2">
      <c r="A1" s="1" t="s">
        <v>0</v>
      </c>
      <c r="E1" s="2">
        <v>9</v>
      </c>
    </row>
    <row r="2" spans="1:13" ht="15" x14ac:dyDescent="0.25">
      <c r="G2" s="489" t="s">
        <v>1</v>
      </c>
      <c r="H2" s="489"/>
      <c r="I2" s="489"/>
      <c r="J2" s="489"/>
      <c r="K2" s="489"/>
      <c r="L2" s="489"/>
      <c r="M2" s="489"/>
    </row>
    <row r="3" spans="1:13" ht="14.65" customHeight="1" x14ac:dyDescent="0.2">
      <c r="A3" s="3" t="s">
        <v>2</v>
      </c>
      <c r="B3" s="4">
        <v>0.21</v>
      </c>
      <c r="G3" s="490" t="s">
        <v>3</v>
      </c>
      <c r="H3" s="490"/>
      <c r="I3" s="490"/>
      <c r="J3" s="490"/>
      <c r="K3" s="490"/>
      <c r="L3" s="490"/>
      <c r="M3" s="490"/>
    </row>
    <row r="4" spans="1:13" x14ac:dyDescent="0.2">
      <c r="A4" s="3" t="s">
        <v>4</v>
      </c>
      <c r="B4" s="4">
        <v>0.35</v>
      </c>
      <c r="G4" s="490"/>
      <c r="H4" s="490"/>
      <c r="I4" s="490"/>
      <c r="J4" s="490"/>
      <c r="K4" s="490"/>
      <c r="L4" s="490"/>
      <c r="M4" s="490"/>
    </row>
    <row r="5" spans="1:13" x14ac:dyDescent="0.2">
      <c r="A5" s="3" t="s">
        <v>5</v>
      </c>
      <c r="B5" s="4">
        <v>0.06</v>
      </c>
      <c r="C5" t="s">
        <v>6</v>
      </c>
      <c r="G5" s="490"/>
      <c r="H5" s="490"/>
      <c r="I5" s="490"/>
      <c r="J5" s="490"/>
      <c r="K5" s="490"/>
      <c r="L5" s="490"/>
      <c r="M5" s="490"/>
    </row>
    <row r="6" spans="1:13" x14ac:dyDescent="0.2">
      <c r="G6" s="490"/>
      <c r="H6" s="490"/>
      <c r="I6" s="490"/>
      <c r="J6" s="490"/>
      <c r="K6" s="490"/>
      <c r="L6" s="490"/>
      <c r="M6" s="490"/>
    </row>
    <row r="7" spans="1:13" ht="14.65" customHeight="1" x14ac:dyDescent="0.2">
      <c r="A7" s="3" t="s">
        <v>7</v>
      </c>
      <c r="B7" t="s">
        <v>8</v>
      </c>
      <c r="G7" s="491" t="s">
        <v>9</v>
      </c>
      <c r="H7" s="491"/>
      <c r="I7" s="491"/>
      <c r="J7" s="491"/>
      <c r="K7" s="491"/>
      <c r="L7" s="491"/>
      <c r="M7" s="491"/>
    </row>
    <row r="8" spans="1:13" x14ac:dyDescent="0.2">
      <c r="A8" s="5" t="s">
        <v>10</v>
      </c>
      <c r="B8" s="6">
        <v>30</v>
      </c>
      <c r="C8" t="s">
        <v>11</v>
      </c>
      <c r="G8" s="491"/>
      <c r="H8" s="491"/>
      <c r="I8" s="491"/>
      <c r="J8" s="491"/>
      <c r="K8" s="491"/>
      <c r="L8" s="491"/>
      <c r="M8" s="491"/>
    </row>
    <row r="9" spans="1:13" x14ac:dyDescent="0.2">
      <c r="A9" s="5" t="s">
        <v>12</v>
      </c>
      <c r="B9" s="6">
        <v>10</v>
      </c>
      <c r="C9" t="s">
        <v>11</v>
      </c>
      <c r="G9" s="492" t="s">
        <v>13</v>
      </c>
      <c r="H9" s="492"/>
      <c r="I9" s="492"/>
      <c r="J9" s="492"/>
      <c r="K9" s="492"/>
      <c r="L9" s="492"/>
      <c r="M9" s="492"/>
    </row>
    <row r="10" spans="1:13" ht="14.65" customHeight="1" x14ac:dyDescent="0.2">
      <c r="A10" s="5" t="s">
        <v>14</v>
      </c>
      <c r="B10" s="6">
        <v>10</v>
      </c>
      <c r="C10" t="s">
        <v>11</v>
      </c>
      <c r="G10" s="493" t="s">
        <v>15</v>
      </c>
      <c r="H10" s="493"/>
      <c r="I10" s="493"/>
      <c r="J10" s="493"/>
      <c r="K10" s="493"/>
      <c r="L10" s="493"/>
      <c r="M10" s="493"/>
    </row>
    <row r="11" spans="1:13" x14ac:dyDescent="0.2">
      <c r="A11" s="5" t="s">
        <v>16</v>
      </c>
      <c r="B11" s="6">
        <v>5</v>
      </c>
      <c r="C11" t="s">
        <v>11</v>
      </c>
      <c r="G11" s="493"/>
      <c r="H11" s="493"/>
      <c r="I11" s="493"/>
      <c r="J11" s="493"/>
      <c r="K11" s="493"/>
      <c r="L11" s="493"/>
      <c r="M11" s="493"/>
    </row>
    <row r="12" spans="1:13" ht="14.65" customHeight="1" x14ac:dyDescent="0.2">
      <c r="A12" s="5" t="s">
        <v>17</v>
      </c>
      <c r="B12" s="6">
        <v>5</v>
      </c>
      <c r="C12" t="s">
        <v>11</v>
      </c>
      <c r="G12" s="493" t="s">
        <v>18</v>
      </c>
      <c r="H12" s="493"/>
      <c r="I12" s="493"/>
      <c r="J12" s="493"/>
      <c r="K12" s="493"/>
      <c r="L12" s="493"/>
      <c r="M12" s="493"/>
    </row>
    <row r="13" spans="1:13" x14ac:dyDescent="0.2">
      <c r="A13" s="5" t="s">
        <v>19</v>
      </c>
      <c r="B13" s="6">
        <v>3</v>
      </c>
      <c r="C13" t="s">
        <v>11</v>
      </c>
      <c r="G13" s="493"/>
      <c r="H13" s="493"/>
      <c r="I13" s="493"/>
      <c r="J13" s="493"/>
      <c r="K13" s="493"/>
      <c r="L13" s="493"/>
      <c r="M13" s="493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0.08</v>
      </c>
    </row>
    <row r="17" spans="1:7" x14ac:dyDescent="0.2">
      <c r="A17" s="3" t="s">
        <v>22</v>
      </c>
      <c r="B17" s="8" t="s">
        <v>399</v>
      </c>
      <c r="C17" s="9"/>
      <c r="D17" s="9"/>
      <c r="E17" s="9"/>
      <c r="F17" s="9"/>
      <c r="G17" s="10"/>
    </row>
    <row r="19" spans="1:7" ht="14.25" x14ac:dyDescent="0.2">
      <c r="A19" s="3" t="s">
        <v>23</v>
      </c>
      <c r="B19" s="209">
        <v>115862</v>
      </c>
      <c r="C19" t="s">
        <v>24</v>
      </c>
    </row>
    <row r="20" spans="1:7" x14ac:dyDescent="0.2">
      <c r="A20" s="3" t="s">
        <v>25</v>
      </c>
      <c r="B20" s="210">
        <v>200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5</v>
      </c>
      <c r="C23" t="s">
        <v>29</v>
      </c>
    </row>
    <row r="24" spans="1:7" x14ac:dyDescent="0.2">
      <c r="A24" s="3" t="s">
        <v>30</v>
      </c>
      <c r="B24" s="11">
        <v>2</v>
      </c>
      <c r="C24" t="s">
        <v>29</v>
      </c>
    </row>
    <row r="25" spans="1:7" x14ac:dyDescent="0.2">
      <c r="A25" s="3" t="s">
        <v>31</v>
      </c>
      <c r="B25" s="11">
        <v>4</v>
      </c>
      <c r="C25" t="s">
        <v>29</v>
      </c>
    </row>
    <row r="27" spans="1:7" x14ac:dyDescent="0.2">
      <c r="A27" s="3" t="s">
        <v>32</v>
      </c>
      <c r="B27" s="11">
        <v>251</v>
      </c>
      <c r="C27" t="s">
        <v>33</v>
      </c>
    </row>
    <row r="28" spans="1:7" x14ac:dyDescent="0.2">
      <c r="A28" s="3" t="s">
        <v>34</v>
      </c>
      <c r="B28" s="11">
        <v>11</v>
      </c>
      <c r="C28" t="s">
        <v>35</v>
      </c>
    </row>
    <row r="29" spans="1:7" x14ac:dyDescent="0.2">
      <c r="A29" s="3" t="s">
        <v>36</v>
      </c>
      <c r="B29" s="11">
        <v>6</v>
      </c>
      <c r="C29" t="s">
        <v>35</v>
      </c>
    </row>
    <row r="32" spans="1:7" x14ac:dyDescent="0.2">
      <c r="A32" s="3" t="s">
        <v>37</v>
      </c>
      <c r="B32" s="11">
        <v>39.35</v>
      </c>
      <c r="C32" t="s">
        <v>38</v>
      </c>
      <c r="D32" s="11">
        <v>1</v>
      </c>
      <c r="E32" t="s">
        <v>39</v>
      </c>
    </row>
    <row r="33" spans="1:37" x14ac:dyDescent="0.2">
      <c r="A33" s="12"/>
    </row>
    <row r="34" spans="1:37" x14ac:dyDescent="0.2">
      <c r="A34" s="12"/>
    </row>
    <row r="35" spans="1:37" x14ac:dyDescent="0.2">
      <c r="A35" s="3" t="s">
        <v>40</v>
      </c>
      <c r="B35" s="13">
        <v>64</v>
      </c>
      <c r="C35" t="s">
        <v>41</v>
      </c>
      <c r="G35" s="14" t="s">
        <v>42</v>
      </c>
    </row>
    <row r="36" spans="1:37" x14ac:dyDescent="0.2">
      <c r="A36" s="3" t="s">
        <v>43</v>
      </c>
      <c r="B36" s="488" t="s">
        <v>400</v>
      </c>
      <c r="C36" s="488"/>
      <c r="D36" s="488"/>
    </row>
    <row r="37" spans="1:37" x14ac:dyDescent="0.2">
      <c r="A37" s="3" t="s">
        <v>44</v>
      </c>
      <c r="B37" s="15">
        <v>60</v>
      </c>
    </row>
    <row r="38" spans="1:37" x14ac:dyDescent="0.2">
      <c r="A38" s="3"/>
    </row>
    <row r="39" spans="1:37" x14ac:dyDescent="0.2">
      <c r="A39" s="3" t="s">
        <v>45</v>
      </c>
      <c r="B39" s="11">
        <v>180</v>
      </c>
    </row>
    <row r="40" spans="1:37" x14ac:dyDescent="0.2">
      <c r="A40" s="3" t="s">
        <v>46</v>
      </c>
      <c r="B40" s="11">
        <v>50</v>
      </c>
    </row>
    <row r="41" spans="1:37" x14ac:dyDescent="0.2">
      <c r="A41" s="3" t="s">
        <v>47</v>
      </c>
      <c r="B41" s="11">
        <v>12</v>
      </c>
      <c r="C41" t="s">
        <v>41</v>
      </c>
    </row>
    <row r="47" spans="1:37" x14ac:dyDescent="0.2">
      <c r="AK47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zoomScale="90" zoomScaleNormal="90" workbookViewId="0">
      <selection activeCell="L16" sqref="L16"/>
    </sheetView>
  </sheetViews>
  <sheetFormatPr baseColWidth="10" defaultColWidth="11.28515625" defaultRowHeight="12.75" x14ac:dyDescent="0.2"/>
  <cols>
    <col min="1" max="1" width="41.140625" style="142" customWidth="1"/>
    <col min="2" max="6" width="16" style="142" bestFit="1" customWidth="1"/>
    <col min="7" max="7" width="17.140625" style="142" bestFit="1" customWidth="1"/>
    <col min="8" max="8" width="9" style="142" customWidth="1"/>
    <col min="9" max="10" width="11.28515625" style="142"/>
    <col min="11" max="11" width="13.5703125" style="142" customWidth="1"/>
    <col min="12" max="12" width="24.85546875" style="142" bestFit="1" customWidth="1"/>
    <col min="13" max="13" width="14.85546875" style="142" bestFit="1" customWidth="1"/>
    <col min="14" max="14" width="16.7109375" style="142" bestFit="1" customWidth="1"/>
    <col min="15" max="15" width="16.42578125" style="142" bestFit="1" customWidth="1"/>
    <col min="16" max="16384" width="11.28515625" style="142"/>
  </cols>
  <sheetData>
    <row r="1" spans="1:15" x14ac:dyDescent="0.2">
      <c r="A1" s="438" t="s">
        <v>0</v>
      </c>
      <c r="B1" s="439"/>
      <c r="C1" s="439"/>
      <c r="D1" s="439"/>
      <c r="E1" s="440"/>
      <c r="F1" s="441">
        <f>InfoInicial!E1</f>
        <v>9</v>
      </c>
      <c r="G1" s="423"/>
      <c r="H1" s="424"/>
    </row>
    <row r="2" spans="1:15" ht="15.75" x14ac:dyDescent="0.25">
      <c r="A2" s="442" t="s">
        <v>278</v>
      </c>
      <c r="B2" s="435"/>
      <c r="C2" s="435"/>
      <c r="D2" s="435"/>
      <c r="E2" s="435"/>
      <c r="F2" s="435"/>
      <c r="G2" s="435"/>
      <c r="H2" s="534" t="s">
        <v>262</v>
      </c>
    </row>
    <row r="3" spans="1:15" x14ac:dyDescent="0.2">
      <c r="A3" s="443" t="s">
        <v>93</v>
      </c>
      <c r="B3" s="436" t="s">
        <v>54</v>
      </c>
      <c r="C3" s="436" t="s">
        <v>94</v>
      </c>
      <c r="D3" s="436" t="s">
        <v>95</v>
      </c>
      <c r="E3" s="436" t="s">
        <v>96</v>
      </c>
      <c r="F3" s="436" t="s">
        <v>97</v>
      </c>
      <c r="G3" s="436" t="s">
        <v>197</v>
      </c>
      <c r="H3" s="535"/>
      <c r="K3" s="425" t="s">
        <v>11</v>
      </c>
      <c r="L3" s="425" t="s">
        <v>610</v>
      </c>
      <c r="M3" s="425" t="s">
        <v>611</v>
      </c>
      <c r="N3" s="425" t="s">
        <v>612</v>
      </c>
      <c r="O3" s="452" t="s">
        <v>613</v>
      </c>
    </row>
    <row r="4" spans="1:15" x14ac:dyDescent="0.2">
      <c r="A4" s="444" t="s">
        <v>279</v>
      </c>
      <c r="B4" s="383">
        <f>'E-Costos'!B88</f>
        <v>17379400</v>
      </c>
      <c r="C4" s="383">
        <f>'E-Costos'!C88</f>
        <v>23172400</v>
      </c>
      <c r="D4" s="383">
        <f>'E-Costos'!D88</f>
        <v>23172400</v>
      </c>
      <c r="E4" s="383">
        <f>'E-Costos'!E88</f>
        <v>23172400</v>
      </c>
      <c r="F4" s="383">
        <f>'E-Costos'!F88</f>
        <v>23172400</v>
      </c>
      <c r="G4" s="383">
        <f>SUM(B4:F4)</f>
        <v>110069000</v>
      </c>
      <c r="H4" s="445">
        <v>100</v>
      </c>
      <c r="K4" s="425">
        <v>1</v>
      </c>
      <c r="L4" s="430">
        <f>'F-Cred'!X35/3</f>
        <v>126707</v>
      </c>
      <c r="M4" s="428">
        <f>'F-Cred'!R54+'F-Cred'!R55</f>
        <v>917713.44560000009</v>
      </c>
      <c r="N4" s="429">
        <f>'F-Cred'!T37</f>
        <v>651636</v>
      </c>
      <c r="O4" s="453">
        <f>SUM(L4:N4)</f>
        <v>1696056.4456000002</v>
      </c>
    </row>
    <row r="5" spans="1:15" x14ac:dyDescent="0.2">
      <c r="A5" s="444" t="s">
        <v>280</v>
      </c>
      <c r="B5" s="383">
        <f>'E-Costos'!B107</f>
        <v>8097745.4028158719</v>
      </c>
      <c r="C5" s="383">
        <f>'E-Costos'!C107</f>
        <v>13352712.119701518</v>
      </c>
      <c r="D5" s="383">
        <f>'E-Costos'!D107</f>
        <v>13330427.674029984</v>
      </c>
      <c r="E5" s="383">
        <f>'E-Costos'!E107</f>
        <v>13341119.891372006</v>
      </c>
      <c r="F5" s="383">
        <f>'E-Costos'!F107</f>
        <v>13341174.305916382</v>
      </c>
      <c r="G5" s="383">
        <f>SUM(B5:F5)</f>
        <v>61463179.393835768</v>
      </c>
      <c r="H5" s="446">
        <f>G5*H4/G4</f>
        <v>55.840590351357569</v>
      </c>
      <c r="K5" s="425">
        <v>2</v>
      </c>
      <c r="L5" s="430">
        <f>L4</f>
        <v>126707</v>
      </c>
      <c r="M5" s="428">
        <f>'F-Cred'!R56+'F-Cred'!R57</f>
        <v>917713.44560000009</v>
      </c>
      <c r="N5" s="428">
        <f>'F-Cred'!T38</f>
        <v>521308.8</v>
      </c>
      <c r="O5" s="453">
        <f>SUM(L5:N5)</f>
        <v>1565729.2456</v>
      </c>
    </row>
    <row r="6" spans="1:15" x14ac:dyDescent="0.2">
      <c r="A6" s="444" t="s">
        <v>281</v>
      </c>
      <c r="B6" s="383">
        <f>B4-B5</f>
        <v>9281654.5971841291</v>
      </c>
      <c r="C6" s="383">
        <f t="shared" ref="C6:G6" si="0">C4-C5</f>
        <v>9819687.8802984823</v>
      </c>
      <c r="D6" s="383">
        <f t="shared" si="0"/>
        <v>9841972.3259700164</v>
      </c>
      <c r="E6" s="383">
        <f t="shared" si="0"/>
        <v>9831280.1086279936</v>
      </c>
      <c r="F6" s="383">
        <f t="shared" si="0"/>
        <v>9831225.694083618</v>
      </c>
      <c r="G6" s="383">
        <f t="shared" si="0"/>
        <v>48605820.606164232</v>
      </c>
      <c r="H6" s="446">
        <f>G6*H4/G4</f>
        <v>44.159409648642431</v>
      </c>
      <c r="K6" s="425">
        <v>3</v>
      </c>
      <c r="L6" s="426">
        <f>L5</f>
        <v>126707</v>
      </c>
      <c r="M6" s="428">
        <f>'F-Cred'!R58+'F-Cred'!R59</f>
        <v>917713.44560000009</v>
      </c>
      <c r="N6" s="428">
        <f>'F-Cred'!T39</f>
        <v>390981.6</v>
      </c>
      <c r="O6" s="453">
        <f>SUM(L6:N6)</f>
        <v>1435402.0456000001</v>
      </c>
    </row>
    <row r="7" spans="1:15" x14ac:dyDescent="0.2">
      <c r="A7" s="444" t="s">
        <v>119</v>
      </c>
      <c r="B7" s="437"/>
      <c r="C7" s="437"/>
      <c r="D7" s="437"/>
      <c r="E7" s="437"/>
      <c r="F7" s="437"/>
      <c r="G7" s="437"/>
      <c r="H7" s="447"/>
      <c r="K7" s="425">
        <v>4</v>
      </c>
      <c r="L7" s="427"/>
      <c r="M7" s="428">
        <f>'F-Cred'!R60+'F-Cred'!R61</f>
        <v>917713.44560000009</v>
      </c>
      <c r="N7" s="428">
        <f>'F-Cred'!T40</f>
        <v>260654.4</v>
      </c>
      <c r="O7" s="453">
        <f>SUM(L7:N7)</f>
        <v>1178367.8456000001</v>
      </c>
    </row>
    <row r="8" spans="1:15" x14ac:dyDescent="0.2">
      <c r="A8" s="444" t="s">
        <v>282</v>
      </c>
      <c r="B8" s="383">
        <f>'E-Costos'!B130+'E-Costos'!B131</f>
        <v>1466808.1315619797</v>
      </c>
      <c r="C8" s="383">
        <f>'E-Costos'!C130+'E-Costos'!C131</f>
        <v>1467468.1076742578</v>
      </c>
      <c r="D8" s="383">
        <f>'E-Costos'!D130+'E-Costos'!D131</f>
        <v>1467468.1076742578</v>
      </c>
      <c r="E8" s="383">
        <f>'E-Costos'!E130+'E-Costos'!E131</f>
        <v>1467447.2636742578</v>
      </c>
      <c r="F8" s="383">
        <f>'E-Costos'!F130+'E-Costos'!F131</f>
        <v>1467447.2636742578</v>
      </c>
      <c r="G8" s="383">
        <f>SUM(B8:F8)</f>
        <v>7336638.87425901</v>
      </c>
      <c r="H8" s="446">
        <f>G8*H$4/G$4</f>
        <v>6.6654906233898821</v>
      </c>
      <c r="K8" s="425">
        <v>5</v>
      </c>
      <c r="L8" s="427"/>
      <c r="M8" s="428">
        <f>'F-Cred'!R62+'F-Cred'!R63</f>
        <v>917713.44560000009</v>
      </c>
      <c r="N8" s="428">
        <f>'F-Cred'!T41</f>
        <v>130327.2</v>
      </c>
      <c r="O8" s="454">
        <f>SUM(L8:N8)</f>
        <v>1048040.6456</v>
      </c>
    </row>
    <row r="9" spans="1:15" x14ac:dyDescent="0.2">
      <c r="A9" s="444" t="s">
        <v>283</v>
      </c>
      <c r="B9" s="383">
        <f>('E-Costos'!B132+'E-Costos'!B133)</f>
        <v>1458779.2484190804</v>
      </c>
      <c r="C9" s="383">
        <f>('E-Costos'!C132+'E-Costos'!C133)</f>
        <v>1459439.2245313586</v>
      </c>
      <c r="D9" s="383">
        <f>('E-Costos'!D132+'E-Costos'!D133)</f>
        <v>1459439.2245313586</v>
      </c>
      <c r="E9" s="383">
        <f>('E-Costos'!E132+'E-Costos'!E133)</f>
        <v>1459439.2245313586</v>
      </c>
      <c r="F9" s="383">
        <f>('E-Costos'!F132+'E-Costos'!F133)</f>
        <v>1459439.2245313586</v>
      </c>
      <c r="G9" s="383">
        <f>SUM(B9:F9)</f>
        <v>7296536.1465445142</v>
      </c>
      <c r="H9" s="446">
        <f t="shared" ref="H9:H14" si="1">G9*H$4/G$4</f>
        <v>6.6290564523567159</v>
      </c>
      <c r="K9" s="142" t="s">
        <v>157</v>
      </c>
      <c r="L9" s="434">
        <f>SUM(L4:L6)</f>
        <v>380121</v>
      </c>
      <c r="M9" s="434">
        <f t="shared" ref="M9:O9" si="2">SUM(M4:N6)</f>
        <v>4317066.7368000001</v>
      </c>
      <c r="N9" s="434">
        <f t="shared" si="2"/>
        <v>6261114.1367999995</v>
      </c>
      <c r="O9" s="434">
        <f t="shared" si="2"/>
        <v>4697187.7368000001</v>
      </c>
    </row>
    <row r="10" spans="1:15" x14ac:dyDescent="0.2">
      <c r="A10" s="444" t="s">
        <v>284</v>
      </c>
      <c r="B10" s="383">
        <f>O4</f>
        <v>1696056.4456000002</v>
      </c>
      <c r="C10" s="383">
        <f>O5</f>
        <v>1565729.2456</v>
      </c>
      <c r="D10" s="383">
        <f>O6</f>
        <v>1435402.0456000001</v>
      </c>
      <c r="E10" s="383">
        <f>O7</f>
        <v>1178367.8456000001</v>
      </c>
      <c r="F10" s="383">
        <f>O8</f>
        <v>1048040.6456</v>
      </c>
      <c r="G10" s="383">
        <f>SUM(B10:F10)</f>
        <v>6923596.2280000001</v>
      </c>
      <c r="H10" s="446">
        <f t="shared" si="1"/>
        <v>6.2902326976714598</v>
      </c>
    </row>
    <row r="11" spans="1:15" x14ac:dyDescent="0.2">
      <c r="A11" s="448" t="s">
        <v>285</v>
      </c>
      <c r="B11" s="404">
        <f>B6-(B8+B9+B10)</f>
        <v>4660010.7716030683</v>
      </c>
      <c r="C11" s="404">
        <f t="shared" ref="C11:G11" si="3">C6-(C8+C9+C10)</f>
        <v>5327051.3024928663</v>
      </c>
      <c r="D11" s="404">
        <f t="shared" si="3"/>
        <v>5479662.9481643997</v>
      </c>
      <c r="E11" s="404">
        <f t="shared" si="3"/>
        <v>5726025.7748223767</v>
      </c>
      <c r="F11" s="404">
        <f t="shared" si="3"/>
        <v>5856298.5602780022</v>
      </c>
      <c r="G11" s="404">
        <f t="shared" si="3"/>
        <v>27049049.357360706</v>
      </c>
      <c r="H11" s="446">
        <f t="shared" si="1"/>
        <v>24.574629875224364</v>
      </c>
    </row>
    <row r="12" spans="1:15" x14ac:dyDescent="0.2">
      <c r="A12" s="444" t="s">
        <v>286</v>
      </c>
      <c r="B12" s="383">
        <f>'E-Costos'!B117</f>
        <v>381364.03303218418</v>
      </c>
      <c r="C12" s="383">
        <f>'E-Costos'!C117</f>
        <v>413566.83288557199</v>
      </c>
      <c r="D12" s="383">
        <f>'E-Costos'!D117</f>
        <v>414903.899625864</v>
      </c>
      <c r="E12" s="383">
        <f>'E-Costos'!E117</f>
        <v>414263.61722534266</v>
      </c>
      <c r="F12" s="383">
        <f>'E-Costos'!F117</f>
        <v>414260.35235268011</v>
      </c>
      <c r="G12" s="383">
        <f>SUM(B12:F12)</f>
        <v>2038358.7351216429</v>
      </c>
      <c r="H12" s="446">
        <f t="shared" si="1"/>
        <v>1.8518917543737501</v>
      </c>
    </row>
    <row r="13" spans="1:15" x14ac:dyDescent="0.2">
      <c r="A13" s="449" t="s">
        <v>287</v>
      </c>
      <c r="B13" s="383">
        <f>(B11-B12)*35/100</f>
        <v>1497526.3584998094</v>
      </c>
      <c r="C13" s="383">
        <f t="shared" ref="C13:G13" si="4">(C11-C12)*35/100</f>
        <v>1719719.5643625529</v>
      </c>
      <c r="D13" s="383">
        <f t="shared" si="4"/>
        <v>1772665.6669884876</v>
      </c>
      <c r="E13" s="383">
        <f t="shared" si="4"/>
        <v>1859116.755158962</v>
      </c>
      <c r="F13" s="383">
        <f t="shared" si="4"/>
        <v>1904713.3727738627</v>
      </c>
      <c r="G13" s="383">
        <f t="shared" si="4"/>
        <v>8753741.7177836727</v>
      </c>
      <c r="H13" s="446">
        <f t="shared" si="1"/>
        <v>7.9529583422977161</v>
      </c>
    </row>
    <row r="14" spans="1:15" ht="13.5" thickBot="1" x14ac:dyDescent="0.25">
      <c r="A14" s="450" t="s">
        <v>288</v>
      </c>
      <c r="B14" s="397">
        <f>B11-B12-B13</f>
        <v>2781120.3800710747</v>
      </c>
      <c r="C14" s="397">
        <f t="shared" ref="C14:G14" si="5">C11-C12-C13</f>
        <v>3193764.9052447416</v>
      </c>
      <c r="D14" s="397">
        <f t="shared" si="5"/>
        <v>3292093.3815500485</v>
      </c>
      <c r="E14" s="397">
        <f t="shared" si="5"/>
        <v>3452645.4024380725</v>
      </c>
      <c r="F14" s="397">
        <f t="shared" si="5"/>
        <v>3537324.83515146</v>
      </c>
      <c r="G14" s="397">
        <f t="shared" si="5"/>
        <v>16256948.904455392</v>
      </c>
      <c r="H14" s="451">
        <f t="shared" si="1"/>
        <v>14.7697797785529</v>
      </c>
    </row>
  </sheetData>
  <sheetProtection selectLockedCells="1" selectUnlockedCells="1"/>
  <mergeCells count="1">
    <mergeCell ref="H2:H3"/>
  </mergeCells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2"/>
  <sheetViews>
    <sheetView topLeftCell="A45" zoomScale="90" zoomScaleNormal="90" workbookViewId="0">
      <selection activeCell="G59" sqref="G59"/>
    </sheetView>
  </sheetViews>
  <sheetFormatPr baseColWidth="10" defaultColWidth="11.28515625" defaultRowHeight="12.75" x14ac:dyDescent="0.2"/>
  <cols>
    <col min="1" max="1" width="54.28515625" style="142" customWidth="1"/>
    <col min="2" max="6" width="16" style="142" bestFit="1" customWidth="1"/>
    <col min="7" max="7" width="17.28515625" style="142" bestFit="1" customWidth="1"/>
    <col min="8" max="8" width="11.28515625" style="142" customWidth="1"/>
    <col min="9" max="9" width="18.5703125" style="142" bestFit="1" customWidth="1"/>
    <col min="10" max="10" width="16.85546875" style="142" bestFit="1" customWidth="1"/>
    <col min="11" max="11" width="14.85546875" style="142" bestFit="1" customWidth="1"/>
    <col min="12" max="12" width="16" style="142" bestFit="1" customWidth="1"/>
    <col min="13" max="13" width="17.5703125" style="142" bestFit="1" customWidth="1"/>
    <col min="14" max="250" width="11.28515625" style="142" customWidth="1"/>
  </cols>
  <sheetData>
    <row r="1" spans="1:9" x14ac:dyDescent="0.2">
      <c r="A1" s="1" t="s">
        <v>0</v>
      </c>
      <c r="B1"/>
      <c r="C1"/>
      <c r="D1">
        <f>InfoInicial!E1</f>
        <v>9</v>
      </c>
      <c r="E1" s="2"/>
    </row>
    <row r="2" spans="1:9" ht="13.5" thickBot="1" x14ac:dyDescent="0.25">
      <c r="A2" s="1"/>
      <c r="B2"/>
      <c r="C2"/>
      <c r="D2"/>
      <c r="E2" s="466"/>
    </row>
    <row r="3" spans="1:9" ht="16.5" thickTop="1" x14ac:dyDescent="0.25">
      <c r="A3" s="143" t="s">
        <v>289</v>
      </c>
      <c r="B3" s="144"/>
      <c r="C3" s="144"/>
      <c r="D3" s="145"/>
    </row>
    <row r="4" spans="1:9" ht="13.5" thickBot="1" x14ac:dyDescent="0.25">
      <c r="A4" s="146" t="s">
        <v>93</v>
      </c>
      <c r="B4" s="152" t="s">
        <v>53</v>
      </c>
      <c r="C4" s="152" t="s">
        <v>54</v>
      </c>
      <c r="D4" s="148" t="s">
        <v>197</v>
      </c>
    </row>
    <row r="5" spans="1:9" ht="13.5" thickTop="1" x14ac:dyDescent="0.2">
      <c r="A5" s="149" t="s">
        <v>290</v>
      </c>
      <c r="B5" s="78"/>
      <c r="C5" s="78"/>
      <c r="D5" s="79"/>
    </row>
    <row r="6" spans="1:9" x14ac:dyDescent="0.2">
      <c r="B6" s="57"/>
      <c r="C6" s="57"/>
      <c r="D6" s="58"/>
    </row>
    <row r="7" spans="1:9" x14ac:dyDescent="0.2">
      <c r="A7" s="142" t="s">
        <v>291</v>
      </c>
      <c r="B7" s="455">
        <f>'E-Inv AF y Am'!B20</f>
        <v>11323401.199999999</v>
      </c>
      <c r="C7" s="455">
        <f>'E-Inv AF y Am'!C20</f>
        <v>0</v>
      </c>
      <c r="D7" s="456">
        <f>C7+B7</f>
        <v>11323401.199999999</v>
      </c>
      <c r="E7" s="168"/>
    </row>
    <row r="8" spans="1:9" x14ac:dyDescent="0.2">
      <c r="A8" s="142" t="s">
        <v>292</v>
      </c>
      <c r="B8" s="455">
        <f>'E-Inv AF y Am'!B31+'F-CRes'!L9</f>
        <v>882321</v>
      </c>
      <c r="C8" s="455">
        <f>'E-Inv AF y Am'!C31</f>
        <v>377214.06456000003</v>
      </c>
      <c r="D8" s="456">
        <f>C8+B8</f>
        <v>1259535.0645600001</v>
      </c>
      <c r="E8" s="168"/>
    </row>
    <row r="9" spans="1:9" x14ac:dyDescent="0.2">
      <c r="A9" s="149" t="s">
        <v>293</v>
      </c>
      <c r="B9" s="455">
        <f>B8+B7</f>
        <v>12205722.199999999</v>
      </c>
      <c r="C9" s="455">
        <f>'E-Inv AF y Am'!C31</f>
        <v>377214.06456000003</v>
      </c>
      <c r="D9" s="456">
        <f>C9+B9</f>
        <v>12582936.264559999</v>
      </c>
      <c r="E9" s="168"/>
      <c r="G9" s="142" t="s">
        <v>614</v>
      </c>
      <c r="H9" s="142">
        <v>30</v>
      </c>
      <c r="I9" s="142" t="s">
        <v>615</v>
      </c>
    </row>
    <row r="10" spans="1:9" x14ac:dyDescent="0.2">
      <c r="A10" s="150" t="s">
        <v>294</v>
      </c>
      <c r="B10" s="455">
        <f>B9*InfoInicial!B3</f>
        <v>2563201.6619999995</v>
      </c>
      <c r="C10" s="455">
        <f>C9*InfoInicial!B3</f>
        <v>79214.953557600005</v>
      </c>
      <c r="D10" s="456">
        <f>C10+B10</f>
        <v>2642416.6155575993</v>
      </c>
      <c r="E10" s="168"/>
    </row>
    <row r="11" spans="1:9" x14ac:dyDescent="0.2">
      <c r="A11" s="149" t="s">
        <v>295</v>
      </c>
      <c r="B11" s="455">
        <f>B10+B9</f>
        <v>14768923.862</v>
      </c>
      <c r="C11" s="455">
        <f>C10+C9</f>
        <v>456429.0181176</v>
      </c>
      <c r="D11" s="456">
        <f>+D10+D9</f>
        <v>15225352.880117599</v>
      </c>
      <c r="E11" s="168"/>
    </row>
    <row r="12" spans="1:9" x14ac:dyDescent="0.2">
      <c r="A12" s="149" t="s">
        <v>296</v>
      </c>
      <c r="B12" s="457"/>
      <c r="C12" s="457"/>
      <c r="D12" s="458"/>
      <c r="E12" s="168"/>
    </row>
    <row r="13" spans="1:9" x14ac:dyDescent="0.2">
      <c r="A13" s="150" t="s">
        <v>297</v>
      </c>
      <c r="B13" s="455">
        <f>'E-InvAT'!B6</f>
        <v>278070.40000000002</v>
      </c>
      <c r="C13" s="455">
        <f>D13-B13</f>
        <v>69517.599999999977</v>
      </c>
      <c r="D13" s="456">
        <f>'E-InvAT'!C6</f>
        <v>347588</v>
      </c>
      <c r="E13" s="168"/>
    </row>
    <row r="14" spans="1:9" x14ac:dyDescent="0.2">
      <c r="A14" s="142" t="s">
        <v>298</v>
      </c>
      <c r="B14" s="455">
        <v>0</v>
      </c>
      <c r="C14" s="455">
        <f>D14-B14</f>
        <v>1428443.8356164384</v>
      </c>
      <c r="D14" s="456">
        <f>'E-InvAT'!C7</f>
        <v>1428443.8356164384</v>
      </c>
      <c r="E14" s="168"/>
    </row>
    <row r="15" spans="1:9" x14ac:dyDescent="0.2">
      <c r="A15" s="142" t="s">
        <v>299</v>
      </c>
      <c r="B15" s="455">
        <f>'E-InvAT'!B9</f>
        <v>1063390.7779255467</v>
      </c>
      <c r="C15" s="455">
        <f>D15-B15</f>
        <v>630255.98268882721</v>
      </c>
      <c r="D15" s="456">
        <f>'E-InvAT'!C9</f>
        <v>1693646.760614374</v>
      </c>
      <c r="E15" s="168"/>
    </row>
    <row r="16" spans="1:9" x14ac:dyDescent="0.2">
      <c r="A16" s="149" t="s">
        <v>300</v>
      </c>
      <c r="B16" s="455">
        <f>SUM(B13:B15)</f>
        <v>1341461.1779255467</v>
      </c>
      <c r="C16" s="455">
        <f>SUM(C13:C15)</f>
        <v>2128217.4183052657</v>
      </c>
      <c r="D16" s="456">
        <f>C16+B16</f>
        <v>3469678.5962308124</v>
      </c>
      <c r="E16" s="168"/>
    </row>
    <row r="17" spans="1:6" x14ac:dyDescent="0.2">
      <c r="A17" s="142" t="s">
        <v>119</v>
      </c>
      <c r="B17" s="457"/>
      <c r="C17" s="457"/>
      <c r="D17" s="458"/>
      <c r="E17" s="168"/>
    </row>
    <row r="18" spans="1:6" x14ac:dyDescent="0.2">
      <c r="A18" s="142" t="s">
        <v>301</v>
      </c>
      <c r="B18" s="455">
        <f>'E-InvAT'!B17+'E-InvAT'!B18</f>
        <v>0</v>
      </c>
      <c r="C18" s="455">
        <f>'E-InvAT'!C17+'E-InvAT'!C18</f>
        <v>6628.2380826263015</v>
      </c>
      <c r="D18" s="456">
        <f t="shared" ref="D18:D24" si="0">C18+B18</f>
        <v>6628.2380826263015</v>
      </c>
      <c r="E18" s="168"/>
    </row>
    <row r="19" spans="1:6" x14ac:dyDescent="0.2">
      <c r="A19" s="142" t="s">
        <v>302</v>
      </c>
      <c r="B19" s="455">
        <v>0</v>
      </c>
      <c r="C19" s="455">
        <f>('E-Inv AF y Am'!D56+'F-CRes'!L4-C18)*(H9/365)</f>
        <v>40420.792999674544</v>
      </c>
      <c r="D19" s="456">
        <f>C19+B19</f>
        <v>40420.792999674544</v>
      </c>
      <c r="E19" s="168"/>
      <c r="F19" s="469"/>
    </row>
    <row r="20" spans="1:6" x14ac:dyDescent="0.2">
      <c r="A20" s="142" t="s">
        <v>303</v>
      </c>
      <c r="B20" s="455">
        <v>0</v>
      </c>
      <c r="C20" s="455">
        <f>'F-CRes'!B14/'E-Costos'!B88*'E-InvAT'!C7</f>
        <v>228585.23671817052</v>
      </c>
      <c r="D20" s="456">
        <f t="shared" si="0"/>
        <v>228585.23671817052</v>
      </c>
      <c r="E20" s="168"/>
    </row>
    <row r="21" spans="1:6" x14ac:dyDescent="0.2">
      <c r="A21" s="149" t="s">
        <v>304</v>
      </c>
      <c r="B21" s="455">
        <f>'E-InvAT'!B15</f>
        <v>1341461.1779255467</v>
      </c>
      <c r="C21" s="455">
        <f>D21-B21</f>
        <v>2128217.4183052657</v>
      </c>
      <c r="D21" s="456">
        <f>'E-InvAT'!C15</f>
        <v>3469678.5962308124</v>
      </c>
      <c r="E21" s="459"/>
    </row>
    <row r="22" spans="1:6" x14ac:dyDescent="0.2">
      <c r="A22" s="142" t="s">
        <v>254</v>
      </c>
      <c r="B22" s="455">
        <f>'E-InvAT'!B34</f>
        <v>223312.06336436479</v>
      </c>
      <c r="C22" s="455">
        <f>'E-InvAT'!C34</f>
        <v>100635.48165224782</v>
      </c>
      <c r="D22" s="456">
        <f>SUM(B22:C22)</f>
        <v>323947.54501661262</v>
      </c>
      <c r="E22" s="168"/>
    </row>
    <row r="23" spans="1:6" x14ac:dyDescent="0.2">
      <c r="A23" s="149" t="s">
        <v>305</v>
      </c>
      <c r="B23" s="455">
        <f>'E-InvAT'!B36</f>
        <v>1564773.2412899113</v>
      </c>
      <c r="C23" s="455">
        <f>C16+C22</f>
        <v>2228852.8999575134</v>
      </c>
      <c r="D23" s="456">
        <f t="shared" si="0"/>
        <v>3793626.1412474248</v>
      </c>
      <c r="E23" s="168"/>
    </row>
    <row r="24" spans="1:6" x14ac:dyDescent="0.2">
      <c r="A24" s="149" t="s">
        <v>306</v>
      </c>
      <c r="B24" s="455">
        <f>B23-B18-B19-B20</f>
        <v>1564773.2412899113</v>
      </c>
      <c r="C24" s="455">
        <f>C23-C18-C19-C20</f>
        <v>1953218.6321570419</v>
      </c>
      <c r="D24" s="456">
        <f t="shared" si="0"/>
        <v>3517991.8734469535</v>
      </c>
      <c r="E24" s="168"/>
    </row>
    <row r="25" spans="1:6" x14ac:dyDescent="0.2">
      <c r="A25" s="149" t="s">
        <v>307</v>
      </c>
      <c r="B25" s="457"/>
      <c r="C25" s="457"/>
      <c r="D25" s="458"/>
      <c r="E25" s="168"/>
    </row>
    <row r="26" spans="1:6" x14ac:dyDescent="0.2">
      <c r="A26" s="142" t="s">
        <v>308</v>
      </c>
      <c r="B26" s="455">
        <f>B11</f>
        <v>14768923.862</v>
      </c>
      <c r="C26" s="455">
        <f>C11</f>
        <v>456429.0181176</v>
      </c>
      <c r="D26" s="456">
        <f>C26+B26</f>
        <v>15225352.880117599</v>
      </c>
      <c r="E26" s="168"/>
    </row>
    <row r="27" spans="1:6" x14ac:dyDescent="0.2">
      <c r="A27" s="142" t="s">
        <v>309</v>
      </c>
      <c r="B27" s="455">
        <f>B24</f>
        <v>1564773.2412899113</v>
      </c>
      <c r="C27" s="455">
        <f>C24</f>
        <v>1953218.6321570419</v>
      </c>
      <c r="D27" s="456">
        <f>C27+B27</f>
        <v>3517991.8734469535</v>
      </c>
      <c r="E27" s="168"/>
    </row>
    <row r="28" spans="1:6" ht="13.5" thickBot="1" x14ac:dyDescent="0.25">
      <c r="A28" s="149" t="s">
        <v>310</v>
      </c>
      <c r="B28" s="455">
        <f>B27+B26</f>
        <v>16333697.103289912</v>
      </c>
      <c r="C28" s="455">
        <f>C27+C26</f>
        <v>2409647.6502746418</v>
      </c>
      <c r="D28" s="456">
        <f>C28+B28</f>
        <v>18743344.753564551</v>
      </c>
      <c r="E28" s="460"/>
    </row>
    <row r="29" spans="1:6" ht="13.5" thickTop="1" x14ac:dyDescent="0.2">
      <c r="A29" s="149" t="s">
        <v>311</v>
      </c>
      <c r="B29" s="457"/>
      <c r="C29" s="457"/>
      <c r="D29" s="461"/>
      <c r="E29" s="462" t="s">
        <v>312</v>
      </c>
    </row>
    <row r="30" spans="1:6" x14ac:dyDescent="0.2">
      <c r="A30" s="149" t="s">
        <v>313</v>
      </c>
      <c r="B30" s="455">
        <v>0</v>
      </c>
      <c r="C30" s="455">
        <f>'F-Cred'!D6</f>
        <v>458856.72280000005</v>
      </c>
      <c r="D30" s="463">
        <f>+C30+B30</f>
        <v>458856.72280000005</v>
      </c>
      <c r="E30" s="464">
        <f>D30/D$33</f>
        <v>2.3896047719569748E-2</v>
      </c>
    </row>
    <row r="31" spans="1:6" x14ac:dyDescent="0.2">
      <c r="A31" s="149" t="s">
        <v>314</v>
      </c>
      <c r="B31" s="455">
        <f>'F-Cred'!D5</f>
        <v>5430300</v>
      </c>
      <c r="C31" s="455">
        <v>0</v>
      </c>
      <c r="D31" s="463">
        <f>+C31+B31</f>
        <v>5430300</v>
      </c>
      <c r="E31" s="464">
        <f>D31/D$33</f>
        <v>0.28279569958080081</v>
      </c>
    </row>
    <row r="32" spans="1:6" x14ac:dyDescent="0.2">
      <c r="A32" s="149" t="s">
        <v>315</v>
      </c>
      <c r="B32" s="455">
        <f>B28-B31</f>
        <v>10903397.103289912</v>
      </c>
      <c r="C32" s="455">
        <f>C28-C31</f>
        <v>2409647.6502746418</v>
      </c>
      <c r="D32" s="463">
        <f>+C32+B32</f>
        <v>13313044.753564553</v>
      </c>
      <c r="E32" s="464">
        <f>D32/D$33</f>
        <v>0.69330825269962948</v>
      </c>
    </row>
    <row r="33" spans="1:6" ht="13.5" thickBot="1" x14ac:dyDescent="0.25">
      <c r="A33" s="151" t="s">
        <v>197</v>
      </c>
      <c r="B33" s="465">
        <f>SUM(B30:B32)</f>
        <v>16333697.103289912</v>
      </c>
      <c r="C33" s="465">
        <f>SUM(C30:C32)</f>
        <v>2868504.3730746419</v>
      </c>
      <c r="D33" s="465">
        <f>SUM(D30:D32)</f>
        <v>19202201.476364553</v>
      </c>
      <c r="E33" s="464">
        <f>D33/D$33</f>
        <v>1</v>
      </c>
    </row>
    <row r="34" spans="1:6" ht="14.25" thickTop="1" thickBot="1" x14ac:dyDescent="0.25"/>
    <row r="35" spans="1:6" ht="16.5" thickTop="1" x14ac:dyDescent="0.25">
      <c r="A35" s="143" t="s">
        <v>316</v>
      </c>
      <c r="B35" s="144"/>
      <c r="C35" s="144"/>
      <c r="D35" s="144"/>
      <c r="E35" s="144"/>
      <c r="F35" s="144"/>
    </row>
    <row r="36" spans="1:6" ht="13.5" thickBot="1" x14ac:dyDescent="0.25">
      <c r="A36" s="146" t="s">
        <v>93</v>
      </c>
      <c r="B36" s="147" t="s">
        <v>54</v>
      </c>
      <c r="C36" s="147" t="s">
        <v>94</v>
      </c>
      <c r="D36" s="147" t="s">
        <v>95</v>
      </c>
      <c r="E36" s="147" t="s">
        <v>96</v>
      </c>
      <c r="F36" s="147" t="s">
        <v>97</v>
      </c>
    </row>
    <row r="37" spans="1:6" ht="13.5" thickTop="1" x14ac:dyDescent="0.2">
      <c r="A37" s="153" t="s">
        <v>159</v>
      </c>
      <c r="B37" s="467">
        <f>'E-Costos'!B129</f>
        <v>8003963.7032203916</v>
      </c>
      <c r="C37" s="467">
        <f>'E-Costos'!C129</f>
        <v>12732102.074029984</v>
      </c>
      <c r="D37" s="467">
        <f>'E-Costos'!D129</f>
        <v>12732102.074029984</v>
      </c>
      <c r="E37" s="467">
        <f>'E-Costos'!E129</f>
        <v>12742848.705916382</v>
      </c>
      <c r="F37" s="467">
        <f>'E-Costos'!F129</f>
        <v>12742848.705916382</v>
      </c>
    </row>
    <row r="38" spans="1:6" x14ac:dyDescent="0.2">
      <c r="A38" s="154" t="s">
        <v>158</v>
      </c>
      <c r="B38" s="467">
        <f>'E-Costos'!B128</f>
        <v>555255.6</v>
      </c>
      <c r="C38" s="467">
        <f>'E-Costos'!C128</f>
        <v>598325.6</v>
      </c>
      <c r="D38" s="467">
        <f>'E-Costos'!D128</f>
        <v>598325.6</v>
      </c>
      <c r="E38" s="467">
        <f>'E-Costos'!E128</f>
        <v>598325.6</v>
      </c>
      <c r="F38" s="467">
        <f>'E-Costos'!F128</f>
        <v>598325.6</v>
      </c>
    </row>
    <row r="39" spans="1:6" x14ac:dyDescent="0.2">
      <c r="A39" s="153" t="s">
        <v>161</v>
      </c>
      <c r="B39" s="467">
        <f>'E-Costos'!B131</f>
        <v>137495.59822864627</v>
      </c>
      <c r="C39" s="467">
        <f>'E-Costos'!C131</f>
        <v>138155.5743409243</v>
      </c>
      <c r="D39" s="467">
        <f>'E-Costos'!D131</f>
        <v>138155.5743409243</v>
      </c>
      <c r="E39" s="467">
        <f>'E-Costos'!E131</f>
        <v>138134.73034092429</v>
      </c>
      <c r="F39" s="467">
        <f>'E-Costos'!F131</f>
        <v>138134.73034092429</v>
      </c>
    </row>
    <row r="40" spans="1:6" x14ac:dyDescent="0.2">
      <c r="A40" s="154" t="s">
        <v>160</v>
      </c>
      <c r="B40" s="467">
        <f>'E-Costos'!B130</f>
        <v>1329312.5333333334</v>
      </c>
      <c r="C40" s="467">
        <f>'E-Costos'!C130</f>
        <v>1329312.5333333334</v>
      </c>
      <c r="D40" s="467">
        <f>'E-Costos'!D130</f>
        <v>1329312.5333333334</v>
      </c>
      <c r="E40" s="467">
        <f>'E-Costos'!E130</f>
        <v>1329312.5333333334</v>
      </c>
      <c r="F40" s="467">
        <f>'E-Costos'!F130</f>
        <v>1329312.5333333334</v>
      </c>
    </row>
    <row r="41" spans="1:6" x14ac:dyDescent="0.2">
      <c r="A41" s="153" t="s">
        <v>163</v>
      </c>
      <c r="B41" s="467">
        <f>'E-Costos'!B133</f>
        <v>129466.71508574707</v>
      </c>
      <c r="C41" s="467">
        <f>'E-Costos'!C133</f>
        <v>130126.6911980251</v>
      </c>
      <c r="D41" s="467">
        <f>'E-Costos'!D133</f>
        <v>130126.6911980251</v>
      </c>
      <c r="E41" s="467">
        <f>'E-Costos'!E133</f>
        <v>130126.6911980251</v>
      </c>
      <c r="F41" s="467">
        <f>'E-Costos'!F133</f>
        <v>130126.6911980251</v>
      </c>
    </row>
    <row r="42" spans="1:6" x14ac:dyDescent="0.2">
      <c r="A42" s="154" t="s">
        <v>162</v>
      </c>
      <c r="B42" s="467">
        <f>'E-Costos'!B132</f>
        <v>1329312.5333333334</v>
      </c>
      <c r="C42" s="467">
        <f>'E-Costos'!C132</f>
        <v>1329312.5333333334</v>
      </c>
      <c r="D42" s="467">
        <f>'E-Costos'!D132</f>
        <v>1329312.5333333334</v>
      </c>
      <c r="E42" s="467">
        <f>'E-Costos'!E132</f>
        <v>1329312.5333333334</v>
      </c>
      <c r="F42" s="467">
        <f>'E-Costos'!F132</f>
        <v>1329312.5333333334</v>
      </c>
    </row>
    <row r="43" spans="1:6" x14ac:dyDescent="0.2">
      <c r="A43" s="154" t="s">
        <v>317</v>
      </c>
      <c r="B43" s="467">
        <f>'F-CRes'!B10</f>
        <v>1696056.4456000002</v>
      </c>
      <c r="C43" s="467">
        <f>'F-CRes'!C10</f>
        <v>1565729.2456</v>
      </c>
      <c r="D43" s="467">
        <f>'F-CRes'!D10</f>
        <v>1435402.0456000001</v>
      </c>
      <c r="E43" s="467">
        <f>'F-CRes'!E10</f>
        <v>1178367.8456000001</v>
      </c>
      <c r="F43" s="467">
        <f>'F-CRes'!F10</f>
        <v>1048040.6456</v>
      </c>
    </row>
    <row r="44" spans="1:6" x14ac:dyDescent="0.2">
      <c r="A44" s="153" t="s">
        <v>164</v>
      </c>
      <c r="B44" s="467">
        <f>'E-Costos'!B134</f>
        <v>9108473.9834652152</v>
      </c>
      <c r="C44" s="467">
        <f>'E-Costos'!C134</f>
        <v>10172015.660431067</v>
      </c>
      <c r="D44" s="467">
        <f>'E-Costos'!D134</f>
        <v>10172015.660431067</v>
      </c>
      <c r="E44" s="467">
        <f>'E-Costos'!E134</f>
        <v>10161289.872544669</v>
      </c>
      <c r="F44" s="467">
        <f>'E-Costos'!F134</f>
        <v>10161289.872544669</v>
      </c>
    </row>
    <row r="45" spans="1:6" ht="13.5" thickBot="1" x14ac:dyDescent="0.25">
      <c r="A45" s="155" t="s">
        <v>165</v>
      </c>
      <c r="B45" s="468">
        <f>(B38+B40+B42+B43)/B44</f>
        <v>0.5390515602481567</v>
      </c>
      <c r="C45" s="468">
        <f>(C38+C40+C42+C43)/C44</f>
        <v>0.47411251351359923</v>
      </c>
      <c r="D45" s="468">
        <f>(D38+D40+D42+D43)/D44</f>
        <v>0.46130018561806024</v>
      </c>
      <c r="E45" s="468">
        <f>(E38+E40+E42+E43)/E44</f>
        <v>0.43649168244384912</v>
      </c>
      <c r="F45" s="468">
        <f>(F38+F40+F42+F43)/F44</f>
        <v>0.42366583044723022</v>
      </c>
    </row>
    <row r="46" spans="1:6" ht="16.5" thickTop="1" x14ac:dyDescent="0.25">
      <c r="A46" s="156" t="s">
        <v>318</v>
      </c>
    </row>
    <row r="49" spans="1:13" x14ac:dyDescent="0.2">
      <c r="A49" s="496" t="s">
        <v>543</v>
      </c>
      <c r="B49" s="497"/>
      <c r="C49" s="497"/>
      <c r="D49" s="497"/>
      <c r="E49" s="498"/>
      <c r="I49" s="499" t="s">
        <v>544</v>
      </c>
      <c r="J49" s="500"/>
      <c r="K49" s="500"/>
      <c r="L49" s="500"/>
      <c r="M49" s="500"/>
    </row>
    <row r="50" spans="1:13" x14ac:dyDescent="0.2">
      <c r="A50" s="486" t="s">
        <v>537</v>
      </c>
      <c r="B50" s="486" t="s">
        <v>538</v>
      </c>
      <c r="C50" s="486" t="s">
        <v>539</v>
      </c>
      <c r="D50" s="486" t="s">
        <v>540</v>
      </c>
      <c r="E50" s="486" t="s">
        <v>541</v>
      </c>
      <c r="I50" s="487" t="s">
        <v>537</v>
      </c>
      <c r="J50" s="487" t="s">
        <v>538</v>
      </c>
      <c r="K50" s="487" t="s">
        <v>539</v>
      </c>
      <c r="L50" s="487" t="s">
        <v>540</v>
      </c>
      <c r="M50" s="487" t="s">
        <v>542</v>
      </c>
    </row>
    <row r="51" spans="1:13" x14ac:dyDescent="0.2">
      <c r="A51" s="479">
        <v>0</v>
      </c>
      <c r="B51" s="477">
        <v>0</v>
      </c>
      <c r="C51" s="480">
        <f>$B$38+$B$40+$B$42</f>
        <v>3213880.666666667</v>
      </c>
      <c r="D51" s="480">
        <f>B51+C51</f>
        <v>3213880.666666667</v>
      </c>
      <c r="E51" s="479">
        <v>0</v>
      </c>
      <c r="I51" s="479">
        <v>0</v>
      </c>
      <c r="J51" s="482">
        <v>0</v>
      </c>
      <c r="K51" s="484">
        <f>F38+F40+F42</f>
        <v>3256950.666666667</v>
      </c>
      <c r="L51" s="480">
        <f>J51+K51</f>
        <v>3256950.666666667</v>
      </c>
      <c r="M51" s="479">
        <v>0</v>
      </c>
    </row>
    <row r="52" spans="1:13" ht="14.25" x14ac:dyDescent="0.2">
      <c r="A52" s="481">
        <f>'E-Costos'!B86</f>
        <v>86897</v>
      </c>
      <c r="B52" s="482">
        <f>B37+B39+B41+B43</f>
        <v>9966982.462134786</v>
      </c>
      <c r="C52" s="480">
        <f>$B$38+$B$40+$B$42</f>
        <v>3213880.666666667</v>
      </c>
      <c r="D52" s="480">
        <f>B52+C52</f>
        <v>13180863.128801454</v>
      </c>
      <c r="E52" s="483">
        <f>'E-Costos'!B88</f>
        <v>17379400</v>
      </c>
      <c r="I52" s="481">
        <f>'E-Costos'!F86</f>
        <v>115862</v>
      </c>
      <c r="J52" s="485">
        <f>F37+F39+F41</f>
        <v>13011110.127455331</v>
      </c>
      <c r="K52" s="484">
        <f>F38+F40+F42</f>
        <v>3256950.666666667</v>
      </c>
      <c r="L52" s="480">
        <f>J52+K52</f>
        <v>16268060.794121999</v>
      </c>
      <c r="M52" s="483">
        <f>'E-Costos'!F88</f>
        <v>23172400</v>
      </c>
    </row>
  </sheetData>
  <sheetProtection selectLockedCells="1" selectUnlockedCells="1"/>
  <mergeCells count="2">
    <mergeCell ref="A49:E49"/>
    <mergeCell ref="I49:M49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90" zoomScaleNormal="90" workbookViewId="0">
      <selection activeCell="G18" sqref="G18"/>
    </sheetView>
  </sheetViews>
  <sheetFormatPr baseColWidth="10" defaultColWidth="11.28515625" defaultRowHeight="12.75" x14ac:dyDescent="0.2"/>
  <cols>
    <col min="1" max="1" width="42.85546875" style="142" customWidth="1"/>
    <col min="2" max="2" width="19.42578125" style="142" customWidth="1"/>
    <col min="3" max="3" width="14.85546875" style="142" bestFit="1" customWidth="1"/>
    <col min="4" max="7" width="15.5703125" style="142" bestFit="1" customWidth="1"/>
    <col min="8" max="8" width="17.28515625" style="142" customWidth="1"/>
    <col min="9" max="16384" width="11.28515625" style="142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2" spans="1:7" ht="15.75" x14ac:dyDescent="0.25">
      <c r="A2" s="143" t="s">
        <v>216</v>
      </c>
      <c r="B2" s="144"/>
      <c r="C2" s="144"/>
      <c r="D2" s="144"/>
      <c r="E2" s="144"/>
      <c r="F2" s="144"/>
      <c r="G2" s="145"/>
    </row>
    <row r="3" spans="1:7" ht="15.75" x14ac:dyDescent="0.25">
      <c r="A3" s="157"/>
      <c r="B3" s="158" t="s">
        <v>217</v>
      </c>
      <c r="C3" s="158"/>
      <c r="D3" s="158"/>
      <c r="E3" s="158"/>
      <c r="F3" s="158"/>
      <c r="G3" s="159"/>
    </row>
    <row r="4" spans="1:7" x14ac:dyDescent="0.2">
      <c r="A4" s="160" t="s">
        <v>93</v>
      </c>
      <c r="B4" s="161" t="s">
        <v>53</v>
      </c>
      <c r="C4" s="147" t="s">
        <v>54</v>
      </c>
      <c r="D4" s="147" t="s">
        <v>94</v>
      </c>
      <c r="E4" s="147" t="s">
        <v>95</v>
      </c>
      <c r="F4" s="147" t="s">
        <v>96</v>
      </c>
      <c r="G4" s="148" t="s">
        <v>97</v>
      </c>
    </row>
    <row r="5" spans="1:7" x14ac:dyDescent="0.2">
      <c r="A5" s="162" t="s">
        <v>319</v>
      </c>
      <c r="B5" s="113"/>
      <c r="C5" s="97"/>
      <c r="D5" s="97"/>
      <c r="E5" s="97"/>
      <c r="F5" s="97"/>
      <c r="G5" s="98"/>
    </row>
    <row r="6" spans="1:7" x14ac:dyDescent="0.2">
      <c r="A6" s="163" t="s">
        <v>320</v>
      </c>
      <c r="B6" s="115">
        <f>'E-IVA '!B17</f>
        <v>0</v>
      </c>
      <c r="C6" s="282">
        <f>'E-IVA '!C17</f>
        <v>1401628.6317696271</v>
      </c>
      <c r="D6" s="282">
        <f>'E-IVA '!D17</f>
        <v>2381469.3456815551</v>
      </c>
      <c r="E6" s="282">
        <f>'E-IVA '!E17</f>
        <v>2384891.4997832398</v>
      </c>
      <c r="F6" s="282">
        <f>'E-IVA '!F17</f>
        <v>2387009.4277170571</v>
      </c>
      <c r="G6" s="282">
        <f>'E-IVA '!G17</f>
        <v>2387041.9176500398</v>
      </c>
    </row>
    <row r="7" spans="1:7" x14ac:dyDescent="0.2">
      <c r="A7" s="163" t="s">
        <v>321</v>
      </c>
      <c r="B7" s="115">
        <f>'E-IVA '!B18</f>
        <v>0</v>
      </c>
      <c r="C7" s="282">
        <f>'E-IVA '!C18</f>
        <v>1373.5450814714998</v>
      </c>
      <c r="D7" s="282">
        <f>'E-IVA '!D18</f>
        <v>1501.8737699699998</v>
      </c>
      <c r="E7" s="282">
        <f>'E-IVA '!E18</f>
        <v>1501.8737699699998</v>
      </c>
      <c r="F7" s="282">
        <f>'E-IVA '!F18</f>
        <v>1501.8737699699998</v>
      </c>
      <c r="G7" s="282">
        <f>'E-IVA '!G18</f>
        <v>1501.8737699699998</v>
      </c>
    </row>
    <row r="8" spans="1:7" x14ac:dyDescent="0.2">
      <c r="A8" s="164" t="s">
        <v>322</v>
      </c>
      <c r="B8" s="115">
        <f>'E-IVA '!B19</f>
        <v>0</v>
      </c>
      <c r="C8" s="282">
        <f>'E-IVA '!C19</f>
        <v>1373.5450814714998</v>
      </c>
      <c r="D8" s="282">
        <f>'E-IVA '!D19</f>
        <v>1501.8737699699998</v>
      </c>
      <c r="E8" s="282">
        <f>'E-IVA '!E19</f>
        <v>1501.8737699699998</v>
      </c>
      <c r="F8" s="282">
        <f>'E-IVA '!F19</f>
        <v>1501.8737699699998</v>
      </c>
      <c r="G8" s="282">
        <f>'E-IVA '!G19</f>
        <v>1501.8737699699998</v>
      </c>
    </row>
    <row r="9" spans="1:7" x14ac:dyDescent="0.2">
      <c r="A9" s="164" t="s">
        <v>323</v>
      </c>
      <c r="B9" s="115">
        <v>0</v>
      </c>
      <c r="C9" s="282">
        <f>'F-CRes'!C10*InfoInicial!$B$3</f>
        <v>328803.14157599997</v>
      </c>
      <c r="D9" s="282">
        <f>'F-CRes'!D10*InfoInicial!$B$3</f>
        <v>301434.42957600002</v>
      </c>
      <c r="E9" s="282">
        <f>'F-CRes'!E10*InfoInicial!$B$3</f>
        <v>247457.24757600002</v>
      </c>
      <c r="F9" s="282">
        <f>'F-CRes'!F10*InfoInicial!$B$3</f>
        <v>220088.53557599999</v>
      </c>
      <c r="G9" s="282">
        <f>'F-CRes'!G10*InfoInicial!$B$3</f>
        <v>1453955.2078799999</v>
      </c>
    </row>
    <row r="10" spans="1:7" x14ac:dyDescent="0.2">
      <c r="A10" s="165" t="s">
        <v>324</v>
      </c>
      <c r="B10" s="115">
        <f>SUM(B6:B9)</f>
        <v>0</v>
      </c>
      <c r="C10" s="282">
        <f t="shared" ref="C10:G10" si="0">SUM(C6:C9)</f>
        <v>1733178.8635085702</v>
      </c>
      <c r="D10" s="282">
        <f t="shared" si="0"/>
        <v>2685907.5227974956</v>
      </c>
      <c r="E10" s="282">
        <f t="shared" si="0"/>
        <v>2635352.4948991803</v>
      </c>
      <c r="F10" s="282">
        <f t="shared" si="0"/>
        <v>2610101.7108329972</v>
      </c>
      <c r="G10" s="282">
        <f t="shared" si="0"/>
        <v>3844000.8730699802</v>
      </c>
    </row>
    <row r="11" spans="1:7" x14ac:dyDescent="0.2">
      <c r="A11" s="165"/>
      <c r="B11" s="117"/>
      <c r="C11" s="78"/>
      <c r="D11" s="78"/>
      <c r="E11" s="78"/>
      <c r="F11" s="78"/>
      <c r="G11" s="79"/>
    </row>
    <row r="12" spans="1:7" x14ac:dyDescent="0.2">
      <c r="A12" s="163" t="s">
        <v>228</v>
      </c>
      <c r="B12" s="115">
        <f>'E-IVA '!B21</f>
        <v>0</v>
      </c>
      <c r="C12" s="282">
        <f>'E-IVA '!C21</f>
        <v>1404375.7219325702</v>
      </c>
      <c r="D12" s="282">
        <f>'E-IVA '!D21</f>
        <v>2384473.0932214954</v>
      </c>
      <c r="E12" s="282">
        <f>'E-IVA '!E21</f>
        <v>2387895.2473231801</v>
      </c>
      <c r="F12" s="282">
        <f>'E-IVA '!F21</f>
        <v>2390013.1752569973</v>
      </c>
      <c r="G12" s="282">
        <f>'E-IVA '!G21</f>
        <v>2390045.6651899801</v>
      </c>
    </row>
    <row r="13" spans="1:7" x14ac:dyDescent="0.2">
      <c r="A13" s="163" t="s">
        <v>229</v>
      </c>
      <c r="B13" s="115">
        <f>'E-IVA '!B22</f>
        <v>0</v>
      </c>
      <c r="C13" s="282">
        <f>'E-IVA '!C22</f>
        <v>3649674</v>
      </c>
      <c r="D13" s="282">
        <f>'E-IVA '!D22</f>
        <v>4866204</v>
      </c>
      <c r="E13" s="282">
        <f>'E-IVA '!E22</f>
        <v>4866204</v>
      </c>
      <c r="F13" s="282">
        <f>'E-IVA '!F22</f>
        <v>4866204</v>
      </c>
      <c r="G13" s="282">
        <f>'E-IVA '!G22</f>
        <v>4866204</v>
      </c>
    </row>
    <row r="14" spans="1:7" x14ac:dyDescent="0.2">
      <c r="A14" s="165" t="s">
        <v>325</v>
      </c>
      <c r="B14" s="115">
        <f>'E-IVA '!B23</f>
        <v>0</v>
      </c>
      <c r="C14" s="282">
        <f>'E-IVA '!C23</f>
        <v>2245298.2780674295</v>
      </c>
      <c r="D14" s="282">
        <f>'E-IVA '!D23</f>
        <v>2481730.9067785046</v>
      </c>
      <c r="E14" s="282">
        <f>'E-IVA '!E23</f>
        <v>2478308.7526768199</v>
      </c>
      <c r="F14" s="282">
        <f>'E-IVA '!F23</f>
        <v>2476190.8247430027</v>
      </c>
      <c r="G14" s="282">
        <f>'E-IVA '!G23</f>
        <v>2476158.3348100199</v>
      </c>
    </row>
    <row r="15" spans="1:7" x14ac:dyDescent="0.2">
      <c r="A15" s="163"/>
      <c r="B15" s="117"/>
      <c r="C15" s="78"/>
      <c r="D15" s="78"/>
      <c r="E15" s="78"/>
      <c r="F15" s="78"/>
      <c r="G15" s="79"/>
    </row>
    <row r="16" spans="1:7" x14ac:dyDescent="0.2">
      <c r="A16" s="166" t="s">
        <v>326</v>
      </c>
      <c r="C16" s="115">
        <f>'F-2 Estructura'!B10+'F-2 Estructura'!B22</f>
        <v>2786513.7253643642</v>
      </c>
      <c r="D16" s="57">
        <f>IF(C18&gt;0,C18,0)</f>
        <v>721065.88250678265</v>
      </c>
      <c r="E16" s="276">
        <f t="shared" ref="E16:G16" si="1">IF(D18&gt;0,D18,0)</f>
        <v>0</v>
      </c>
      <c r="F16" s="276">
        <f t="shared" si="1"/>
        <v>0</v>
      </c>
      <c r="G16" s="276">
        <f t="shared" si="1"/>
        <v>0</v>
      </c>
    </row>
    <row r="17" spans="1:7" x14ac:dyDescent="0.2">
      <c r="A17" s="166" t="s">
        <v>327</v>
      </c>
      <c r="B17" s="115">
        <f>C16</f>
        <v>2786513.7253643642</v>
      </c>
      <c r="C17" s="57">
        <f>'E-IVA '!C26</f>
        <v>179850.43520984781</v>
      </c>
      <c r="D17" s="276">
        <f>'E-IVA '!D26</f>
        <v>3422.154101684886</v>
      </c>
      <c r="E17" s="276">
        <f>'E-IVA '!E26</f>
        <v>0</v>
      </c>
      <c r="F17" s="276">
        <f>'E-IVA '!F26</f>
        <v>2065.1761098466104</v>
      </c>
      <c r="G17" s="276">
        <f>'E-IVA '!G26</f>
        <v>0</v>
      </c>
    </row>
    <row r="18" spans="1:7" x14ac:dyDescent="0.2">
      <c r="A18" s="165" t="s">
        <v>328</v>
      </c>
      <c r="B18" s="115">
        <f>C16</f>
        <v>2786513.7253643642</v>
      </c>
      <c r="C18" s="57">
        <f>C16+C17-C14</f>
        <v>721065.88250678265</v>
      </c>
      <c r="D18" s="276">
        <f>IF((D14-D16-D17)&lt;0,D14-D16-D17,0)</f>
        <v>0</v>
      </c>
      <c r="E18" s="276">
        <f t="shared" ref="E18:G18" si="2">IF((E14-E16-E17)&lt;0,E14-E16-E17,0)</f>
        <v>0</v>
      </c>
      <c r="F18" s="276">
        <f t="shared" si="2"/>
        <v>0</v>
      </c>
      <c r="G18" s="276">
        <f t="shared" si="2"/>
        <v>0</v>
      </c>
    </row>
    <row r="19" spans="1:7" x14ac:dyDescent="0.2">
      <c r="A19" s="165" t="s">
        <v>329</v>
      </c>
      <c r="B19" s="115"/>
      <c r="C19" s="57">
        <f>IF(C18&gt;0,C14,C16+C17)</f>
        <v>2245298.2780674295</v>
      </c>
      <c r="D19" s="276">
        <f t="shared" ref="D19:G19" si="3">IF(D18&gt;0,D14,D16+D17)</f>
        <v>724488.03660846758</v>
      </c>
      <c r="E19" s="276">
        <f t="shared" si="3"/>
        <v>0</v>
      </c>
      <c r="F19" s="276">
        <f t="shared" si="3"/>
        <v>2065.1761098466104</v>
      </c>
      <c r="G19" s="276">
        <f t="shared" si="3"/>
        <v>0</v>
      </c>
    </row>
    <row r="20" spans="1:7" x14ac:dyDescent="0.2">
      <c r="A20" s="163"/>
      <c r="B20" s="117"/>
      <c r="C20" s="78"/>
      <c r="D20" s="78"/>
      <c r="E20" s="78"/>
      <c r="F20" s="78"/>
      <c r="G20" s="79"/>
    </row>
    <row r="21" spans="1:7" x14ac:dyDescent="0.2">
      <c r="A21" s="167" t="s">
        <v>234</v>
      </c>
      <c r="B21" s="120"/>
      <c r="C21" s="63">
        <f>IF(C18&gt;0,0,C14-C16)</f>
        <v>0</v>
      </c>
      <c r="D21" s="63">
        <f>IF(D18&gt;0,0,D14-D16-D17)</f>
        <v>1757242.870170037</v>
      </c>
      <c r="E21" s="63">
        <f t="shared" ref="E21:G21" si="4">IF(E18&gt;0,0,E14-E16-E17)</f>
        <v>2478308.7526768199</v>
      </c>
      <c r="F21" s="63">
        <f t="shared" si="4"/>
        <v>2474125.648633156</v>
      </c>
      <c r="G21" s="63">
        <f t="shared" si="4"/>
        <v>2476158.3348100199</v>
      </c>
    </row>
    <row r="24" spans="1:7" x14ac:dyDescent="0.2">
      <c r="D24" s="469"/>
      <c r="E24" s="469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="90" zoomScaleNormal="90" workbookViewId="0">
      <selection activeCell="G15" sqref="G15"/>
    </sheetView>
  </sheetViews>
  <sheetFormatPr baseColWidth="10" defaultColWidth="11.28515625" defaultRowHeight="12.75" x14ac:dyDescent="0.2"/>
  <cols>
    <col min="1" max="1" width="40.85546875" style="168" customWidth="1"/>
    <col min="2" max="7" width="16" style="168" bestFit="1" customWidth="1"/>
    <col min="8" max="8" width="21.7109375" style="168" customWidth="1"/>
    <col min="9" max="9" width="17.28515625" style="168" customWidth="1"/>
    <col min="10" max="16384" width="11.28515625" style="168"/>
  </cols>
  <sheetData>
    <row r="1" spans="1:8" x14ac:dyDescent="0.2">
      <c r="A1" s="1" t="s">
        <v>0</v>
      </c>
      <c r="B1"/>
      <c r="C1"/>
      <c r="D1"/>
      <c r="E1" s="2">
        <f>InfoInicial!E1</f>
        <v>9</v>
      </c>
    </row>
    <row r="3" spans="1:8" ht="15.75" x14ac:dyDescent="0.25">
      <c r="A3" s="169" t="s">
        <v>330</v>
      </c>
      <c r="B3" s="170"/>
      <c r="C3" s="170"/>
      <c r="D3" s="170"/>
      <c r="E3" s="170"/>
      <c r="F3" s="170"/>
      <c r="G3" s="171"/>
      <c r="H3" s="172"/>
    </row>
    <row r="4" spans="1:8" x14ac:dyDescent="0.2">
      <c r="A4" s="173"/>
      <c r="B4" s="174" t="s">
        <v>53</v>
      </c>
      <c r="C4" s="174" t="s">
        <v>54</v>
      </c>
      <c r="D4" s="174" t="s">
        <v>94</v>
      </c>
      <c r="E4" s="174" t="s">
        <v>95</v>
      </c>
      <c r="F4" s="174" t="s">
        <v>96</v>
      </c>
      <c r="G4" s="175" t="s">
        <v>97</v>
      </c>
      <c r="H4" s="176" t="s">
        <v>197</v>
      </c>
    </row>
    <row r="5" spans="1:8" x14ac:dyDescent="0.2">
      <c r="A5" s="149" t="s">
        <v>331</v>
      </c>
      <c r="B5" s="84">
        <f>SUM(B6:B11)</f>
        <v>16333697.103289912</v>
      </c>
      <c r="C5" s="84">
        <f t="shared" ref="C5:G5" si="0">SUM(C6:C11)</f>
        <v>22493202.651142072</v>
      </c>
      <c r="D5" s="84">
        <f t="shared" si="0"/>
        <v>28518883.702658504</v>
      </c>
      <c r="E5" s="84">
        <f t="shared" si="0"/>
        <v>30526323.717901465</v>
      </c>
      <c r="F5" s="84">
        <f t="shared" si="0"/>
        <v>33233059.55368169</v>
      </c>
      <c r="G5" s="84">
        <f t="shared" si="0"/>
        <v>35959124.928768516</v>
      </c>
      <c r="H5" s="180">
        <f t="shared" ref="H5" si="1">SUM(B5:G5)</f>
        <v>167064291.65744215</v>
      </c>
    </row>
    <row r="6" spans="1:8" x14ac:dyDescent="0.2">
      <c r="A6" s="142" t="s">
        <v>332</v>
      </c>
      <c r="B6" s="57">
        <v>0</v>
      </c>
      <c r="C6" s="57">
        <f>B27</f>
        <v>0</v>
      </c>
      <c r="D6" s="276">
        <f t="shared" ref="D6:G6" si="2">C27</f>
        <v>4621995.6660500346</v>
      </c>
      <c r="E6" s="276">
        <f t="shared" si="2"/>
        <v>7353923.7179014636</v>
      </c>
      <c r="F6" s="276">
        <f t="shared" si="2"/>
        <v>10058594.377571844</v>
      </c>
      <c r="G6" s="276">
        <f t="shared" si="2"/>
        <v>12786724.928768516</v>
      </c>
      <c r="H6" s="276">
        <v>0</v>
      </c>
    </row>
    <row r="7" spans="1:8" x14ac:dyDescent="0.2">
      <c r="A7" s="142" t="s">
        <v>333</v>
      </c>
      <c r="B7" s="178">
        <f>'F-2 Estructura'!B32</f>
        <v>10903397.103289912</v>
      </c>
      <c r="C7" s="178">
        <f>'F-2 Estructura'!C32</f>
        <v>2409647.6502746418</v>
      </c>
      <c r="D7" s="178">
        <v>0</v>
      </c>
      <c r="E7" s="178">
        <v>0</v>
      </c>
      <c r="F7" s="178">
        <f>'F-2 Estructura'!F32</f>
        <v>0</v>
      </c>
      <c r="G7" s="178">
        <f>'F-2 Estructura'!G32</f>
        <v>0</v>
      </c>
      <c r="H7" s="180">
        <f>SUM(B7:G7)</f>
        <v>13313044.753564553</v>
      </c>
    </row>
    <row r="8" spans="1:8" x14ac:dyDescent="0.2">
      <c r="A8" s="142" t="s">
        <v>334</v>
      </c>
      <c r="B8" s="57">
        <f>'F-2 Estructura'!B30</f>
        <v>0</v>
      </c>
      <c r="C8" s="276">
        <f>'F-2 Estructura'!C30</f>
        <v>458856.72280000005</v>
      </c>
      <c r="D8" s="276">
        <v>0</v>
      </c>
      <c r="E8" s="276">
        <v>0</v>
      </c>
      <c r="F8" s="276">
        <f>'F-2 Estructura'!F30</f>
        <v>0</v>
      </c>
      <c r="G8" s="276">
        <f>'F-2 Estructura'!G30</f>
        <v>0</v>
      </c>
      <c r="H8" s="180">
        <f t="shared" ref="H8:H11" si="3">SUM(B8:G8)</f>
        <v>458856.72280000005</v>
      </c>
    </row>
    <row r="9" spans="1:8" x14ac:dyDescent="0.2">
      <c r="A9" s="142" t="s">
        <v>335</v>
      </c>
      <c r="B9" s="178">
        <f>'F-2 Estructura'!B31</f>
        <v>5430300</v>
      </c>
      <c r="C9" s="178">
        <f>'F-2 Estructura'!C31</f>
        <v>0</v>
      </c>
      <c r="D9" s="178">
        <v>0</v>
      </c>
      <c r="E9" s="178">
        <v>0</v>
      </c>
      <c r="F9" s="178">
        <f>'F-2 Estructura'!F31</f>
        <v>0</v>
      </c>
      <c r="G9" s="178">
        <f>'F-2 Estructura'!G31</f>
        <v>0</v>
      </c>
      <c r="H9" s="180">
        <f t="shared" si="3"/>
        <v>5430300</v>
      </c>
    </row>
    <row r="10" spans="1:8" x14ac:dyDescent="0.2">
      <c r="A10" s="142" t="s">
        <v>336</v>
      </c>
      <c r="B10" s="57">
        <v>0</v>
      </c>
      <c r="C10" s="57">
        <f>'F-CRes'!B4</f>
        <v>17379400</v>
      </c>
      <c r="D10" s="276">
        <f>'F-CRes'!C4</f>
        <v>23172400</v>
      </c>
      <c r="E10" s="276">
        <f>'F-CRes'!D4</f>
        <v>23172400</v>
      </c>
      <c r="F10" s="276">
        <f>'F-CRes'!E4</f>
        <v>23172400</v>
      </c>
      <c r="G10" s="276">
        <f>'F-CRes'!F4</f>
        <v>23172400</v>
      </c>
      <c r="H10" s="180">
        <f t="shared" si="3"/>
        <v>110069000</v>
      </c>
    </row>
    <row r="11" spans="1:8" x14ac:dyDescent="0.2">
      <c r="A11" s="142" t="s">
        <v>337</v>
      </c>
      <c r="B11" s="84">
        <v>0</v>
      </c>
      <c r="C11" s="84">
        <f>'F-IVA'!C19</f>
        <v>2245298.2780674295</v>
      </c>
      <c r="D11" s="84">
        <f>'F-IVA'!D19</f>
        <v>724488.03660846758</v>
      </c>
      <c r="E11" s="84">
        <f>'F-IVA'!E19</f>
        <v>0</v>
      </c>
      <c r="F11" s="84">
        <f>'F-IVA'!F19</f>
        <v>2065.1761098466104</v>
      </c>
      <c r="G11" s="84">
        <f>'F-IVA'!G19</f>
        <v>0</v>
      </c>
      <c r="H11" s="180">
        <f t="shared" si="3"/>
        <v>2971851.490785744</v>
      </c>
    </row>
    <row r="12" spans="1:8" x14ac:dyDescent="0.2">
      <c r="A12" s="142"/>
      <c r="B12" s="57"/>
      <c r="C12" s="57"/>
      <c r="D12" s="57"/>
      <c r="E12" s="57"/>
      <c r="F12" s="57"/>
      <c r="G12" s="105"/>
      <c r="H12" s="58"/>
    </row>
    <row r="13" spans="1:8" x14ac:dyDescent="0.2">
      <c r="A13" s="149" t="s">
        <v>338</v>
      </c>
      <c r="B13" s="57">
        <f>SUM(B14:B22)</f>
        <v>16333697.10328991</v>
      </c>
      <c r="C13" s="276">
        <f t="shared" ref="C13:H13" si="4">SUM(C14:C22)</f>
        <v>18369621.538004037</v>
      </c>
      <c r="D13" s="276">
        <f t="shared" si="4"/>
        <v>21663374.53766904</v>
      </c>
      <c r="E13" s="276">
        <f t="shared" si="4"/>
        <v>20966143.893241622</v>
      </c>
      <c r="F13" s="276">
        <f t="shared" si="4"/>
        <v>20817720.511158507</v>
      </c>
      <c r="G13" s="276">
        <f t="shared" si="4"/>
        <v>20721135.16484854</v>
      </c>
      <c r="H13" s="276">
        <f t="shared" si="4"/>
        <v>118871692.74821165</v>
      </c>
    </row>
    <row r="14" spans="1:8" x14ac:dyDescent="0.2">
      <c r="A14" s="142" t="s">
        <v>339</v>
      </c>
      <c r="B14" s="178">
        <f>'F-2 Estructura'!B9</f>
        <v>12205722.199999999</v>
      </c>
      <c r="C14" s="178">
        <f>'F-2 Estructura'!C9</f>
        <v>377214.06456000003</v>
      </c>
      <c r="D14" s="178">
        <v>0</v>
      </c>
      <c r="E14" s="178">
        <v>0</v>
      </c>
      <c r="F14" s="178">
        <v>0</v>
      </c>
      <c r="G14" s="179">
        <v>0</v>
      </c>
      <c r="H14" s="180">
        <f>SUM(B14:G14)</f>
        <v>12582936.264559999</v>
      </c>
    </row>
    <row r="15" spans="1:8" x14ac:dyDescent="0.2">
      <c r="A15" s="142" t="s">
        <v>264</v>
      </c>
      <c r="B15" s="57">
        <f>'E-InvAT'!B24</f>
        <v>1341461.1779255467</v>
      </c>
      <c r="C15" s="276">
        <f>'E-InvAT'!C24</f>
        <v>2128217.4183052657</v>
      </c>
      <c r="D15" s="276">
        <f>'E-InvAT'!D24</f>
        <v>595257.28881209809</v>
      </c>
      <c r="E15" s="276">
        <f>'E-InvAT'!E24</f>
        <v>-222.72520833089948</v>
      </c>
      <c r="F15" s="276">
        <f>'E-InvAT'!F24</f>
        <v>9840.7374867359176</v>
      </c>
      <c r="G15" s="478">
        <f>'E-InvAT'!G24</f>
        <v>0</v>
      </c>
      <c r="H15" s="180">
        <f t="shared" ref="H15:H22" si="5">SUM(B15:G15)</f>
        <v>4074553.8973213155</v>
      </c>
    </row>
    <row r="16" spans="1:8" x14ac:dyDescent="0.2">
      <c r="A16" s="142" t="s">
        <v>340</v>
      </c>
      <c r="B16" s="57">
        <v>0</v>
      </c>
      <c r="C16" s="57">
        <f>'F-CRes'!B4-'F-CRes'!B11</f>
        <v>12719389.228396932</v>
      </c>
      <c r="D16" s="276">
        <f>'F-CRes'!C4-'F-CRes'!C11</f>
        <v>17845348.697507136</v>
      </c>
      <c r="E16" s="276">
        <f>'F-CRes'!D4-'F-CRes'!D11</f>
        <v>17692737.0518356</v>
      </c>
      <c r="F16" s="276">
        <f>'F-CRes'!E4-'F-CRes'!E11</f>
        <v>17446374.225177623</v>
      </c>
      <c r="G16" s="276">
        <f>'F-CRes'!F4-'F-CRes'!F11</f>
        <v>17316101.439721998</v>
      </c>
      <c r="H16" s="180">
        <f t="shared" si="5"/>
        <v>83019950.642639279</v>
      </c>
    </row>
    <row r="17" spans="1:14" x14ac:dyDescent="0.2">
      <c r="A17" s="142" t="s">
        <v>341</v>
      </c>
      <c r="B17" s="57">
        <v>0</v>
      </c>
      <c r="C17" s="276">
        <f>'F-CRes'!B13</f>
        <v>1497526.3584998094</v>
      </c>
      <c r="D17" s="276">
        <f>'F-CRes'!C13</f>
        <v>1719719.5643625529</v>
      </c>
      <c r="E17" s="276">
        <f>'F-CRes'!D13</f>
        <v>1772665.6669884876</v>
      </c>
      <c r="F17" s="276">
        <f>'F-CRes'!E13</f>
        <v>1859116.755158962</v>
      </c>
      <c r="G17" s="276">
        <f>'F-CRes'!F13</f>
        <v>1904713.3727738627</v>
      </c>
      <c r="H17" s="180">
        <f t="shared" si="5"/>
        <v>8753741.7177836746</v>
      </c>
    </row>
    <row r="18" spans="1:14" x14ac:dyDescent="0.2">
      <c r="A18" s="142" t="s">
        <v>342</v>
      </c>
      <c r="B18" s="178">
        <v>0</v>
      </c>
      <c r="C18" s="178">
        <f>'F-Cred'!D18</f>
        <v>1086060</v>
      </c>
      <c r="D18" s="178">
        <f>'F-Cred'!D20</f>
        <v>1086060</v>
      </c>
      <c r="E18" s="178">
        <f>'F-Cred'!D22</f>
        <v>1086060</v>
      </c>
      <c r="F18" s="178">
        <f>'F-Cred'!D24</f>
        <v>1086060</v>
      </c>
      <c r="G18" s="179">
        <f>'F-Cred'!D26</f>
        <v>1086060</v>
      </c>
      <c r="H18" s="180">
        <f t="shared" si="5"/>
        <v>5430300</v>
      </c>
    </row>
    <row r="19" spans="1:14" x14ac:dyDescent="0.2">
      <c r="A19" s="142" t="s">
        <v>343</v>
      </c>
      <c r="B19" s="470">
        <v>0</v>
      </c>
      <c r="C19" s="57">
        <f>'F-CRes'!B12</f>
        <v>381364.03303218418</v>
      </c>
      <c r="D19" s="276">
        <f>'F-CRes'!C12</f>
        <v>413566.83288557199</v>
      </c>
      <c r="E19" s="276">
        <f>'F-CRes'!D12</f>
        <v>414903.899625864</v>
      </c>
      <c r="F19" s="276">
        <f>'F-CRes'!E12</f>
        <v>414263.61722534266</v>
      </c>
      <c r="G19" s="276">
        <f>'F-CRes'!F12</f>
        <v>414260.35235268011</v>
      </c>
      <c r="H19" s="180">
        <f>SUM(C19:G19)</f>
        <v>2038358.7351216429</v>
      </c>
    </row>
    <row r="20" spans="1:14" x14ac:dyDescent="0.2">
      <c r="A20" s="142" t="s">
        <v>344</v>
      </c>
      <c r="B20" s="178">
        <v>0</v>
      </c>
      <c r="C20" s="168">
        <v>0</v>
      </c>
      <c r="D20" s="178">
        <v>0</v>
      </c>
      <c r="E20" s="178">
        <v>0</v>
      </c>
      <c r="F20" s="178">
        <v>0</v>
      </c>
      <c r="G20" s="178">
        <v>0</v>
      </c>
      <c r="H20" s="180">
        <f t="shared" si="5"/>
        <v>0</v>
      </c>
    </row>
    <row r="21" spans="1:14" x14ac:dyDescent="0.2">
      <c r="A21" s="142" t="s">
        <v>345</v>
      </c>
      <c r="B21" s="178">
        <f>'F-IVA'!B17</f>
        <v>2786513.7253643642</v>
      </c>
      <c r="C21" s="178">
        <f>'F-IVA'!C17</f>
        <v>179850.43520984781</v>
      </c>
      <c r="D21" s="178">
        <f>'F-IVA'!D17</f>
        <v>3422.154101684886</v>
      </c>
      <c r="E21" s="178">
        <f>'F-IVA'!E17</f>
        <v>0</v>
      </c>
      <c r="F21" s="178">
        <f>'F-IVA'!F17</f>
        <v>2065.1761098466104</v>
      </c>
      <c r="G21" s="178">
        <f>'F-IVA'!G17</f>
        <v>0</v>
      </c>
      <c r="H21" s="180">
        <f>SUM(B21:G21)</f>
        <v>2971851.4907857436</v>
      </c>
    </row>
    <row r="22" spans="1:14" x14ac:dyDescent="0.2">
      <c r="A22" s="142" t="s">
        <v>346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177">
        <v>0</v>
      </c>
      <c r="H22" s="180">
        <f t="shared" si="5"/>
        <v>0</v>
      </c>
    </row>
    <row r="23" spans="1:14" x14ac:dyDescent="0.2">
      <c r="A23" s="142"/>
      <c r="B23" s="78"/>
      <c r="C23" s="78"/>
      <c r="D23" s="78"/>
      <c r="E23" s="78"/>
      <c r="F23" s="78"/>
      <c r="G23" s="106"/>
      <c r="H23" s="79"/>
    </row>
    <row r="24" spans="1:14" x14ac:dyDescent="0.2">
      <c r="A24" s="149" t="s">
        <v>347</v>
      </c>
      <c r="B24" s="57">
        <f>B5-B13</f>
        <v>0</v>
      </c>
      <c r="C24" s="276">
        <f t="shared" ref="C24:G24" si="6">C5-C13</f>
        <v>4123581.1131380349</v>
      </c>
      <c r="D24" s="276">
        <f t="shared" si="6"/>
        <v>6855509.164989464</v>
      </c>
      <c r="E24" s="276">
        <f t="shared" si="6"/>
        <v>9560179.824659843</v>
      </c>
      <c r="F24" s="276">
        <f t="shared" si="6"/>
        <v>12415339.042523183</v>
      </c>
      <c r="G24" s="276">
        <f t="shared" si="6"/>
        <v>15237989.763919976</v>
      </c>
      <c r="H24" s="58">
        <f>H5-H13</f>
        <v>48192598.9092305</v>
      </c>
      <c r="I24" s="474"/>
    </row>
    <row r="25" spans="1:14" x14ac:dyDescent="0.2">
      <c r="A25" s="149" t="s">
        <v>348</v>
      </c>
      <c r="B25" s="57">
        <v>0</v>
      </c>
      <c r="C25" s="57">
        <f>'E-Inv AF y Am'!$D$56+'F-CRes'!L4</f>
        <v>498414.55291199998</v>
      </c>
      <c r="D25" s="276">
        <f>'E-Inv AF y Am'!$D$56+'F-CRes'!L5</f>
        <v>498414.55291199998</v>
      </c>
      <c r="E25" s="276">
        <f>'E-Inv AF y Am'!$D$56+'F-CRes'!L6</f>
        <v>498414.55291199998</v>
      </c>
      <c r="F25" s="57">
        <f>'E-Inv AF y Am'!$E$56+'F-CRes'!L7</f>
        <v>371385.88624533336</v>
      </c>
      <c r="G25" s="276">
        <f>'E-Inv AF y Am'!$E$56+'F-CRes'!L8</f>
        <v>371385.88624533336</v>
      </c>
      <c r="H25" s="277">
        <f>SUM(B25:G25)</f>
        <v>2238015.4312266666</v>
      </c>
    </row>
    <row r="26" spans="1:14" x14ac:dyDescent="0.2">
      <c r="A26" s="149"/>
      <c r="B26" s="78"/>
      <c r="C26" s="78"/>
      <c r="D26" s="78"/>
      <c r="E26" s="78"/>
      <c r="F26" s="78"/>
      <c r="G26" s="106"/>
      <c r="H26" s="79"/>
    </row>
    <row r="27" spans="1:14" x14ac:dyDescent="0.2">
      <c r="A27" s="149" t="s">
        <v>349</v>
      </c>
      <c r="B27" s="471">
        <f>SUM(B24:B25)</f>
        <v>0</v>
      </c>
      <c r="C27" s="471">
        <f t="shared" ref="C27:G27" si="7">SUM(C24:C25)</f>
        <v>4621995.6660500346</v>
      </c>
      <c r="D27" s="471">
        <f t="shared" si="7"/>
        <v>7353923.7179014636</v>
      </c>
      <c r="E27" s="471">
        <f t="shared" si="7"/>
        <v>10058594.377571844</v>
      </c>
      <c r="F27" s="471">
        <f t="shared" si="7"/>
        <v>12786724.928768516</v>
      </c>
      <c r="G27" s="471">
        <f t="shared" si="7"/>
        <v>15609375.650165308</v>
      </c>
      <c r="H27" s="472">
        <f>SUM(B28:G28)</f>
        <v>15609375.650165308</v>
      </c>
      <c r="I27" s="474"/>
    </row>
    <row r="28" spans="1:14" ht="13.5" thickBot="1" x14ac:dyDescent="0.25">
      <c r="A28" s="155" t="s">
        <v>350</v>
      </c>
      <c r="B28" s="473">
        <f>B27-B6</f>
        <v>0</v>
      </c>
      <c r="C28" s="473">
        <f t="shared" ref="C28:F28" si="8">C27-C6</f>
        <v>4621995.6660500346</v>
      </c>
      <c r="D28" s="473">
        <f t="shared" si="8"/>
        <v>2731928.051851429</v>
      </c>
      <c r="E28" s="473">
        <f t="shared" si="8"/>
        <v>2704670.6596703799</v>
      </c>
      <c r="F28" s="473">
        <f t="shared" si="8"/>
        <v>2728130.551196672</v>
      </c>
      <c r="G28" s="473">
        <f>G27-G6</f>
        <v>2822650.7213967927</v>
      </c>
      <c r="H28" s="473">
        <f>SUM(B28:G28)</f>
        <v>15609375.650165308</v>
      </c>
      <c r="I28" s="434"/>
      <c r="J28" s="142"/>
      <c r="K28" s="142"/>
      <c r="L28" s="142"/>
      <c r="M28" s="142"/>
      <c r="N28" s="142"/>
    </row>
    <row r="29" spans="1:14" ht="13.5" thickTop="1" x14ac:dyDescent="0.2"/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5" zoomScale="90" zoomScaleNormal="90" workbookViewId="0">
      <selection activeCell="G35" sqref="G35"/>
    </sheetView>
  </sheetViews>
  <sheetFormatPr baseColWidth="10" defaultColWidth="11.28515625" defaultRowHeight="12.75" x14ac:dyDescent="0.2"/>
  <cols>
    <col min="1" max="1" width="37.5703125" style="142" customWidth="1"/>
    <col min="2" max="7" width="16" style="142" bestFit="1" customWidth="1"/>
    <col min="8" max="8" width="17.28515625" style="142" customWidth="1"/>
    <col min="9" max="9" width="13.28515625" style="142" bestFit="1" customWidth="1"/>
    <col min="10" max="16384" width="11.28515625" style="142"/>
  </cols>
  <sheetData>
    <row r="1" spans="1:9" x14ac:dyDescent="0.2">
      <c r="A1" s="1" t="s">
        <v>0</v>
      </c>
      <c r="B1"/>
      <c r="C1"/>
      <c r="D1"/>
      <c r="E1" s="2">
        <f>InfoInicial!E1</f>
        <v>9</v>
      </c>
    </row>
    <row r="3" spans="1:9" ht="15.75" x14ac:dyDescent="0.25">
      <c r="A3" s="169" t="s">
        <v>351</v>
      </c>
      <c r="B3" s="170"/>
      <c r="C3" s="170"/>
      <c r="D3" s="170"/>
      <c r="E3" s="170"/>
      <c r="F3" s="170"/>
      <c r="G3" s="172"/>
    </row>
    <row r="4" spans="1:9" x14ac:dyDescent="0.2">
      <c r="A4" s="182"/>
      <c r="B4" s="183" t="s">
        <v>53</v>
      </c>
      <c r="C4" s="183" t="s">
        <v>54</v>
      </c>
      <c r="D4" s="183" t="s">
        <v>94</v>
      </c>
      <c r="E4" s="183" t="s">
        <v>95</v>
      </c>
      <c r="F4" s="183" t="s">
        <v>96</v>
      </c>
      <c r="G4" s="184" t="s">
        <v>97</v>
      </c>
    </row>
    <row r="5" spans="1:9" x14ac:dyDescent="0.2">
      <c r="A5" s="185" t="s">
        <v>352</v>
      </c>
      <c r="B5" s="186">
        <f>SUM(B7:B11)</f>
        <v>3586759.4559929762</v>
      </c>
      <c r="C5" s="186">
        <f t="shared" ref="C5:G5" si="0">SUM(C7:C11)</f>
        <v>8812740.1447876301</v>
      </c>
      <c r="D5" s="186">
        <f t="shared" si="0"/>
        <v>11418859.602944374</v>
      </c>
      <c r="E5" s="186">
        <f t="shared" si="0"/>
        <v>14123307.537406422</v>
      </c>
      <c r="F5" s="186">
        <f t="shared" si="0"/>
        <v>16861278.826089829</v>
      </c>
      <c r="G5" s="186">
        <f t="shared" si="0"/>
        <v>19683929.547486626</v>
      </c>
    </row>
    <row r="6" spans="1:9" x14ac:dyDescent="0.2">
      <c r="A6" s="153" t="s">
        <v>353</v>
      </c>
      <c r="B6" s="78"/>
      <c r="C6" s="78"/>
      <c r="D6" s="78"/>
      <c r="E6" s="78"/>
      <c r="F6" s="78"/>
      <c r="G6" s="79"/>
    </row>
    <row r="7" spans="1:9" x14ac:dyDescent="0.2">
      <c r="A7" s="173" t="s">
        <v>354</v>
      </c>
      <c r="B7" s="178">
        <f>'E-InvAT'!B6</f>
        <v>278070.40000000002</v>
      </c>
      <c r="C7" s="178">
        <f>'E-InvAT'!C6</f>
        <v>347588</v>
      </c>
      <c r="D7" s="178">
        <f>'E-InvAT'!D6</f>
        <v>463448</v>
      </c>
      <c r="E7" s="178">
        <f>'E-InvAT'!E6</f>
        <v>463448</v>
      </c>
      <c r="F7" s="178">
        <f>'E-InvAT'!F6</f>
        <v>463448</v>
      </c>
      <c r="G7" s="178">
        <f>'E-InvAT'!G6</f>
        <v>463448</v>
      </c>
    </row>
    <row r="8" spans="1:9" x14ac:dyDescent="0.2">
      <c r="A8" s="173" t="s">
        <v>355</v>
      </c>
      <c r="B8" s="57">
        <f>'F- CFyU'!B27</f>
        <v>0</v>
      </c>
      <c r="C8" s="276">
        <f>'F- CFyU'!C27</f>
        <v>4621995.6660500346</v>
      </c>
      <c r="D8" s="276">
        <f>'F- CFyU'!D27</f>
        <v>7353923.7179014636</v>
      </c>
      <c r="E8" s="276">
        <f>'F- CFyU'!E27</f>
        <v>10058594.377571844</v>
      </c>
      <c r="F8" s="276">
        <f>'F- CFyU'!F27</f>
        <v>12786724.928768516</v>
      </c>
      <c r="G8" s="276">
        <f>'F- CFyU'!G27</f>
        <v>15609375.650165308</v>
      </c>
    </row>
    <row r="9" spans="1:9" x14ac:dyDescent="0.2">
      <c r="A9" s="153" t="s">
        <v>356</v>
      </c>
      <c r="B9" s="178">
        <f>'E-InvAT'!B7</f>
        <v>0</v>
      </c>
      <c r="C9" s="178">
        <f>'E-InvAT'!C7</f>
        <v>1428443.8356164384</v>
      </c>
      <c r="D9" s="178">
        <f>'E-InvAT'!D7</f>
        <v>1904580.8219178081</v>
      </c>
      <c r="E9" s="178">
        <f>'E-InvAT'!E7</f>
        <v>1904580.8219178081</v>
      </c>
      <c r="F9" s="178">
        <f>'E-InvAT'!F7</f>
        <v>1904580.8219178081</v>
      </c>
      <c r="G9" s="178">
        <f>'E-InvAT'!G7</f>
        <v>1904580.8219178081</v>
      </c>
    </row>
    <row r="10" spans="1:9" x14ac:dyDescent="0.2">
      <c r="A10" s="153" t="s">
        <v>357</v>
      </c>
      <c r="B10" s="57">
        <f>'E-InvAT'!B9</f>
        <v>1063390.7779255467</v>
      </c>
      <c r="C10" s="276">
        <f>'E-InvAT'!C9</f>
        <v>1693646.760614374</v>
      </c>
      <c r="D10" s="276">
        <f>'E-InvAT'!D9</f>
        <v>1696907.0631251025</v>
      </c>
      <c r="E10" s="276">
        <f>'E-InvAT'!E9</f>
        <v>1696684.3379167716</v>
      </c>
      <c r="F10" s="276">
        <f>'E-InvAT'!F9</f>
        <v>1706525.0754035073</v>
      </c>
      <c r="G10" s="276">
        <f>'E-InvAT'!G9</f>
        <v>1706525.0754035073</v>
      </c>
    </row>
    <row r="11" spans="1:9" x14ac:dyDescent="0.2">
      <c r="A11" s="153" t="s">
        <v>358</v>
      </c>
      <c r="B11" s="84">
        <f>'F-IVA'!C19</f>
        <v>2245298.2780674295</v>
      </c>
      <c r="C11" s="84">
        <f>'F-IVA'!D19-'F-IVA'!D17</f>
        <v>721065.88250678265</v>
      </c>
      <c r="D11" s="84">
        <f>'F-IVA'!E19-'F-IVA'!E17</f>
        <v>0</v>
      </c>
      <c r="E11" s="84">
        <f>'F-IVA'!F19-'F-IVA'!F17</f>
        <v>0</v>
      </c>
      <c r="F11" s="84">
        <f>'F-IVA'!G19-'F-IVA'!G17</f>
        <v>0</v>
      </c>
      <c r="G11" s="84">
        <f>'F-IVA'!H19-'F-IVA'!H17</f>
        <v>0</v>
      </c>
    </row>
    <row r="12" spans="1:9" x14ac:dyDescent="0.2">
      <c r="A12" s="153" t="s">
        <v>359</v>
      </c>
      <c r="B12" s="84">
        <f>B17+B22+B23</f>
        <v>12746937.647296933</v>
      </c>
      <c r="C12" s="84">
        <f t="shared" ref="C12:G12" si="1">C17+C22+C23</f>
        <v>12084521.711647999</v>
      </c>
      <c r="D12" s="84">
        <f t="shared" si="1"/>
        <v>11586107.158735998</v>
      </c>
      <c r="E12" s="84">
        <f t="shared" si="1"/>
        <v>11087692.605823999</v>
      </c>
      <c r="F12" s="84">
        <f t="shared" si="1"/>
        <v>10716306.719578665</v>
      </c>
      <c r="G12" s="84">
        <f t="shared" si="1"/>
        <v>10344920.83333333</v>
      </c>
    </row>
    <row r="13" spans="1:9" x14ac:dyDescent="0.2">
      <c r="A13" s="153" t="s">
        <v>360</v>
      </c>
      <c r="B13" s="187"/>
      <c r="C13" s="187"/>
      <c r="D13" s="187"/>
      <c r="E13" s="187"/>
      <c r="F13" s="187"/>
      <c r="G13" s="188"/>
    </row>
    <row r="14" spans="1:9" x14ac:dyDescent="0.2">
      <c r="A14" s="173" t="s">
        <v>361</v>
      </c>
      <c r="B14" s="57">
        <f>'F-2 Estructura'!B8</f>
        <v>882321</v>
      </c>
      <c r="C14" s="57">
        <f>B17</f>
        <v>882321</v>
      </c>
      <c r="D14" s="276">
        <f t="shared" ref="D14:G14" si="2">C17</f>
        <v>956945.25164800009</v>
      </c>
      <c r="E14" s="276">
        <f t="shared" si="2"/>
        <v>654355.4387360001</v>
      </c>
      <c r="F14" s="276">
        <f t="shared" si="2"/>
        <v>351765.6258240001</v>
      </c>
      <c r="G14" s="276">
        <f t="shared" si="2"/>
        <v>175882.81291200008</v>
      </c>
    </row>
    <row r="15" spans="1:9" x14ac:dyDescent="0.2">
      <c r="A15" s="173" t="s">
        <v>362</v>
      </c>
      <c r="B15" s="142">
        <v>0</v>
      </c>
      <c r="C15" s="178">
        <f>'F-2 Estructura'!C8</f>
        <v>377214.06456000003</v>
      </c>
      <c r="D15" s="178">
        <v>0</v>
      </c>
      <c r="E15" s="178">
        <v>0</v>
      </c>
      <c r="F15" s="178">
        <v>0</v>
      </c>
      <c r="G15" s="180">
        <v>0</v>
      </c>
      <c r="I15" s="434"/>
    </row>
    <row r="16" spans="1:9" x14ac:dyDescent="0.2">
      <c r="A16" s="173" t="s">
        <v>363</v>
      </c>
      <c r="B16" s="142">
        <v>0</v>
      </c>
      <c r="C16" s="57">
        <f>'F-CRes'!$L$4+'E-Inv AF y Am'!$D$53</f>
        <v>302589.81291199999</v>
      </c>
      <c r="D16" s="276">
        <f>'F-CRes'!L5+'E-Inv AF y Am'!$D$53</f>
        <v>302589.81291199999</v>
      </c>
      <c r="E16" s="276">
        <f>'F-CRes'!L6+'E-Inv AF y Am'!$D$53</f>
        <v>302589.81291199999</v>
      </c>
      <c r="F16" s="57">
        <f>'F-CRes'!L7+'E-Inv AF y Am'!$E$53</f>
        <v>175882.81291200002</v>
      </c>
      <c r="G16" s="276">
        <f>'F-CRes'!L8+'E-Inv AF y Am'!$E$53</f>
        <v>175882.81291200002</v>
      </c>
      <c r="I16" s="434"/>
    </row>
    <row r="17" spans="1:9" x14ac:dyDescent="0.2">
      <c r="A17" s="173" t="s">
        <v>364</v>
      </c>
      <c r="B17" s="57">
        <f>B14+B15-B16</f>
        <v>882321</v>
      </c>
      <c r="C17" s="276">
        <f t="shared" ref="C17:G17" si="3">C14+C15-C16</f>
        <v>956945.25164800009</v>
      </c>
      <c r="D17" s="276">
        <f t="shared" si="3"/>
        <v>654355.4387360001</v>
      </c>
      <c r="E17" s="276">
        <f t="shared" si="3"/>
        <v>351765.6258240001</v>
      </c>
      <c r="F17" s="276">
        <f t="shared" si="3"/>
        <v>175882.81291200008</v>
      </c>
      <c r="G17" s="276">
        <f t="shared" si="3"/>
        <v>0</v>
      </c>
      <c r="I17" s="434"/>
    </row>
    <row r="18" spans="1:9" x14ac:dyDescent="0.2">
      <c r="A18" s="153" t="s">
        <v>86</v>
      </c>
      <c r="B18" s="178"/>
      <c r="C18" s="178"/>
      <c r="D18" s="178"/>
      <c r="E18" s="178"/>
      <c r="F18" s="178"/>
      <c r="G18" s="180"/>
      <c r="I18" s="469"/>
    </row>
    <row r="19" spans="1:9" x14ac:dyDescent="0.2">
      <c r="A19" s="173" t="s">
        <v>361</v>
      </c>
      <c r="B19" s="57">
        <f>'F-2 Estructura'!B7</f>
        <v>11323401.199999999</v>
      </c>
      <c r="C19" s="57">
        <f>B22</f>
        <v>11323401.199999999</v>
      </c>
      <c r="D19" s="276">
        <f t="shared" ref="D19:G19" si="4">C22</f>
        <v>11127576.459999999</v>
      </c>
      <c r="E19" s="276">
        <f t="shared" si="4"/>
        <v>10931751.719999999</v>
      </c>
      <c r="F19" s="276">
        <f t="shared" si="4"/>
        <v>10735926.979999999</v>
      </c>
      <c r="G19" s="276">
        <f t="shared" si="4"/>
        <v>10540423.906666664</v>
      </c>
      <c r="I19" s="469"/>
    </row>
    <row r="20" spans="1:9" x14ac:dyDescent="0.2">
      <c r="A20" s="173" t="s">
        <v>365</v>
      </c>
      <c r="B20" s="57">
        <f>'E-Cal Inv.'!D6</f>
        <v>0</v>
      </c>
      <c r="C20" s="276">
        <f>'E-Cal Inv.'!E6</f>
        <v>0</v>
      </c>
      <c r="D20" s="276">
        <f>'E-Cal Inv.'!F6</f>
        <v>0</v>
      </c>
      <c r="E20" s="276">
        <f>'E-Cal Inv.'!G6</f>
        <v>0</v>
      </c>
      <c r="F20" s="276">
        <f>'E-Cal Inv.'!H6</f>
        <v>0</v>
      </c>
      <c r="G20" s="276">
        <v>0</v>
      </c>
    </row>
    <row r="21" spans="1:9" x14ac:dyDescent="0.2">
      <c r="A21" s="173" t="s">
        <v>366</v>
      </c>
      <c r="B21" s="57">
        <v>0</v>
      </c>
      <c r="C21" s="57">
        <f>'E-Inv AF y Am'!$D$51</f>
        <v>195824.74</v>
      </c>
      <c r="D21" s="276">
        <f>'E-Inv AF y Am'!$D$51</f>
        <v>195824.74</v>
      </c>
      <c r="E21" s="276">
        <f>'E-Inv AF y Am'!$D$51</f>
        <v>195824.74</v>
      </c>
      <c r="F21" s="57">
        <f>'E-Inv AF y Am'!$E$51</f>
        <v>195503.07333333333</v>
      </c>
      <c r="G21" s="276">
        <f>'E-Inv AF y Am'!$E$51</f>
        <v>195503.07333333333</v>
      </c>
    </row>
    <row r="22" spans="1:9" x14ac:dyDescent="0.2">
      <c r="A22" s="173" t="s">
        <v>364</v>
      </c>
      <c r="B22" s="178">
        <f>B19+B20-B21</f>
        <v>11323401.199999999</v>
      </c>
      <c r="C22" s="178">
        <f t="shared" ref="C22:G22" si="5">C19+C20-C21</f>
        <v>11127576.459999999</v>
      </c>
      <c r="D22" s="178">
        <f t="shared" si="5"/>
        <v>10931751.719999999</v>
      </c>
      <c r="E22" s="178">
        <f t="shared" si="5"/>
        <v>10735926.979999999</v>
      </c>
      <c r="F22" s="178">
        <f t="shared" si="5"/>
        <v>10540423.906666664</v>
      </c>
      <c r="G22" s="178">
        <f t="shared" si="5"/>
        <v>10344920.83333333</v>
      </c>
    </row>
    <row r="23" spans="1:9" x14ac:dyDescent="0.2">
      <c r="A23" s="153" t="s">
        <v>367</v>
      </c>
      <c r="B23" s="178">
        <f>IF(('F-IVA'!C16-'F-IVA'!C19)&gt;0,'F-IVA'!C16-'F-IVA'!C19,0)</f>
        <v>541215.44729693467</v>
      </c>
      <c r="C23" s="178">
        <f>IF(('F-IVA'!D16-'F-IVA'!D19)&gt;0,'F-IVA'!D16-'F-IVA'!D19,0)</f>
        <v>0</v>
      </c>
      <c r="D23" s="178">
        <f>IF(('F-IVA'!E16-'F-IVA'!E19)&gt;0,'F-IVA'!E16-'F-IVA'!E19,0)</f>
        <v>0</v>
      </c>
      <c r="E23" s="178">
        <f>IF(('F-IVA'!F16-'F-IVA'!F19)&gt;0,'F-IVA'!F16-'F-IVA'!F19,0)</f>
        <v>0</v>
      </c>
      <c r="F23" s="178">
        <f>IF(('F-IVA'!G16-'F-IVA'!G19)&gt;0,'F-IVA'!G16-'F-IVA'!G19,0)</f>
        <v>0</v>
      </c>
      <c r="G23" s="178">
        <f>IF(('F-IVA'!H16-'F-IVA'!H19)&gt;0,'F-IVA'!H16-'F-IVA'!H19,0)</f>
        <v>0</v>
      </c>
    </row>
    <row r="24" spans="1:9" x14ac:dyDescent="0.2">
      <c r="A24" s="153" t="s">
        <v>368</v>
      </c>
      <c r="B24" s="178">
        <f>B12+B5</f>
        <v>16333697.10328991</v>
      </c>
      <c r="C24" s="178">
        <f t="shared" ref="C24:G24" si="6">C12+C5</f>
        <v>20897261.856435627</v>
      </c>
      <c r="D24" s="178">
        <f t="shared" si="6"/>
        <v>23004966.761680372</v>
      </c>
      <c r="E24" s="178">
        <f t="shared" si="6"/>
        <v>25211000.143230423</v>
      </c>
      <c r="F24" s="178">
        <f t="shared" si="6"/>
        <v>27577585.545668494</v>
      </c>
      <c r="G24" s="178">
        <f t="shared" si="6"/>
        <v>30028850.380819954</v>
      </c>
    </row>
    <row r="25" spans="1:9" x14ac:dyDescent="0.2">
      <c r="A25" s="153" t="s">
        <v>369</v>
      </c>
      <c r="B25" s="178">
        <f>SUM(B26:B27)</f>
        <v>1086060</v>
      </c>
      <c r="C25" s="178">
        <f t="shared" ref="C25:G25" si="7">SUM(C26:C27)</f>
        <v>1544916.7228000001</v>
      </c>
      <c r="D25" s="178">
        <f t="shared" si="7"/>
        <v>1544916.7228000001</v>
      </c>
      <c r="E25" s="178">
        <f t="shared" si="7"/>
        <v>1544916.7228000001</v>
      </c>
      <c r="F25" s="178">
        <f t="shared" si="7"/>
        <v>1544916.7228000001</v>
      </c>
      <c r="G25" s="178">
        <f t="shared" si="7"/>
        <v>458856.72280000005</v>
      </c>
    </row>
    <row r="26" spans="1:9" x14ac:dyDescent="0.2">
      <c r="A26" s="153" t="s">
        <v>370</v>
      </c>
      <c r="B26" s="178">
        <v>0</v>
      </c>
      <c r="C26" s="178">
        <f>'F-2 Estructura'!$C$30</f>
        <v>458856.72280000005</v>
      </c>
      <c r="D26" s="178">
        <f>'F-2 Estructura'!$C$30</f>
        <v>458856.72280000005</v>
      </c>
      <c r="E26" s="178">
        <f>'F-2 Estructura'!$C$30</f>
        <v>458856.72280000005</v>
      </c>
      <c r="F26" s="178">
        <f>'F-2 Estructura'!$C$30</f>
        <v>458856.72280000005</v>
      </c>
      <c r="G26" s="178">
        <f>'F-2 Estructura'!$C$30</f>
        <v>458856.72280000005</v>
      </c>
    </row>
    <row r="27" spans="1:9" x14ac:dyDescent="0.2">
      <c r="A27" s="153" t="s">
        <v>371</v>
      </c>
      <c r="B27" s="57">
        <f>'F-Cred'!D18</f>
        <v>1086060</v>
      </c>
      <c r="C27" s="276">
        <f>'F-Cred'!D20</f>
        <v>1086060</v>
      </c>
      <c r="D27" s="276">
        <f>'F-Cred'!D22</f>
        <v>1086060</v>
      </c>
      <c r="E27" s="276">
        <f>'F-Cred'!D24</f>
        <v>1086060</v>
      </c>
      <c r="F27" s="276">
        <f>'F-Cred'!D26</f>
        <v>1086060</v>
      </c>
      <c r="G27" s="276">
        <v>0</v>
      </c>
    </row>
    <row r="28" spans="1:9" x14ac:dyDescent="0.2">
      <c r="A28" s="153" t="s">
        <v>372</v>
      </c>
      <c r="B28" s="278">
        <f>B29</f>
        <v>4344240</v>
      </c>
      <c r="C28" s="278">
        <f t="shared" ref="C28:G28" si="8">C29</f>
        <v>3258180</v>
      </c>
      <c r="D28" s="278">
        <f t="shared" si="8"/>
        <v>2172120</v>
      </c>
      <c r="E28" s="278">
        <f t="shared" si="8"/>
        <v>1086060</v>
      </c>
      <c r="F28" s="278">
        <f t="shared" si="8"/>
        <v>0</v>
      </c>
      <c r="G28" s="278">
        <f t="shared" si="8"/>
        <v>0</v>
      </c>
    </row>
    <row r="29" spans="1:9" x14ac:dyDescent="0.2">
      <c r="A29" s="153" t="s">
        <v>371</v>
      </c>
      <c r="B29" s="178">
        <f>'F-Cred'!D27-'F-Cred'!D18</f>
        <v>4344240</v>
      </c>
      <c r="C29" s="178">
        <f>B29-'F-Cred'!D20</f>
        <v>3258180</v>
      </c>
      <c r="D29" s="178">
        <f>C29-'F-Cred'!D22</f>
        <v>2172120</v>
      </c>
      <c r="E29" s="178">
        <f>D29-'F-Cred'!D24</f>
        <v>1086060</v>
      </c>
      <c r="F29" s="178">
        <f>E29-'F-Cred'!D26</f>
        <v>0</v>
      </c>
      <c r="G29" s="180">
        <f>'F-Cred'!D27-'F-Cred'!D27</f>
        <v>0</v>
      </c>
    </row>
    <row r="30" spans="1:9" x14ac:dyDescent="0.2">
      <c r="A30" s="153" t="s">
        <v>373</v>
      </c>
      <c r="B30" s="57">
        <f>B28+B25</f>
        <v>5430300</v>
      </c>
      <c r="C30" s="276">
        <f t="shared" ref="C30:G30" si="9">C28+C25</f>
        <v>4803096.7227999996</v>
      </c>
      <c r="D30" s="276">
        <f t="shared" si="9"/>
        <v>3717036.7228000001</v>
      </c>
      <c r="E30" s="276">
        <f t="shared" si="9"/>
        <v>2630976.7228000001</v>
      </c>
      <c r="F30" s="276">
        <f t="shared" si="9"/>
        <v>1544916.7228000001</v>
      </c>
      <c r="G30" s="276">
        <f t="shared" si="9"/>
        <v>458856.72280000005</v>
      </c>
    </row>
    <row r="31" spans="1:9" x14ac:dyDescent="0.2">
      <c r="A31" s="153" t="s">
        <v>374</v>
      </c>
      <c r="B31" s="57">
        <f>SUM(B32:B34)</f>
        <v>10903397.103289912</v>
      </c>
      <c r="C31" s="276">
        <f t="shared" ref="C31:G31" si="10">SUM(C32:C34)</f>
        <v>16094165.133635629</v>
      </c>
      <c r="D31" s="276">
        <f t="shared" si="10"/>
        <v>19287930.038880371</v>
      </c>
      <c r="E31" s="276">
        <f t="shared" si="10"/>
        <v>22580023.420430418</v>
      </c>
      <c r="F31" s="276">
        <f t="shared" si="10"/>
        <v>26032668.822868489</v>
      </c>
      <c r="G31" s="276">
        <f t="shared" si="10"/>
        <v>29569993.658019952</v>
      </c>
    </row>
    <row r="32" spans="1:9" x14ac:dyDescent="0.2">
      <c r="A32" s="153" t="s">
        <v>375</v>
      </c>
      <c r="B32" s="57">
        <f>'F-2 Estructura'!B32</f>
        <v>10903397.103289912</v>
      </c>
      <c r="C32" s="57">
        <f>'F-2 Estructura'!$D$32</f>
        <v>13313044.753564553</v>
      </c>
      <c r="D32" s="276">
        <f>'F-2 Estructura'!$D$32</f>
        <v>13313044.753564553</v>
      </c>
      <c r="E32" s="276">
        <f>'F-2 Estructura'!$D$32</f>
        <v>13313044.753564553</v>
      </c>
      <c r="F32" s="276">
        <f>'F-2 Estructura'!$D$32</f>
        <v>13313044.753564553</v>
      </c>
      <c r="G32" s="276">
        <f>'F-2 Estructura'!$D$32</f>
        <v>13313044.753564553</v>
      </c>
    </row>
    <row r="33" spans="1:8" x14ac:dyDescent="0.2">
      <c r="A33" s="153" t="s">
        <v>376</v>
      </c>
      <c r="B33" s="178">
        <v>0</v>
      </c>
      <c r="C33" s="178">
        <f>'F-CRes'!B14</f>
        <v>2781120.3800710747</v>
      </c>
      <c r="D33" s="178">
        <f>'F-CRes'!C14</f>
        <v>3193764.9052447416</v>
      </c>
      <c r="E33" s="178">
        <f>'F-CRes'!D14</f>
        <v>3292093.3815500485</v>
      </c>
      <c r="F33" s="178">
        <f>'F-CRes'!E14</f>
        <v>3452645.4024380725</v>
      </c>
      <c r="G33" s="178">
        <f>'F-CRes'!F14</f>
        <v>3537324.83515146</v>
      </c>
    </row>
    <row r="34" spans="1:8" x14ac:dyDescent="0.2">
      <c r="A34" s="153" t="s">
        <v>377</v>
      </c>
      <c r="B34" s="57">
        <v>0</v>
      </c>
      <c r="C34" s="57">
        <f>B34+B33</f>
        <v>0</v>
      </c>
      <c r="D34" s="276">
        <f t="shared" ref="D34:G34" si="11">C34+C33</f>
        <v>2781120.3800710747</v>
      </c>
      <c r="E34" s="276">
        <f t="shared" si="11"/>
        <v>5974885.2853158163</v>
      </c>
      <c r="F34" s="276">
        <f t="shared" si="11"/>
        <v>9266978.6668658648</v>
      </c>
      <c r="G34" s="276">
        <f t="shared" si="11"/>
        <v>12719624.069303937</v>
      </c>
    </row>
    <row r="35" spans="1:8" x14ac:dyDescent="0.2">
      <c r="A35" s="155" t="s">
        <v>378</v>
      </c>
      <c r="B35" s="32">
        <f>B31+B30</f>
        <v>16333697.103289912</v>
      </c>
      <c r="C35" s="32">
        <f t="shared" ref="C35:G35" si="12">C31+C30</f>
        <v>20897261.856435627</v>
      </c>
      <c r="D35" s="32">
        <f t="shared" si="12"/>
        <v>23004966.761680372</v>
      </c>
      <c r="E35" s="32">
        <f t="shared" si="12"/>
        <v>25211000.14323042</v>
      </c>
      <c r="F35" s="32">
        <f t="shared" si="12"/>
        <v>27577585.54566849</v>
      </c>
      <c r="G35" s="32">
        <f t="shared" si="12"/>
        <v>30028850.380819954</v>
      </c>
      <c r="H35" s="469"/>
    </row>
    <row r="38" spans="1:8" x14ac:dyDescent="0.2">
      <c r="A38" s="189" t="s">
        <v>379</v>
      </c>
      <c r="B38" s="133" t="str">
        <f t="shared" ref="B38:G38" si="13">IF(B24=B35,"OK","MAL")</f>
        <v>OK</v>
      </c>
      <c r="C38" s="133" t="str">
        <f t="shared" si="13"/>
        <v>OK</v>
      </c>
      <c r="D38" s="133" t="str">
        <f t="shared" si="13"/>
        <v>OK</v>
      </c>
      <c r="E38" s="133" t="str">
        <f t="shared" si="13"/>
        <v>OK</v>
      </c>
      <c r="F38" s="133" t="str">
        <f t="shared" si="13"/>
        <v>OK</v>
      </c>
      <c r="G38" s="133" t="str">
        <f t="shared" si="13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C5" zoomScale="90" zoomScaleNormal="90" workbookViewId="0">
      <selection activeCell="C10" sqref="C10"/>
    </sheetView>
  </sheetViews>
  <sheetFormatPr baseColWidth="10" defaultColWidth="11.28515625" defaultRowHeight="12.75" x14ac:dyDescent="0.2"/>
  <cols>
    <col min="1" max="1" width="7.85546875" style="142" customWidth="1"/>
    <col min="2" max="2" width="16.7109375" style="142" bestFit="1" customWidth="1"/>
    <col min="3" max="3" width="33.28515625" style="142" bestFit="1" customWidth="1"/>
    <col min="4" max="4" width="16" style="142" bestFit="1" customWidth="1"/>
    <col min="5" max="5" width="22.42578125" style="142" bestFit="1" customWidth="1"/>
    <col min="6" max="6" width="16" style="142" bestFit="1" customWidth="1"/>
    <col min="7" max="7" width="16.7109375" style="142" bestFit="1" customWidth="1"/>
    <col min="8" max="8" width="17.42578125" style="142" bestFit="1" customWidth="1"/>
    <col min="9" max="9" width="14.7109375" style="142" customWidth="1"/>
    <col min="10" max="10" width="17.42578125" style="142" customWidth="1"/>
    <col min="11" max="11" width="14.7109375" style="142" customWidth="1"/>
    <col min="12" max="12" width="16.5703125" style="142" customWidth="1"/>
    <col min="13" max="13" width="18.42578125" style="142" customWidth="1"/>
    <col min="14" max="14" width="17.42578125" style="142" customWidth="1"/>
    <col min="15" max="15" width="17.28515625" style="142" customWidth="1"/>
    <col min="16" max="16384" width="11.28515625" style="142"/>
  </cols>
  <sheetData>
    <row r="1" spans="1:14" x14ac:dyDescent="0.2">
      <c r="A1" s="1" t="s">
        <v>0</v>
      </c>
      <c r="B1"/>
      <c r="C1"/>
      <c r="D1"/>
      <c r="G1" s="2">
        <f>InfoInicial!E1</f>
        <v>9</v>
      </c>
    </row>
    <row r="3" spans="1:14" ht="15.75" x14ac:dyDescent="0.25">
      <c r="A3" s="143" t="s">
        <v>380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1:14" ht="25.5" x14ac:dyDescent="0.2">
      <c r="A4" s="160" t="s">
        <v>236</v>
      </c>
      <c r="B4" s="161" t="s">
        <v>339</v>
      </c>
      <c r="C4" s="161" t="s">
        <v>381</v>
      </c>
      <c r="D4" s="161" t="s">
        <v>239</v>
      </c>
      <c r="E4" s="161" t="s">
        <v>5</v>
      </c>
      <c r="F4" s="161" t="s">
        <v>240</v>
      </c>
      <c r="G4" s="161" t="s">
        <v>241</v>
      </c>
      <c r="H4" s="161" t="s">
        <v>382</v>
      </c>
      <c r="I4" s="161" t="s">
        <v>383</v>
      </c>
      <c r="J4" s="161" t="s">
        <v>101</v>
      </c>
      <c r="K4" s="161" t="s">
        <v>243</v>
      </c>
      <c r="L4" s="161" t="s">
        <v>244</v>
      </c>
      <c r="M4" s="190" t="s">
        <v>245</v>
      </c>
      <c r="N4" s="191" t="s">
        <v>246</v>
      </c>
    </row>
    <row r="5" spans="1:14" x14ac:dyDescent="0.2">
      <c r="A5" s="192">
        <v>0</v>
      </c>
      <c r="B5" s="124">
        <f>'F-2 Estructura'!B9</f>
        <v>12205722.199999999</v>
      </c>
      <c r="C5" s="55">
        <f>'F- CFyU'!B$15</f>
        <v>1341461.1779255467</v>
      </c>
      <c r="D5" s="55">
        <f>'F-IVA'!B$17</f>
        <v>2786513.7253643642</v>
      </c>
      <c r="E5" s="274">
        <v>0</v>
      </c>
      <c r="F5" s="274">
        <v>0</v>
      </c>
      <c r="G5" s="55">
        <f>SUM(B5:F5)</f>
        <v>16333697.10328991</v>
      </c>
      <c r="H5" s="55">
        <v>0</v>
      </c>
      <c r="I5" s="55">
        <f>'F-Cred'!F15+'F-Cred'!H15</f>
        <v>380121</v>
      </c>
      <c r="J5" s="55">
        <f>'F- CFyU'!B25</f>
        <v>0</v>
      </c>
      <c r="K5" s="55">
        <f>'F-IVA'!B19</f>
        <v>0</v>
      </c>
      <c r="L5" s="55">
        <f>SUM(H5:K5)</f>
        <v>380121</v>
      </c>
      <c r="M5" s="125">
        <f>L5-G5</f>
        <v>-15953576.10328991</v>
      </c>
      <c r="N5" s="56">
        <f>M5</f>
        <v>-15953576.10328991</v>
      </c>
    </row>
    <row r="6" spans="1:14" x14ac:dyDescent="0.2">
      <c r="A6" s="193">
        <v>1</v>
      </c>
      <c r="B6" s="115">
        <f>'F-2 Estructura'!C9</f>
        <v>377214.06456000003</v>
      </c>
      <c r="C6" s="57">
        <f>'F- CFyU'!C15</f>
        <v>2128217.4183052657</v>
      </c>
      <c r="D6" s="57">
        <f>'F-IVA'!C17</f>
        <v>179850.43520984781</v>
      </c>
      <c r="E6" s="276">
        <f>'E-Costos'!B117</f>
        <v>381364.03303218418</v>
      </c>
      <c r="F6" s="276">
        <f>(H6-E6)*InfoInicial!$B$4</f>
        <v>1497526.3584998092</v>
      </c>
      <c r="G6" s="274">
        <f t="shared" ref="G6:G10" si="0">SUM(B6:F6)</f>
        <v>4564172.3096071072</v>
      </c>
      <c r="H6" s="57">
        <f>'F-CRes'!B11</f>
        <v>4660010.7716030683</v>
      </c>
      <c r="I6" s="57">
        <f>'F-Cred'!F18</f>
        <v>706698.80673600012</v>
      </c>
      <c r="J6" s="57">
        <f>'F- CFyU'!C25</f>
        <v>498414.55291199998</v>
      </c>
      <c r="K6" s="57">
        <f>'F-IVA'!C19</f>
        <v>2245298.2780674295</v>
      </c>
      <c r="L6" s="274">
        <f t="shared" ref="L6:L9" si="1">SUM(H6:K6)</f>
        <v>8110422.4093184974</v>
      </c>
      <c r="M6" s="286">
        <f t="shared" ref="M6:M10" si="2">L6-G6</f>
        <v>3546250.0997113902</v>
      </c>
      <c r="N6" s="58">
        <f>N5+M6</f>
        <v>-12407326.003578519</v>
      </c>
    </row>
    <row r="7" spans="1:14" x14ac:dyDescent="0.2">
      <c r="A7" s="193">
        <v>2</v>
      </c>
      <c r="B7" s="115">
        <v>0</v>
      </c>
      <c r="C7" s="276">
        <f>'F- CFyU'!D15</f>
        <v>595257.28881209809</v>
      </c>
      <c r="D7" s="57">
        <f>'F-IVA'!D17</f>
        <v>3422.154101684886</v>
      </c>
      <c r="E7" s="276">
        <f>'E-Costos'!C117</f>
        <v>413566.83288557199</v>
      </c>
      <c r="F7" s="276">
        <f>(H7-E7)*InfoInicial!$B$4</f>
        <v>1719719.5643625529</v>
      </c>
      <c r="G7" s="274">
        <f t="shared" si="0"/>
        <v>2731965.840161908</v>
      </c>
      <c r="H7" s="57">
        <f>'F-CRes'!C11</f>
        <v>5327051.3024928663</v>
      </c>
      <c r="I7" s="57">
        <f>'F-Cred'!F20</f>
        <v>576371.60673600005</v>
      </c>
      <c r="J7" s="57">
        <f>'F- CFyU'!D25</f>
        <v>498414.55291199998</v>
      </c>
      <c r="K7" s="57">
        <f>'F-IVA'!D19</f>
        <v>724488.03660846758</v>
      </c>
      <c r="L7" s="274">
        <f t="shared" si="1"/>
        <v>7126325.4987493334</v>
      </c>
      <c r="M7" s="286">
        <f t="shared" si="2"/>
        <v>4394359.6585874259</v>
      </c>
      <c r="N7" s="58">
        <f>N6+M7</f>
        <v>-8012966.3449910935</v>
      </c>
    </row>
    <row r="8" spans="1:14" x14ac:dyDescent="0.2">
      <c r="A8" s="193">
        <v>3</v>
      </c>
      <c r="B8" s="115">
        <v>0</v>
      </c>
      <c r="C8" s="276">
        <f>'F- CFyU'!E15</f>
        <v>-222.72520833089948</v>
      </c>
      <c r="D8" s="57">
        <f>'F-IVA'!E17</f>
        <v>0</v>
      </c>
      <c r="E8" s="276">
        <f>'E-Costos'!D117</f>
        <v>414903.899625864</v>
      </c>
      <c r="F8" s="276">
        <f>(H8-E8)*InfoInicial!$B$4</f>
        <v>1772665.6669884874</v>
      </c>
      <c r="G8" s="274">
        <f t="shared" si="0"/>
        <v>2187346.8414060203</v>
      </c>
      <c r="H8" s="276">
        <f>'F-CRes'!D11</f>
        <v>5479662.9481643997</v>
      </c>
      <c r="I8" s="57">
        <f>'F-Cred'!F22</f>
        <v>446044.40673599998</v>
      </c>
      <c r="J8" s="57">
        <f>'F- CFyU'!E25</f>
        <v>498414.55291199998</v>
      </c>
      <c r="K8" s="57">
        <f>'F-IVA'!E19</f>
        <v>0</v>
      </c>
      <c r="L8" s="274">
        <f t="shared" si="1"/>
        <v>6424121.9078123989</v>
      </c>
      <c r="M8" s="286">
        <f t="shared" si="2"/>
        <v>4236775.0664063785</v>
      </c>
      <c r="N8" s="58">
        <f>N7+M8</f>
        <v>-3776191.278584715</v>
      </c>
    </row>
    <row r="9" spans="1:14" x14ac:dyDescent="0.2">
      <c r="A9" s="193">
        <v>4</v>
      </c>
      <c r="B9" s="115">
        <v>0</v>
      </c>
      <c r="C9" s="57">
        <f>'F- CFyU'!F15</f>
        <v>9840.7374867359176</v>
      </c>
      <c r="D9" s="57">
        <f>'F-IVA'!F17</f>
        <v>2065.1761098466104</v>
      </c>
      <c r="E9" s="276">
        <f>'E-Costos'!E117</f>
        <v>414263.61722534266</v>
      </c>
      <c r="F9" s="276">
        <f>(H9-E9)*InfoInicial!$B$4</f>
        <v>1859116.7551589618</v>
      </c>
      <c r="G9" s="274">
        <f t="shared" si="0"/>
        <v>2285286.2859808868</v>
      </c>
      <c r="H9" s="57">
        <f>'F-CRes'!E11</f>
        <v>5726025.7748223767</v>
      </c>
      <c r="I9" s="57">
        <f>'F-Cred'!F24</f>
        <v>315717.20673600002</v>
      </c>
      <c r="J9" s="57">
        <f>'F- CFyU'!F25</f>
        <v>371385.88624533336</v>
      </c>
      <c r="K9" s="57">
        <f>'F-IVA'!F19</f>
        <v>2065.1761098466104</v>
      </c>
      <c r="L9" s="274">
        <f t="shared" si="1"/>
        <v>6415194.0439135572</v>
      </c>
      <c r="M9" s="286">
        <f t="shared" si="2"/>
        <v>4129907.7579326704</v>
      </c>
      <c r="N9" s="58">
        <f>N8+M9</f>
        <v>353716.47934795544</v>
      </c>
    </row>
    <row r="10" spans="1:14" x14ac:dyDescent="0.2">
      <c r="A10" s="193">
        <v>5</v>
      </c>
      <c r="B10" s="115">
        <f>-'E-Inv AF y Am'!G56</f>
        <v>-10344920.833333334</v>
      </c>
      <c r="C10" s="57">
        <f>-('F- CFyU'!H15)</f>
        <v>-4074553.8973213155</v>
      </c>
      <c r="D10" s="57">
        <f>'F-IVA'!G17</f>
        <v>0</v>
      </c>
      <c r="E10" s="276">
        <f>'E-Costos'!F117</f>
        <v>414260.35235268011</v>
      </c>
      <c r="F10" s="276">
        <f>(H10-E10)*InfoInicial!$B$4</f>
        <v>1904713.3727738627</v>
      </c>
      <c r="G10" s="274">
        <f t="shared" si="0"/>
        <v>-12100501.005528105</v>
      </c>
      <c r="H10" s="57">
        <f>'F-CRes'!F11</f>
        <v>5856298.5602780022</v>
      </c>
      <c r="I10" s="57">
        <f>'F-Cred'!F26</f>
        <v>185390.00673600001</v>
      </c>
      <c r="J10" s="57">
        <f>'F- CFyU'!G25</f>
        <v>371385.88624533336</v>
      </c>
      <c r="K10" s="57">
        <f>'F-IVA'!G19</f>
        <v>0</v>
      </c>
      <c r="L10" s="274">
        <f>SUM(H10:K10)</f>
        <v>6413074.4532593358</v>
      </c>
      <c r="M10" s="286">
        <f t="shared" si="2"/>
        <v>18513575.458787441</v>
      </c>
      <c r="N10" s="58">
        <f>N9+M10</f>
        <v>18867291.938135397</v>
      </c>
    </row>
    <row r="11" spans="1:14" x14ac:dyDescent="0.2">
      <c r="A11" s="193"/>
      <c r="B11" s="117"/>
      <c r="C11" s="78"/>
      <c r="D11" s="78"/>
      <c r="E11" s="278"/>
      <c r="F11" s="278"/>
      <c r="G11" s="78"/>
      <c r="H11" s="78"/>
      <c r="I11" s="78"/>
      <c r="J11" s="78"/>
      <c r="K11" s="78"/>
      <c r="L11" s="78"/>
      <c r="M11" s="106"/>
      <c r="N11" s="79"/>
    </row>
    <row r="12" spans="1:14" x14ac:dyDescent="0.2">
      <c r="A12" s="194" t="s">
        <v>247</v>
      </c>
      <c r="B12" s="120">
        <f>SUM(B5:B10)</f>
        <v>2238015.4312266652</v>
      </c>
      <c r="C12" s="284">
        <f t="shared" ref="C12:M12" si="3">SUM(C5:C10)</f>
        <v>0</v>
      </c>
      <c r="D12" s="284">
        <f t="shared" si="3"/>
        <v>2971851.4907857436</v>
      </c>
      <c r="E12" s="284">
        <f t="shared" ref="E12:F12" si="4">SUM(E5:E10)</f>
        <v>2038358.7351216429</v>
      </c>
      <c r="F12" s="284">
        <f t="shared" si="4"/>
        <v>8753741.7177836746</v>
      </c>
      <c r="G12" s="284">
        <f t="shared" si="3"/>
        <v>16001967.374917729</v>
      </c>
      <c r="H12" s="284">
        <f t="shared" si="3"/>
        <v>27049049.357360713</v>
      </c>
      <c r="I12" s="284">
        <f t="shared" si="3"/>
        <v>2610343.0336800003</v>
      </c>
      <c r="J12" s="284">
        <f t="shared" si="3"/>
        <v>2238015.4312266666</v>
      </c>
      <c r="K12" s="284">
        <f t="shared" si="3"/>
        <v>2971851.490785744</v>
      </c>
      <c r="L12" s="284">
        <f t="shared" si="3"/>
        <v>34869259.313053124</v>
      </c>
      <c r="M12" s="284">
        <f t="shared" si="3"/>
        <v>18867291.938135397</v>
      </c>
      <c r="N12" s="284"/>
    </row>
    <row r="14" spans="1:14" x14ac:dyDescent="0.2">
      <c r="C14" s="195" t="s">
        <v>248</v>
      </c>
      <c r="D14" s="128">
        <f>N10</f>
        <v>18867291.938135397</v>
      </c>
    </row>
    <row r="15" spans="1:14" x14ac:dyDescent="0.2">
      <c r="A15" s="149"/>
      <c r="C15" s="195" t="s">
        <v>249</v>
      </c>
      <c r="D15" s="475">
        <f>3+-N8/M9</f>
        <v>3.9143524504467342</v>
      </c>
      <c r="E15" s="142" t="s">
        <v>250</v>
      </c>
      <c r="J15"/>
      <c r="K15"/>
    </row>
    <row r="16" spans="1:14" x14ac:dyDescent="0.2">
      <c r="C16" s="195" t="s">
        <v>384</v>
      </c>
      <c r="D16" s="130">
        <f>IRR(M5:M10)</f>
        <v>0.24111654900344859</v>
      </c>
      <c r="H16" s="469"/>
      <c r="J16" s="196"/>
      <c r="K16" s="196"/>
    </row>
    <row r="17" spans="1:15" x14ac:dyDescent="0.2">
      <c r="C17" s="195"/>
      <c r="D17" s="130"/>
      <c r="H17" s="469"/>
      <c r="J17" s="197"/>
      <c r="K17" s="198"/>
    </row>
    <row r="18" spans="1:15" x14ac:dyDescent="0.2">
      <c r="A18" s="199"/>
      <c r="B18" s="200"/>
      <c r="C18" s="200"/>
      <c r="D18" s="200"/>
      <c r="E18" s="201"/>
      <c r="F18" s="202"/>
      <c r="G18" s="202"/>
      <c r="H18" s="202"/>
      <c r="I18" s="202"/>
      <c r="J18" s="197"/>
      <c r="K18" s="203"/>
      <c r="L18" s="202"/>
      <c r="M18" s="202"/>
      <c r="N18" s="202"/>
      <c r="O18" s="200"/>
    </row>
    <row r="19" spans="1:15" ht="15.75" x14ac:dyDescent="0.25">
      <c r="A19" s="204"/>
      <c r="B19" s="202"/>
      <c r="C19" s="205"/>
      <c r="D19" s="202"/>
      <c r="E19" s="206"/>
      <c r="F19" s="202"/>
      <c r="G19" s="202"/>
      <c r="H19" s="202"/>
      <c r="I19" s="202"/>
      <c r="J19" s="197"/>
      <c r="K19" s="198"/>
      <c r="L19" s="202"/>
      <c r="M19" s="202"/>
      <c r="N19" s="202"/>
    </row>
    <row r="20" spans="1:15" x14ac:dyDescent="0.2">
      <c r="J20" s="197"/>
      <c r="K20" s="198"/>
    </row>
    <row r="21" spans="1:15" x14ac:dyDescent="0.2">
      <c r="A21" s="207"/>
      <c r="J21" s="208"/>
      <c r="K21" s="198"/>
    </row>
    <row r="22" spans="1:15" ht="15.75" x14ac:dyDescent="0.25">
      <c r="A22" s="143" t="s">
        <v>385</v>
      </c>
      <c r="B22" s="144"/>
      <c r="C22" s="144"/>
      <c r="D22" s="144"/>
      <c r="E22" s="144"/>
      <c r="F22" s="144"/>
      <c r="G22" s="144"/>
      <c r="H22" s="145"/>
      <c r="J22"/>
      <c r="K22"/>
    </row>
    <row r="23" spans="1:15" ht="25.5" x14ac:dyDescent="0.2">
      <c r="A23" s="160" t="s">
        <v>236</v>
      </c>
      <c r="B23" s="161" t="s">
        <v>386</v>
      </c>
      <c r="C23" s="161" t="s">
        <v>241</v>
      </c>
      <c r="D23" s="161" t="s">
        <v>344</v>
      </c>
      <c r="E23" s="161" t="s">
        <v>387</v>
      </c>
      <c r="F23" s="161" t="s">
        <v>244</v>
      </c>
      <c r="G23" s="190" t="s">
        <v>245</v>
      </c>
      <c r="H23" s="191" t="s">
        <v>246</v>
      </c>
      <c r="K23" s="501" t="s">
        <v>252</v>
      </c>
      <c r="L23" s="501"/>
    </row>
    <row r="24" spans="1:15" x14ac:dyDescent="0.2">
      <c r="A24" s="192">
        <v>0</v>
      </c>
      <c r="B24" s="124">
        <f>'F-2 Estructura'!B32</f>
        <v>10903397.103289912</v>
      </c>
      <c r="C24" s="55">
        <f>B24</f>
        <v>10903397.103289912</v>
      </c>
      <c r="D24" s="55">
        <f>'F- CFyU'!B$20</f>
        <v>0</v>
      </c>
      <c r="E24" s="55">
        <f>'F- CFyU'!B28</f>
        <v>0</v>
      </c>
      <c r="F24" s="55">
        <f>E24+D24</f>
        <v>0</v>
      </c>
      <c r="G24" s="125">
        <f>F24-C24</f>
        <v>-10903397.103289912</v>
      </c>
      <c r="H24" s="56">
        <f>G24</f>
        <v>-10903397.103289912</v>
      </c>
      <c r="K24" s="536" t="s">
        <v>253</v>
      </c>
      <c r="L24" s="536"/>
    </row>
    <row r="25" spans="1:15" x14ac:dyDescent="0.2">
      <c r="A25" s="193">
        <v>1</v>
      </c>
      <c r="B25" s="115">
        <f>'F-2 Estructura'!C32</f>
        <v>2409647.6502746418</v>
      </c>
      <c r="C25" s="274">
        <f t="shared" ref="C25:C29" si="5">B25</f>
        <v>2409647.6502746418</v>
      </c>
      <c r="D25" s="274">
        <f>'F- CFyU'!B$20</f>
        <v>0</v>
      </c>
      <c r="E25" s="57">
        <f>'F- CFyU'!C28</f>
        <v>4621995.6660500346</v>
      </c>
      <c r="F25" s="274">
        <f t="shared" ref="F25:F29" si="6">E25+D25</f>
        <v>4621995.6660500346</v>
      </c>
      <c r="G25" s="286">
        <f t="shared" ref="G25:G29" si="7">F25-C25</f>
        <v>2212348.0157753928</v>
      </c>
      <c r="H25" s="58">
        <f>H24+G25</f>
        <v>-8691049.0875145197</v>
      </c>
      <c r="K25" s="132" t="s">
        <v>101</v>
      </c>
      <c r="L25" s="133" t="str">
        <f>IF(B12=J12,"OK","MAL")</f>
        <v>OK</v>
      </c>
    </row>
    <row r="26" spans="1:15" x14ac:dyDescent="0.2">
      <c r="A26" s="193">
        <v>2</v>
      </c>
      <c r="B26" s="115">
        <v>0</v>
      </c>
      <c r="C26" s="274">
        <f t="shared" si="5"/>
        <v>0</v>
      </c>
      <c r="D26" s="274">
        <f>'F- CFyU'!B$20</f>
        <v>0</v>
      </c>
      <c r="E26" s="57">
        <f>'F- CFyU'!D28</f>
        <v>2731928.051851429</v>
      </c>
      <c r="F26" s="274">
        <f t="shared" si="6"/>
        <v>2731928.051851429</v>
      </c>
      <c r="G26" s="286">
        <f t="shared" si="7"/>
        <v>2731928.051851429</v>
      </c>
      <c r="H26" s="58">
        <f>H25+G26</f>
        <v>-5959121.0356630906</v>
      </c>
      <c r="J26"/>
      <c r="K26" s="132" t="s">
        <v>254</v>
      </c>
      <c r="L26" s="133" t="str">
        <f>IF(D12=K12,"OK","MAL")</f>
        <v>OK</v>
      </c>
    </row>
    <row r="27" spans="1:15" x14ac:dyDescent="0.2">
      <c r="A27" s="193">
        <v>3</v>
      </c>
      <c r="B27" s="115">
        <v>0</v>
      </c>
      <c r="C27" s="274">
        <f t="shared" si="5"/>
        <v>0</v>
      </c>
      <c r="D27" s="274">
        <f>'F- CFyU'!B$20</f>
        <v>0</v>
      </c>
      <c r="E27" s="57">
        <f>'F- CFyU'!E28</f>
        <v>2704670.6596703799</v>
      </c>
      <c r="F27" s="274">
        <f t="shared" si="6"/>
        <v>2704670.6596703799</v>
      </c>
      <c r="G27" s="286">
        <f t="shared" si="7"/>
        <v>2704670.6596703799</v>
      </c>
      <c r="H27" s="277">
        <f t="shared" ref="H27:H29" si="8">H26+G27</f>
        <v>-3254450.3759927107</v>
      </c>
      <c r="J27"/>
      <c r="K27" s="132" t="s">
        <v>255</v>
      </c>
      <c r="L27" s="133" t="str">
        <f>IF(C12=0,"OK","MAL")</f>
        <v>OK</v>
      </c>
    </row>
    <row r="28" spans="1:15" x14ac:dyDescent="0.2">
      <c r="A28" s="193">
        <v>4</v>
      </c>
      <c r="B28" s="115">
        <v>0</v>
      </c>
      <c r="C28" s="274">
        <f t="shared" si="5"/>
        <v>0</v>
      </c>
      <c r="D28" s="274">
        <f>'F- CFyU'!B$20</f>
        <v>0</v>
      </c>
      <c r="E28" s="57">
        <f>'F- CFyU'!F28</f>
        <v>2728130.551196672</v>
      </c>
      <c r="F28" s="274">
        <f t="shared" si="6"/>
        <v>2728130.551196672</v>
      </c>
      <c r="G28" s="286">
        <f t="shared" si="7"/>
        <v>2728130.551196672</v>
      </c>
      <c r="H28" s="277">
        <f t="shared" si="8"/>
        <v>-526319.82479603868</v>
      </c>
      <c r="J28"/>
      <c r="K28" s="132" t="s">
        <v>256</v>
      </c>
      <c r="L28" s="133" t="str">
        <f>IF((H12-F12-E12+I12)=M12,IF(M12=N10,"OK","MAL"),"MAL")</f>
        <v>OK</v>
      </c>
    </row>
    <row r="29" spans="1:15" x14ac:dyDescent="0.2">
      <c r="A29" s="193">
        <v>5</v>
      </c>
      <c r="B29" s="476">
        <f>B10+C10+'F- CFyU'!C8</f>
        <v>-13960618.00785465</v>
      </c>
      <c r="C29" s="274">
        <f t="shared" si="5"/>
        <v>-13960618.00785465</v>
      </c>
      <c r="D29" s="274">
        <f>'F- CFyU'!B$20</f>
        <v>0</v>
      </c>
      <c r="E29" s="57">
        <f>'F- CFyU'!G28</f>
        <v>2822650.7213967927</v>
      </c>
      <c r="F29" s="274">
        <f t="shared" si="6"/>
        <v>2822650.7213967927</v>
      </c>
      <c r="G29" s="286">
        <f t="shared" si="7"/>
        <v>16783268.729251444</v>
      </c>
      <c r="H29" s="277">
        <f t="shared" si="8"/>
        <v>16256948.904455405</v>
      </c>
      <c r="J29"/>
      <c r="K29" s="536" t="s">
        <v>388</v>
      </c>
      <c r="L29" s="536"/>
    </row>
    <row r="30" spans="1:15" x14ac:dyDescent="0.2">
      <c r="A30" s="193"/>
      <c r="B30" s="117"/>
      <c r="C30" s="78"/>
      <c r="D30" s="78"/>
      <c r="E30" s="78"/>
      <c r="F30" s="78"/>
      <c r="G30" s="106"/>
      <c r="H30" s="79"/>
      <c r="J30"/>
      <c r="K30" s="132" t="s">
        <v>389</v>
      </c>
      <c r="L30" s="133" t="str">
        <f>IF((H12-E12-F12)=G31,"OK","MAL")</f>
        <v>OK</v>
      </c>
    </row>
    <row r="31" spans="1:15" ht="13.5" thickBot="1" x14ac:dyDescent="0.25">
      <c r="A31" s="194" t="s">
        <v>247</v>
      </c>
      <c r="B31" s="120">
        <f>SUM(B24:B29)</f>
        <v>-647573.25429009646</v>
      </c>
      <c r="C31" s="284">
        <f t="shared" ref="C31:G31" si="9">SUM(C24:C29)</f>
        <v>-647573.25429009646</v>
      </c>
      <c r="D31" s="284">
        <f t="shared" si="9"/>
        <v>0</v>
      </c>
      <c r="E31" s="284">
        <f t="shared" si="9"/>
        <v>15609375.650165308</v>
      </c>
      <c r="F31" s="284">
        <f t="shared" si="9"/>
        <v>15609375.650165308</v>
      </c>
      <c r="G31" s="284">
        <f t="shared" si="9"/>
        <v>16256948.904455405</v>
      </c>
      <c r="H31" s="64"/>
      <c r="K31" s="132" t="s">
        <v>390</v>
      </c>
      <c r="L31" s="133" t="str">
        <f>IF(('F- CFyU'!H28-'F- CFyU'!H7-'F- CFyU'!H8+'F- CFyU'!H14-'F- CFyU'!H25+'F- CFyU'!H15)='F- Form'!G31,"OK","MAL")</f>
        <v>OK</v>
      </c>
    </row>
    <row r="32" spans="1:15" x14ac:dyDescent="0.2">
      <c r="K32" s="132" t="s">
        <v>391</v>
      </c>
      <c r="L32" s="133" t="str">
        <f>IF('F-CRes'!G14=G31,"OK","MAL")</f>
        <v>OK</v>
      </c>
    </row>
    <row r="33" spans="3:12" x14ac:dyDescent="0.2">
      <c r="K33" s="132" t="s">
        <v>392</v>
      </c>
      <c r="L33" s="133" t="str">
        <f>IF(('F-Balance'!G33+'F-Balance'!G34)='F- Form'!G31,"OK","MAL")</f>
        <v>OK</v>
      </c>
    </row>
    <row r="34" spans="3:12" x14ac:dyDescent="0.2">
      <c r="C34" s="195" t="s">
        <v>248</v>
      </c>
      <c r="D34" s="128">
        <f>G31</f>
        <v>16256948.904455405</v>
      </c>
      <c r="E34" s="142" t="s">
        <v>393</v>
      </c>
      <c r="K34" s="132" t="s">
        <v>394</v>
      </c>
      <c r="L34" s="133" t="str">
        <f>IF(('F- CFyU'!H10-'F- CFyU'!H16-'F- CFyU'!H19-'F- CFyU'!H17)=G31,"OK","MAL")</f>
        <v>OK</v>
      </c>
    </row>
    <row r="35" spans="3:12" x14ac:dyDescent="0.2">
      <c r="C35" s="195" t="s">
        <v>249</v>
      </c>
      <c r="D35" s="129">
        <f>4-H28/G29</f>
        <v>4.0313597924985087</v>
      </c>
      <c r="E35" s="142" t="s">
        <v>395</v>
      </c>
      <c r="K35" s="536" t="s">
        <v>396</v>
      </c>
      <c r="L35" s="536"/>
    </row>
    <row r="36" spans="3:12" x14ac:dyDescent="0.2">
      <c r="C36" s="195" t="s">
        <v>397</v>
      </c>
      <c r="D36" s="130">
        <f>IRR(G24:G29)</f>
        <v>0.26939116757634096</v>
      </c>
      <c r="K36" s="132" t="s">
        <v>398</v>
      </c>
      <c r="L36" s="133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16" zoomScale="70" zoomScaleNormal="70" workbookViewId="0">
      <selection activeCell="G56" sqref="G56"/>
    </sheetView>
  </sheetViews>
  <sheetFormatPr baseColWidth="10" defaultColWidth="11.28515625" defaultRowHeight="12.75" x14ac:dyDescent="0.2"/>
  <cols>
    <col min="1" max="1" width="45.28515625" style="16" customWidth="1"/>
    <col min="2" max="6" width="14.7109375" style="16" customWidth="1"/>
    <col min="7" max="7" width="16" style="16" customWidth="1"/>
    <col min="8" max="16384" width="11.28515625" style="16"/>
  </cols>
  <sheetData>
    <row r="1" spans="1:5" x14ac:dyDescent="0.2">
      <c r="A1" s="1" t="s">
        <v>49</v>
      </c>
      <c r="B1"/>
      <c r="C1"/>
      <c r="D1"/>
      <c r="E1" s="2">
        <f>InfoInicial!E1</f>
        <v>9</v>
      </c>
    </row>
    <row r="3" spans="1:5" ht="16.5" thickTop="1" x14ac:dyDescent="0.25">
      <c r="A3" s="17" t="s">
        <v>50</v>
      </c>
      <c r="B3" s="494" t="s">
        <v>51</v>
      </c>
      <c r="C3" s="494"/>
      <c r="D3" s="495" t="s">
        <v>52</v>
      </c>
      <c r="E3" s="495"/>
    </row>
    <row r="4" spans="1:5" ht="16.5" thickBot="1" x14ac:dyDescent="0.3">
      <c r="A4" s="20"/>
      <c r="B4" s="21" t="s">
        <v>53</v>
      </c>
      <c r="C4" s="21" t="s">
        <v>54</v>
      </c>
      <c r="D4" s="21" t="s">
        <v>53</v>
      </c>
      <c r="E4" s="22" t="s">
        <v>54</v>
      </c>
    </row>
    <row r="5" spans="1:5" ht="13.5" thickTop="1" x14ac:dyDescent="0.2">
      <c r="A5" s="23"/>
      <c r="B5" s="24"/>
      <c r="C5" s="24"/>
      <c r="D5" s="24"/>
      <c r="E5" s="24"/>
    </row>
    <row r="6" spans="1:5" x14ac:dyDescent="0.2">
      <c r="A6" s="25" t="s">
        <v>55</v>
      </c>
      <c r="B6" s="26"/>
      <c r="C6" s="26"/>
      <c r="D6" s="26"/>
      <c r="E6" s="26"/>
    </row>
    <row r="7" spans="1:5" x14ac:dyDescent="0.2">
      <c r="A7" s="27" t="s">
        <v>56</v>
      </c>
      <c r="B7" s="28">
        <f>Auxiliar!B2</f>
        <v>9050500</v>
      </c>
      <c r="C7" s="28"/>
      <c r="D7" s="28"/>
      <c r="E7" s="28"/>
    </row>
    <row r="8" spans="1:5" x14ac:dyDescent="0.2">
      <c r="A8" s="27" t="s">
        <v>57</v>
      </c>
      <c r="B8" s="28">
        <f>Auxiliar!B3</f>
        <v>1037500</v>
      </c>
      <c r="C8" s="28"/>
      <c r="D8" s="28"/>
      <c r="E8" s="28"/>
    </row>
    <row r="9" spans="1:5" x14ac:dyDescent="0.2">
      <c r="A9" s="27" t="s">
        <v>58</v>
      </c>
      <c r="B9" s="28">
        <f>Auxiliar!B4</f>
        <v>830000</v>
      </c>
      <c r="C9" s="28"/>
      <c r="D9" s="28"/>
      <c r="E9" s="28"/>
    </row>
    <row r="10" spans="1:5" x14ac:dyDescent="0.2">
      <c r="A10" s="27" t="s">
        <v>59</v>
      </c>
      <c r="B10" s="28"/>
      <c r="C10" s="28"/>
      <c r="D10" s="28"/>
      <c r="E10" s="28"/>
    </row>
    <row r="11" spans="1:5" x14ac:dyDescent="0.2">
      <c r="A11" s="27" t="s">
        <v>60</v>
      </c>
      <c r="B11" s="28"/>
      <c r="C11" s="28"/>
      <c r="D11" s="28"/>
      <c r="E11" s="28"/>
    </row>
    <row r="12" spans="1:5" x14ac:dyDescent="0.2">
      <c r="A12" s="27" t="s">
        <v>61</v>
      </c>
      <c r="B12" s="28">
        <f>Auxiliar!B7</f>
        <v>30640</v>
      </c>
      <c r="C12" s="28"/>
      <c r="D12" s="28"/>
      <c r="E12" s="28"/>
    </row>
    <row r="13" spans="1:5" x14ac:dyDescent="0.2">
      <c r="A13" s="29" t="s">
        <v>62</v>
      </c>
      <c r="B13" s="28">
        <v>0</v>
      </c>
      <c r="C13" s="28"/>
      <c r="D13" s="28"/>
      <c r="E13" s="28"/>
    </row>
    <row r="14" spans="1:5" x14ac:dyDescent="0.2">
      <c r="A14" s="27" t="s">
        <v>63</v>
      </c>
      <c r="B14" s="28">
        <f>Auxiliar!B9</f>
        <v>0</v>
      </c>
      <c r="C14" s="28"/>
      <c r="D14" s="28"/>
      <c r="E14" s="28"/>
    </row>
    <row r="15" spans="1:5" x14ac:dyDescent="0.2">
      <c r="A15" s="27" t="s">
        <v>64</v>
      </c>
      <c r="B15" s="28">
        <f>Auxiliar!B10</f>
        <v>140000</v>
      </c>
      <c r="C15" s="28"/>
      <c r="D15" s="28"/>
      <c r="E15" s="28"/>
    </row>
    <row r="16" spans="1:5" x14ac:dyDescent="0.2">
      <c r="A16" s="27" t="s">
        <v>65</v>
      </c>
      <c r="B16" s="28">
        <f>Auxiliar!B11</f>
        <v>143250</v>
      </c>
      <c r="C16" s="28"/>
      <c r="D16" s="28"/>
      <c r="E16" s="28"/>
    </row>
    <row r="17" spans="1:5" x14ac:dyDescent="0.2">
      <c r="A17" s="27" t="s">
        <v>66</v>
      </c>
      <c r="B17" s="28">
        <v>0</v>
      </c>
      <c r="C17" s="28"/>
      <c r="D17" s="28"/>
      <c r="E17" s="28"/>
    </row>
    <row r="18" spans="1:5" x14ac:dyDescent="0.2">
      <c r="A18" s="27" t="s">
        <v>21</v>
      </c>
      <c r="B18" s="28">
        <f>Auxiliar!B13</f>
        <v>91511.2</v>
      </c>
      <c r="C18" s="28"/>
      <c r="D18" s="28"/>
      <c r="E18" s="28"/>
    </row>
    <row r="19" spans="1:5" x14ac:dyDescent="0.2">
      <c r="A19" s="27"/>
      <c r="B19" s="28"/>
      <c r="C19" s="28"/>
      <c r="D19" s="28"/>
      <c r="E19" s="28"/>
    </row>
    <row r="20" spans="1:5" x14ac:dyDescent="0.2">
      <c r="A20" s="25" t="s">
        <v>67</v>
      </c>
      <c r="B20" s="28">
        <f>SUM(B7:B18)</f>
        <v>11323401.199999999</v>
      </c>
      <c r="C20" s="28"/>
      <c r="D20" s="28"/>
      <c r="E20" s="28"/>
    </row>
    <row r="21" spans="1:5" x14ac:dyDescent="0.2">
      <c r="A21" s="27"/>
      <c r="B21" s="30"/>
      <c r="C21" s="30"/>
      <c r="D21" s="30"/>
      <c r="E21" s="30"/>
    </row>
    <row r="22" spans="1:5" x14ac:dyDescent="0.2">
      <c r="A22" s="25" t="s">
        <v>68</v>
      </c>
      <c r="B22" s="30"/>
      <c r="C22" s="30"/>
      <c r="D22" s="30"/>
      <c r="E22" s="30"/>
    </row>
    <row r="23" spans="1:5" x14ac:dyDescent="0.2">
      <c r="A23" s="27" t="s">
        <v>69</v>
      </c>
      <c r="B23" s="28">
        <f>Auxiliar!B28</f>
        <v>100000</v>
      </c>
      <c r="C23" s="28">
        <v>0</v>
      </c>
      <c r="D23" s="28"/>
      <c r="E23" s="28"/>
    </row>
    <row r="24" spans="1:5" x14ac:dyDescent="0.2">
      <c r="A24" s="27" t="s">
        <v>70</v>
      </c>
      <c r="B24" s="28">
        <f>Auxiliar!B29</f>
        <v>35000</v>
      </c>
      <c r="C24" s="28">
        <v>0</v>
      </c>
      <c r="D24" s="28"/>
      <c r="E24" s="28"/>
    </row>
    <row r="25" spans="1:5" x14ac:dyDescent="0.2">
      <c r="A25" s="27" t="s">
        <v>71</v>
      </c>
      <c r="B25" s="28">
        <f>Auxiliar!B30</f>
        <v>330000</v>
      </c>
      <c r="C25" s="28">
        <v>0</v>
      </c>
      <c r="D25" s="28"/>
      <c r="E25" s="28"/>
    </row>
    <row r="26" spans="1:5" x14ac:dyDescent="0.2">
      <c r="A26" s="29" t="s">
        <v>72</v>
      </c>
      <c r="B26" s="28">
        <v>0</v>
      </c>
      <c r="C26" s="28">
        <f>Auxiliar!C31</f>
        <v>349272.28200000001</v>
      </c>
      <c r="D26" s="28"/>
      <c r="E26" s="28"/>
    </row>
    <row r="27" spans="1:5" x14ac:dyDescent="0.2">
      <c r="A27" s="29" t="s">
        <v>73</v>
      </c>
      <c r="B27" s="28">
        <v>0</v>
      </c>
      <c r="C27" s="28">
        <v>0</v>
      </c>
      <c r="D27" s="28"/>
      <c r="E27" s="28"/>
    </row>
    <row r="28" spans="1:5" x14ac:dyDescent="0.2">
      <c r="A28" s="29" t="s">
        <v>74</v>
      </c>
      <c r="B28" s="28">
        <v>0</v>
      </c>
      <c r="C28" s="28">
        <v>0</v>
      </c>
      <c r="D28" s="28"/>
      <c r="E28" s="28"/>
    </row>
    <row r="29" spans="1:5" x14ac:dyDescent="0.2">
      <c r="A29" s="27" t="s">
        <v>21</v>
      </c>
      <c r="B29" s="28">
        <f>SUM(B23:B28)*0.08</f>
        <v>37200</v>
      </c>
      <c r="C29" s="28">
        <f>SUM(C23:C28)*0.08</f>
        <v>27941.78256</v>
      </c>
      <c r="D29" s="28"/>
      <c r="E29" s="28"/>
    </row>
    <row r="30" spans="1:5" x14ac:dyDescent="0.2">
      <c r="A30" s="27"/>
      <c r="B30" s="28"/>
      <c r="C30" s="28"/>
      <c r="D30" s="28"/>
      <c r="E30" s="28"/>
    </row>
    <row r="31" spans="1:5" x14ac:dyDescent="0.2">
      <c r="A31" s="25" t="s">
        <v>75</v>
      </c>
      <c r="B31" s="28">
        <f>SUM(B23:B29)</f>
        <v>502200</v>
      </c>
      <c r="C31" s="28">
        <f>SUM(C23:C29)</f>
        <v>377214.06456000003</v>
      </c>
      <c r="D31" s="28"/>
      <c r="E31" s="28"/>
    </row>
    <row r="32" spans="1:5" x14ac:dyDescent="0.2">
      <c r="A32" s="27"/>
      <c r="B32" s="30"/>
      <c r="C32" s="30"/>
      <c r="D32" s="30"/>
      <c r="E32" s="30"/>
    </row>
    <row r="33" spans="1:7" x14ac:dyDescent="0.2">
      <c r="A33" s="25" t="s">
        <v>76</v>
      </c>
      <c r="B33" s="28">
        <f>B20+B31</f>
        <v>11825601.199999999</v>
      </c>
      <c r="C33" s="28">
        <f>C31</f>
        <v>377214.06456000003</v>
      </c>
      <c r="D33" s="28"/>
      <c r="E33" s="28"/>
      <c r="F33" s="269"/>
    </row>
    <row r="34" spans="1:7" x14ac:dyDescent="0.2">
      <c r="A34" s="25" t="s">
        <v>77</v>
      </c>
      <c r="B34" s="28">
        <f>0.21*B33</f>
        <v>2483376.2519999999</v>
      </c>
      <c r="C34" s="28">
        <f>0.21*C33</f>
        <v>79214.953557600005</v>
      </c>
      <c r="D34" s="28"/>
      <c r="E34" s="28"/>
    </row>
    <row r="35" spans="1:7" x14ac:dyDescent="0.2">
      <c r="A35" s="27"/>
      <c r="B35" s="30"/>
      <c r="C35" s="30"/>
      <c r="D35" s="30"/>
      <c r="E35" s="30"/>
    </row>
    <row r="36" spans="1:7" ht="13.5" thickBot="1" x14ac:dyDescent="0.25">
      <c r="A36" s="31" t="s">
        <v>78</v>
      </c>
      <c r="B36" s="32">
        <f>B34+B33</f>
        <v>14308977.452</v>
      </c>
      <c r="C36" s="32">
        <f>C33+C34</f>
        <v>456429.0181176</v>
      </c>
      <c r="D36" s="32"/>
      <c r="E36" s="32"/>
    </row>
    <row r="37" spans="1:7" ht="13.5" thickTop="1" x14ac:dyDescent="0.2"/>
    <row r="38" spans="1:7" ht="13.5" thickBot="1" x14ac:dyDescent="0.25"/>
    <row r="39" spans="1:7" ht="13.5" thickTop="1" x14ac:dyDescent="0.2">
      <c r="A39" s="33" t="s">
        <v>79</v>
      </c>
      <c r="B39" s="18" t="s">
        <v>80</v>
      </c>
      <c r="C39" s="18" t="s">
        <v>81</v>
      </c>
      <c r="D39" s="494" t="s">
        <v>82</v>
      </c>
      <c r="E39" s="494"/>
      <c r="F39" s="494"/>
    </row>
    <row r="40" spans="1:7" ht="13.5" thickBot="1" x14ac:dyDescent="0.25">
      <c r="A40" s="34"/>
      <c r="B40" s="21" t="s">
        <v>83</v>
      </c>
      <c r="C40" s="21"/>
      <c r="D40" s="21" t="s">
        <v>84</v>
      </c>
      <c r="E40" s="21" t="s">
        <v>85</v>
      </c>
      <c r="F40" s="102" t="s">
        <v>426</v>
      </c>
      <c r="G40" s="307" t="s">
        <v>527</v>
      </c>
    </row>
    <row r="41" spans="1:7" ht="13.5" thickTop="1" x14ac:dyDescent="0.2">
      <c r="A41" s="35" t="s">
        <v>86</v>
      </c>
      <c r="B41" s="36"/>
      <c r="C41" s="36"/>
      <c r="D41" s="36"/>
      <c r="E41" s="36"/>
      <c r="F41" s="302"/>
      <c r="G41" s="308"/>
    </row>
    <row r="42" spans="1:7" x14ac:dyDescent="0.2">
      <c r="A42" s="38"/>
      <c r="B42" s="39"/>
      <c r="C42" s="39"/>
      <c r="D42" s="39"/>
      <c r="E42" s="39"/>
      <c r="F42" s="303"/>
      <c r="G42" s="308"/>
    </row>
    <row r="43" spans="1:7" x14ac:dyDescent="0.2">
      <c r="A43" s="27" t="s">
        <v>56</v>
      </c>
      <c r="B43" s="28">
        <f>B7</f>
        <v>9050500</v>
      </c>
      <c r="C43" s="28"/>
      <c r="D43" s="215">
        <f>B43*C43</f>
        <v>0</v>
      </c>
      <c r="E43" s="28">
        <f>C43*D43</f>
        <v>0</v>
      </c>
      <c r="F43" s="304"/>
      <c r="G43" s="309">
        <f>B43-3*D43-2*E43</f>
        <v>9050500</v>
      </c>
    </row>
    <row r="44" spans="1:7" x14ac:dyDescent="0.2">
      <c r="A44" s="27" t="s">
        <v>57</v>
      </c>
      <c r="B44" s="28">
        <f>B8</f>
        <v>1037500</v>
      </c>
      <c r="C44" s="216">
        <v>3.3333333333333333E-2</v>
      </c>
      <c r="D44" s="215">
        <f>$B$44*$C$44</f>
        <v>34583.333333333336</v>
      </c>
      <c r="E44" s="28">
        <f>$B$44*$C$44</f>
        <v>34583.333333333336</v>
      </c>
      <c r="F44" s="304"/>
      <c r="G44" s="309">
        <f t="shared" ref="G44:G50" si="0">B44-3*D44-2*E44</f>
        <v>864583.33333333337</v>
      </c>
    </row>
    <row r="45" spans="1:7" x14ac:dyDescent="0.2">
      <c r="A45" s="27" t="s">
        <v>58</v>
      </c>
      <c r="B45" s="28">
        <f>B9</f>
        <v>830000</v>
      </c>
      <c r="C45" s="216">
        <v>0.1</v>
      </c>
      <c r="D45" s="215">
        <f>$B$45*$C$45</f>
        <v>83000</v>
      </c>
      <c r="E45" s="28">
        <f>$B$45*$C$45</f>
        <v>83000</v>
      </c>
      <c r="F45" s="304"/>
      <c r="G45" s="309">
        <f t="shared" si="0"/>
        <v>415000</v>
      </c>
    </row>
    <row r="46" spans="1:7" x14ac:dyDescent="0.2">
      <c r="A46" s="29" t="s">
        <v>59</v>
      </c>
      <c r="B46" s="28">
        <f>Auxiliar!B52</f>
        <v>29675</v>
      </c>
      <c r="C46" s="216">
        <v>0.1</v>
      </c>
      <c r="D46" s="215">
        <f>$B$46*$C$46</f>
        <v>2967.5</v>
      </c>
      <c r="E46" s="28">
        <f>$B$46*$C$46</f>
        <v>2967.5</v>
      </c>
      <c r="F46" s="304"/>
      <c r="G46" s="309">
        <f t="shared" si="0"/>
        <v>14837.5</v>
      </c>
    </row>
    <row r="47" spans="1:7" x14ac:dyDescent="0.2">
      <c r="A47" s="29" t="s">
        <v>64</v>
      </c>
      <c r="B47" s="28">
        <f>B15</f>
        <v>140000</v>
      </c>
      <c r="C47" s="216">
        <v>0.2</v>
      </c>
      <c r="D47" s="215">
        <f>$B$47*$C$47</f>
        <v>28000</v>
      </c>
      <c r="E47" s="28">
        <f>$B$47*$C$47</f>
        <v>28000</v>
      </c>
      <c r="F47" s="304"/>
      <c r="G47" s="309">
        <f t="shared" si="0"/>
        <v>0</v>
      </c>
    </row>
    <row r="48" spans="1:7" x14ac:dyDescent="0.2">
      <c r="A48" s="29" t="s">
        <v>65</v>
      </c>
      <c r="B48" s="28">
        <f>B16</f>
        <v>143250</v>
      </c>
      <c r="C48" s="216">
        <v>0.2</v>
      </c>
      <c r="D48" s="215">
        <f>$B$48*$C$48</f>
        <v>28650</v>
      </c>
      <c r="E48" s="28">
        <f>$B$48*$C$48</f>
        <v>28650</v>
      </c>
      <c r="F48" s="304"/>
      <c r="G48" s="309">
        <f t="shared" si="0"/>
        <v>0</v>
      </c>
    </row>
    <row r="49" spans="1:9" x14ac:dyDescent="0.2">
      <c r="A49" s="29" t="s">
        <v>21</v>
      </c>
      <c r="B49" s="28">
        <f>B18</f>
        <v>91511.2</v>
      </c>
      <c r="C49" s="216">
        <v>0.2</v>
      </c>
      <c r="D49" s="215">
        <f>$B$49*$C$49</f>
        <v>18302.240000000002</v>
      </c>
      <c r="E49" s="28">
        <f>$B$49*$C$49</f>
        <v>18302.240000000002</v>
      </c>
      <c r="F49" s="304"/>
      <c r="G49" s="309">
        <f t="shared" si="0"/>
        <v>0</v>
      </c>
    </row>
    <row r="50" spans="1:9" x14ac:dyDescent="0.2">
      <c r="A50" s="29" t="s">
        <v>87</v>
      </c>
      <c r="B50" s="28">
        <f>Auxiliar!B56</f>
        <v>965</v>
      </c>
      <c r="C50" s="270">
        <v>0.33333333333333331</v>
      </c>
      <c r="D50" s="215">
        <f>B50*C50</f>
        <v>321.66666666666663</v>
      </c>
      <c r="E50" s="28">
        <v>0</v>
      </c>
      <c r="F50" s="304"/>
      <c r="G50" s="309">
        <f t="shared" si="0"/>
        <v>1.1368683772161603E-13</v>
      </c>
    </row>
    <row r="51" spans="1:9" x14ac:dyDescent="0.2">
      <c r="A51" s="42" t="s">
        <v>88</v>
      </c>
      <c r="B51" s="28">
        <f>SUM(B43:B50)</f>
        <v>11323401.199999999</v>
      </c>
      <c r="C51" s="216"/>
      <c r="D51" s="28">
        <f>SUM(D43:D50)</f>
        <v>195824.74</v>
      </c>
      <c r="E51" s="28">
        <f>SUM(E43:E50)</f>
        <v>195503.07333333333</v>
      </c>
      <c r="F51" s="304"/>
      <c r="G51" s="309">
        <f>SUM(G43:G50)</f>
        <v>10344920.833333334</v>
      </c>
      <c r="I51" s="271"/>
    </row>
    <row r="52" spans="1:9" x14ac:dyDescent="0.2">
      <c r="A52" s="25"/>
      <c r="B52" s="43"/>
      <c r="C52" s="217"/>
      <c r="D52" s="44"/>
      <c r="E52" s="44"/>
      <c r="F52" s="305"/>
      <c r="G52" s="309"/>
    </row>
    <row r="53" spans="1:9" x14ac:dyDescent="0.2">
      <c r="A53" s="42" t="s">
        <v>89</v>
      </c>
      <c r="B53" s="28">
        <f>Auxiliar!B59</f>
        <v>879414.06456000009</v>
      </c>
      <c r="C53" s="216">
        <v>0.2</v>
      </c>
      <c r="D53" s="28">
        <f>$B$53*$C$53</f>
        <v>175882.81291200002</v>
      </c>
      <c r="E53" s="28">
        <f>$B$53*$C$53</f>
        <v>175882.81291200002</v>
      </c>
      <c r="F53" s="304"/>
      <c r="G53" s="309"/>
    </row>
    <row r="54" spans="1:9" x14ac:dyDescent="0.2">
      <c r="A54" s="42"/>
      <c r="B54" s="28"/>
      <c r="C54" s="28"/>
      <c r="D54" s="28"/>
      <c r="E54" s="28"/>
      <c r="F54" s="304"/>
      <c r="G54" s="309"/>
    </row>
    <row r="55" spans="1:9" x14ac:dyDescent="0.2">
      <c r="A55" s="25"/>
      <c r="B55" s="26"/>
      <c r="C55" s="26"/>
      <c r="D55" s="46"/>
      <c r="E55" s="47"/>
      <c r="F55" s="306"/>
      <c r="G55" s="309"/>
    </row>
    <row r="56" spans="1:9" ht="13.5" thickBot="1" x14ac:dyDescent="0.25">
      <c r="A56" s="31" t="s">
        <v>90</v>
      </c>
      <c r="B56" s="32">
        <f>(B53+B51)</f>
        <v>12202815.264559999</v>
      </c>
      <c r="C56" s="32"/>
      <c r="D56" s="32">
        <f>D51+D53</f>
        <v>371707.55291199998</v>
      </c>
      <c r="E56" s="32">
        <f>E51+E53</f>
        <v>371385.88624533336</v>
      </c>
      <c r="F56" s="181"/>
      <c r="G56" s="310">
        <f>G51</f>
        <v>10344920.833333334</v>
      </c>
    </row>
    <row r="57" spans="1:9" ht="13.5" thickTop="1" x14ac:dyDescent="0.2"/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49"/>
  <sheetViews>
    <sheetView topLeftCell="A132" zoomScale="90" zoomScaleNormal="90" workbookViewId="0">
      <selection activeCell="C141" sqref="C141"/>
    </sheetView>
  </sheetViews>
  <sheetFormatPr baseColWidth="10" defaultColWidth="11.28515625" defaultRowHeight="12.75" x14ac:dyDescent="0.2"/>
  <cols>
    <col min="1" max="1" width="40.85546875" style="16" customWidth="1"/>
    <col min="2" max="2" width="37" style="16" bestFit="1" customWidth="1"/>
    <col min="3" max="4" width="16" style="16" bestFit="1" customWidth="1"/>
    <col min="5" max="5" width="16.85546875" style="16" customWidth="1"/>
    <col min="6" max="6" width="16" style="16" bestFit="1" customWidth="1"/>
    <col min="7" max="7" width="17.28515625" style="16" customWidth="1"/>
    <col min="8" max="8" width="18.5703125" style="16" bestFit="1" customWidth="1"/>
    <col min="9" max="9" width="46" style="16" bestFit="1" customWidth="1"/>
    <col min="10" max="11" width="16" style="16" bestFit="1" customWidth="1"/>
    <col min="12" max="12" width="26.85546875" style="16" bestFit="1" customWidth="1"/>
    <col min="13" max="16384" width="11.28515625" style="16"/>
  </cols>
  <sheetData>
    <row r="3" spans="1:6" x14ac:dyDescent="0.2">
      <c r="A3" s="1" t="s">
        <v>0</v>
      </c>
      <c r="B3"/>
      <c r="C3"/>
      <c r="D3"/>
      <c r="E3" s="2">
        <f>InfoInicial!E1</f>
        <v>9</v>
      </c>
    </row>
    <row r="4" spans="1:6" ht="16.5" thickTop="1" x14ac:dyDescent="0.25">
      <c r="A4" s="49" t="s">
        <v>91</v>
      </c>
      <c r="B4" s="50"/>
      <c r="C4" s="50"/>
      <c r="D4" s="50"/>
      <c r="E4" s="50"/>
      <c r="F4" s="51"/>
    </row>
    <row r="5" spans="1:6" x14ac:dyDescent="0.2">
      <c r="A5" s="52"/>
      <c r="B5" s="53" t="s">
        <v>92</v>
      </c>
      <c r="C5" s="53"/>
      <c r="D5" s="53"/>
      <c r="E5" s="53"/>
      <c r="F5" s="54"/>
    </row>
    <row r="6" spans="1:6" ht="13.5" thickBot="1" x14ac:dyDescent="0.25">
      <c r="A6" s="52" t="s">
        <v>93</v>
      </c>
      <c r="B6" s="21" t="s">
        <v>54</v>
      </c>
      <c r="C6" s="21" t="s">
        <v>94</v>
      </c>
      <c r="D6" s="21" t="s">
        <v>95</v>
      </c>
      <c r="E6" s="21" t="s">
        <v>96</v>
      </c>
      <c r="F6" s="22" t="s">
        <v>97</v>
      </c>
    </row>
    <row r="7" spans="1:6" ht="13.5" thickTop="1" x14ac:dyDescent="0.2">
      <c r="A7" s="23" t="s">
        <v>98</v>
      </c>
      <c r="B7" s="55">
        <f>Auxiliar!B77*Auxiliar!F107</f>
        <v>6685058.6096000001</v>
      </c>
      <c r="C7" s="55">
        <f>Auxiliar!$B$77*Auxiliar!$F$108</f>
        <v>11012544.0656</v>
      </c>
      <c r="D7" s="274">
        <f>Auxiliar!$B$77*Auxiliar!$F$108</f>
        <v>11012544.0656</v>
      </c>
      <c r="E7" s="274">
        <f>Auxiliar!$B$77*Auxiliar!$F$108</f>
        <v>11012544.0656</v>
      </c>
      <c r="F7" s="274">
        <f>Auxiliar!$B$77*Auxiliar!$F$108</f>
        <v>11012544.0656</v>
      </c>
    </row>
    <row r="8" spans="1:6" x14ac:dyDescent="0.2">
      <c r="A8" s="27" t="s">
        <v>99</v>
      </c>
      <c r="B8" s="57">
        <f>C8*0.95</f>
        <v>50825</v>
      </c>
      <c r="C8" s="57">
        <f>Auxiliar!$B$86</f>
        <v>53500</v>
      </c>
      <c r="D8" s="57">
        <f>Auxiliar!$B$86</f>
        <v>53500</v>
      </c>
      <c r="E8" s="57">
        <f>Auxiliar!$B$86</f>
        <v>53500</v>
      </c>
      <c r="F8" s="57">
        <f>Auxiliar!$B$86</f>
        <v>53500</v>
      </c>
    </row>
    <row r="9" spans="1:6" x14ac:dyDescent="0.2">
      <c r="A9" s="27" t="s">
        <v>100</v>
      </c>
      <c r="B9" s="57"/>
      <c r="C9" s="57"/>
      <c r="D9" s="57"/>
      <c r="E9" s="57"/>
      <c r="F9" s="41"/>
    </row>
    <row r="10" spans="1:6" x14ac:dyDescent="0.2">
      <c r="A10" s="27" t="s">
        <v>101</v>
      </c>
      <c r="B10" s="57">
        <f>'E-Inv AF y Am'!$D$56*0.9</f>
        <v>334536.79762079997</v>
      </c>
      <c r="C10" s="57">
        <f>'E-Inv AF y Am'!$D$56*0.9</f>
        <v>334536.79762079997</v>
      </c>
      <c r="D10" s="57">
        <f>'E-Inv AF y Am'!$D$56*0.9</f>
        <v>334536.79762079997</v>
      </c>
      <c r="E10" s="57">
        <f>0.9*'E-Inv AF y Am'!$E$56</f>
        <v>334247.29762080003</v>
      </c>
      <c r="F10" s="57">
        <f>0.9*'E-Inv AF y Am'!$E$56</f>
        <v>334247.29762080003</v>
      </c>
    </row>
    <row r="11" spans="1:6" x14ac:dyDescent="0.2">
      <c r="A11" s="27" t="s">
        <v>102</v>
      </c>
      <c r="B11" s="57">
        <f>C11*0.9</f>
        <v>387630</v>
      </c>
      <c r="C11" s="57">
        <f>Auxiliar!$B$85</f>
        <v>430700</v>
      </c>
      <c r="D11" s="57">
        <f>Auxiliar!$B$85</f>
        <v>430700</v>
      </c>
      <c r="E11" s="57">
        <f>Auxiliar!$B$85</f>
        <v>430700</v>
      </c>
      <c r="F11" s="57">
        <f>Auxiliar!$B$85</f>
        <v>430700</v>
      </c>
    </row>
    <row r="12" spans="1:6" x14ac:dyDescent="0.2">
      <c r="A12" s="27" t="s">
        <v>103</v>
      </c>
      <c r="B12" s="57">
        <f>C12*0.9</f>
        <v>244687.4340336</v>
      </c>
      <c r="C12" s="57">
        <f>('E-Inv AF y Am'!$B$20*0.9*0.01+('E-Inv AF y Am'!$B$12+'E-Inv AF y Am'!$B$14)*0.016)*0.9+$E$7*0.015+($E$8+$E$11)*0.03</f>
        <v>271874.92670399998</v>
      </c>
      <c r="D12" s="57">
        <f>('E-Inv AF y Am'!$B$20*0.9*0.01+('E-Inv AF y Am'!$B$12+'E-Inv AF y Am'!$B$14)*0.016)*0.9+$E$7*0.015+($E$8+$E$11)*0.03</f>
        <v>271874.92670399998</v>
      </c>
      <c r="E12" s="57">
        <f>'E-Inv AF y Am'!$B$20*0.9*0.01+('E-Inv AF y Am'!$B$12+'E-Inv AF y Am'!$B$14)*0.016+$E$7*0.015+($E$8+$E$11)*0.03</f>
        <v>282115.01178399997</v>
      </c>
      <c r="F12" s="57">
        <f>'E-Inv AF y Am'!$B$20*0.9*0.01+('E-Inv AF y Am'!$B$12+'E-Inv AF y Am'!$B$14)*0.016+$E$7*0.015+($E$8+$E$11)*0.03</f>
        <v>282115.01178399997</v>
      </c>
    </row>
    <row r="13" spans="1:6" x14ac:dyDescent="0.2">
      <c r="A13" s="27" t="s">
        <v>104</v>
      </c>
      <c r="B13" s="57">
        <f>C13*0.95</f>
        <v>39553.817282999997</v>
      </c>
      <c r="C13" s="57">
        <f>Auxiliar!$F$73</f>
        <v>41635.597139999998</v>
      </c>
      <c r="D13" s="57">
        <f>Auxiliar!$F$73</f>
        <v>41635.597139999998</v>
      </c>
      <c r="E13" s="57">
        <f>Auxiliar!$F$73</f>
        <v>41635.597139999998</v>
      </c>
      <c r="F13" s="57">
        <f>Auxiliar!$F$73</f>
        <v>41635.597139999998</v>
      </c>
    </row>
    <row r="14" spans="1:6" x14ac:dyDescent="0.2">
      <c r="A14" s="27" t="s">
        <v>105</v>
      </c>
      <c r="B14" s="57">
        <f>C14*0.5</f>
        <v>15285.8</v>
      </c>
      <c r="C14" s="57">
        <f>Auxiliar!$F$76</f>
        <v>30571.599999999999</v>
      </c>
      <c r="D14" s="57">
        <f>Auxiliar!$F$76</f>
        <v>30571.599999999999</v>
      </c>
      <c r="E14" s="57">
        <f>Auxiliar!$F$76</f>
        <v>30571.599999999999</v>
      </c>
      <c r="F14" s="57">
        <f>Auxiliar!$F$76</f>
        <v>30571.599999999999</v>
      </c>
    </row>
    <row r="15" spans="1:6" x14ac:dyDescent="0.2">
      <c r="A15" s="27" t="s">
        <v>106</v>
      </c>
      <c r="B15" s="57">
        <f>('E-Inv AF y Am'!$B$7+'E-Inv AF y Am'!$B$8)*0.008*0.9+('E-Inv AF y Am'!$B$7+'E-Inv AF y Am'!$B$8)*0.01*0.9+'E-Inv AF y Am'!$B$15*0.03</f>
        <v>167625.60000000001</v>
      </c>
      <c r="C15" s="57">
        <f>('E-Inv AF y Am'!$B$7+'E-Inv AF y Am'!$B$8)*0.008*0.9+('E-Inv AF y Am'!$B$7+'E-Inv AF y Am'!$B$8)*0.01*0.9+'E-Inv AF y Am'!$B$15*0.03</f>
        <v>167625.60000000001</v>
      </c>
      <c r="D15" s="57">
        <f>('E-Inv AF y Am'!$B$7+'E-Inv AF y Am'!$B$8)*0.008*0.9+('E-Inv AF y Am'!$B$7+'E-Inv AF y Am'!$B$8)*0.01*0.9+'E-Inv AF y Am'!$B$15*0.03</f>
        <v>167625.60000000001</v>
      </c>
      <c r="E15" s="57">
        <f>('E-Inv AF y Am'!$B$7+'E-Inv AF y Am'!$B$8)*0.008*0.9+('E-Inv AF y Am'!$B$7+'E-Inv AF y Am'!$B$8)*0.01*0.9+'E-Inv AF y Am'!$B$15*0.03</f>
        <v>167625.60000000001</v>
      </c>
      <c r="F15" s="57">
        <f>('E-Inv AF y Am'!$B$7+'E-Inv AF y Am'!$B$8)*0.008*0.9+('E-Inv AF y Am'!$B$7+'E-Inv AF y Am'!$B$8)*0.01*0.9+'E-Inv AF y Am'!$B$15*0.03</f>
        <v>167625.60000000001</v>
      </c>
    </row>
    <row r="16" spans="1:6" x14ac:dyDescent="0.2">
      <c r="A16" s="27" t="s">
        <v>21</v>
      </c>
      <c r="B16" s="57">
        <f>SUM(B7:B15)*0.08</f>
        <v>634016.24468299199</v>
      </c>
      <c r="C16" s="57">
        <f>SUM(C7:C15)*0.08</f>
        <v>987439.08696518396</v>
      </c>
      <c r="D16" s="57">
        <f>SUM(D7:D15)*0.08</f>
        <v>987439.08696518396</v>
      </c>
      <c r="E16" s="57">
        <f>SUM(E7:E15)*0.08</f>
        <v>988235.1337715839</v>
      </c>
      <c r="F16" s="57">
        <f>SUM(F7:F15)*0.08</f>
        <v>988235.1337715839</v>
      </c>
    </row>
    <row r="17" spans="1:10" x14ac:dyDescent="0.2">
      <c r="A17" s="25" t="s">
        <v>107</v>
      </c>
      <c r="B17" s="220">
        <f>SUM($B$7:$B$16)</f>
        <v>8559219.3032203913</v>
      </c>
      <c r="C17" s="220">
        <f>SUM($C$7:$C$16)</f>
        <v>13330427.674029984</v>
      </c>
      <c r="D17" s="220">
        <f>SUM($D$7:$D$16)</f>
        <v>13330427.674029984</v>
      </c>
      <c r="E17" s="220">
        <f>SUM($E$7:$E$16)</f>
        <v>13341174.305916382</v>
      </c>
      <c r="F17" s="220">
        <f>SUM($F$7:$F$16)</f>
        <v>13341174.305916382</v>
      </c>
    </row>
    <row r="18" spans="1:10" x14ac:dyDescent="0.2">
      <c r="A18" s="59"/>
      <c r="B18" s="60"/>
      <c r="C18" s="60"/>
      <c r="D18" s="60"/>
      <c r="E18" s="60"/>
      <c r="F18" s="61"/>
    </row>
    <row r="19" spans="1:10" x14ac:dyDescent="0.2">
      <c r="A19" s="62" t="s">
        <v>108</v>
      </c>
      <c r="B19" s="222">
        <f>((B11+B15)/B17*100)/100</f>
        <v>6.4872224945923054E-2</v>
      </c>
      <c r="C19" s="222">
        <f t="shared" ref="C19:F19" si="0">((C11+C15)/C17*100)/100</f>
        <v>4.4884201364795179E-2</v>
      </c>
      <c r="D19" s="222">
        <f t="shared" si="0"/>
        <v>4.4884201364795179E-2</v>
      </c>
      <c r="E19" s="222">
        <f t="shared" si="0"/>
        <v>4.4848046077522713E-2</v>
      </c>
      <c r="F19" s="222">
        <f t="shared" si="0"/>
        <v>4.4848046077522713E-2</v>
      </c>
    </row>
    <row r="20" spans="1:10" x14ac:dyDescent="0.2">
      <c r="A20" s="34" t="s">
        <v>109</v>
      </c>
      <c r="B20" s="221">
        <f>((B7+B8+B10+B12+B13+B14+B16)/B17*100)/100</f>
        <v>0.93512777505407696</v>
      </c>
      <c r="C20" s="221">
        <f t="shared" ref="C20:F20" si="1">((C7+C8+C10+C12+C13+C14+C16)/C17*100)/100</f>
        <v>0.9551157986352049</v>
      </c>
      <c r="D20" s="221">
        <f t="shared" si="1"/>
        <v>0.9551157986352049</v>
      </c>
      <c r="E20" s="221">
        <f t="shared" si="1"/>
        <v>0.95515195392247731</v>
      </c>
      <c r="F20" s="221">
        <f t="shared" si="1"/>
        <v>0.95515195392247731</v>
      </c>
    </row>
    <row r="22" spans="1:10" ht="13.5" thickTop="1" x14ac:dyDescent="0.2">
      <c r="A22" s="65"/>
      <c r="B22" s="18" t="s">
        <v>110</v>
      </c>
      <c r="C22" s="18"/>
      <c r="D22" s="18"/>
      <c r="E22" s="18"/>
      <c r="F22" s="18"/>
      <c r="G22" s="19"/>
    </row>
    <row r="23" spans="1:10" ht="14.25" x14ac:dyDescent="0.2">
      <c r="A23" s="52"/>
      <c r="B23" s="53" t="s">
        <v>111</v>
      </c>
      <c r="C23" s="53"/>
      <c r="D23" s="53"/>
      <c r="E23" s="53"/>
      <c r="F23" s="53"/>
      <c r="G23" s="54" t="s">
        <v>112</v>
      </c>
      <c r="I23" s="219"/>
    </row>
    <row r="24" spans="1:10" ht="13.5" thickBot="1" x14ac:dyDescent="0.25">
      <c r="A24" s="52" t="s">
        <v>93</v>
      </c>
      <c r="B24" s="66" t="s">
        <v>54</v>
      </c>
      <c r="C24" s="66" t="s">
        <v>94</v>
      </c>
      <c r="D24" s="66" t="s">
        <v>95</v>
      </c>
      <c r="E24" s="66" t="s">
        <v>96</v>
      </c>
      <c r="F24" s="66" t="s">
        <v>97</v>
      </c>
      <c r="G24" s="67" t="s">
        <v>54</v>
      </c>
    </row>
    <row r="25" spans="1:10" ht="15" thickTop="1" x14ac:dyDescent="0.2">
      <c r="A25" s="23" t="s">
        <v>98</v>
      </c>
      <c r="B25" s="55">
        <f>Auxiliar!$F$100*Auxiliar!$B$77</f>
        <v>115942.25439999999</v>
      </c>
      <c r="C25" s="274">
        <f>Auxiliar!$F$100*Auxiliar!$B$77</f>
        <v>115942.25439999999</v>
      </c>
      <c r="D25" s="274">
        <f>Auxiliar!$F$100*Auxiliar!$B$77</f>
        <v>115942.25439999999</v>
      </c>
      <c r="E25" s="274">
        <f>Auxiliar!$F$100*Auxiliar!$B$77</f>
        <v>115942.25439999999</v>
      </c>
      <c r="F25" s="274">
        <f>Auxiliar!$F$100*Auxiliar!$B$77</f>
        <v>115942.25439999999</v>
      </c>
      <c r="G25" s="56">
        <f>J25*J26</f>
        <v>46875.347999999998</v>
      </c>
      <c r="H25" s="16" t="s">
        <v>444</v>
      </c>
      <c r="I25" s="219" t="s">
        <v>533</v>
      </c>
      <c r="J25" s="223">
        <v>32643</v>
      </c>
    </row>
    <row r="26" spans="1:10" x14ac:dyDescent="0.2">
      <c r="A26" s="27" t="s">
        <v>99</v>
      </c>
      <c r="B26" s="57">
        <f>(Auxiliar!$F$102*($C$8/InfoInicial!$B$19))/2</f>
        <v>270.89214135408486</v>
      </c>
      <c r="C26" s="276">
        <f>(Auxiliar!$F$102*($C$8/InfoInicial!$B$19))/2</f>
        <v>270.89214135408486</v>
      </c>
      <c r="D26" s="276">
        <f>(Auxiliar!$F$102*($C$8/InfoInicial!$B$19))/2</f>
        <v>270.89214135408486</v>
      </c>
      <c r="E26" s="276">
        <f>(Auxiliar!$F$102*($C$8/InfoInicial!$B$19))/2</f>
        <v>270.89214135408486</v>
      </c>
      <c r="F26" s="276">
        <f>(Auxiliar!$F$102*($C$8/InfoInicial!$B$19))/2</f>
        <v>270.89214135408486</v>
      </c>
      <c r="G26" s="276">
        <f>(Auxiliar!$F$102*($C$8/InfoInicial!$B$19))/2</f>
        <v>270.89214135408486</v>
      </c>
      <c r="I26" s="16" t="s">
        <v>534</v>
      </c>
      <c r="J26" s="16">
        <v>1.4359999999999999</v>
      </c>
    </row>
    <row r="27" spans="1:10" x14ac:dyDescent="0.2">
      <c r="A27" s="27" t="s">
        <v>100</v>
      </c>
      <c r="B27" s="28"/>
      <c r="C27" s="28"/>
      <c r="D27" s="28"/>
      <c r="E27" s="28"/>
      <c r="F27" s="28"/>
      <c r="G27" s="41"/>
      <c r="I27" s="16" t="s">
        <v>532</v>
      </c>
      <c r="J27" s="16">
        <v>14.36</v>
      </c>
    </row>
    <row r="28" spans="1:10" ht="14.25" x14ac:dyDescent="0.2">
      <c r="A28" s="27" t="s">
        <v>101</v>
      </c>
      <c r="B28" s="57">
        <f>(B10/Auxiliar!F104)*((Auxiliar!F102)/2)</f>
        <v>2258.5138449301071</v>
      </c>
      <c r="C28" s="57">
        <f>($C$10/InfoInicial!B19)*((Auxiliar!F102)/2)</f>
        <v>1693.8951302661053</v>
      </c>
      <c r="D28" s="57">
        <f>($C$10/InfoInicial!B19)*((Auxiliar!F102)/2)</f>
        <v>1693.8951302661053</v>
      </c>
      <c r="E28" s="57">
        <f>($E$10/InfoInicial!B19)*((Auxiliar!F102)/2)</f>
        <v>1692.4292746600868</v>
      </c>
      <c r="F28" s="57">
        <f>($E$10/InfoInicial!B19)*(Auxiliar!F102)/2</f>
        <v>1692.4292746600868</v>
      </c>
      <c r="G28" s="58"/>
      <c r="I28" s="224"/>
      <c r="J28" s="219"/>
    </row>
    <row r="29" spans="1:10" x14ac:dyDescent="0.2">
      <c r="A29" s="27" t="s">
        <v>102</v>
      </c>
      <c r="B29" s="57">
        <f>Auxiliar!B106</f>
        <v>118639.74591814814</v>
      </c>
      <c r="C29" s="57">
        <f>Auxiliar!$B$105</f>
        <v>98867.0238065718</v>
      </c>
      <c r="D29" s="57">
        <f>Auxiliar!$B$105</f>
        <v>98867.0238065718</v>
      </c>
      <c r="E29" s="57">
        <f>Auxiliar!$B$105</f>
        <v>98867.0238065718</v>
      </c>
      <c r="F29" s="57">
        <f>Auxiliar!$B$105</f>
        <v>98867.0238065718</v>
      </c>
      <c r="G29" s="58"/>
    </row>
    <row r="30" spans="1:10" x14ac:dyDescent="0.2">
      <c r="A30" s="27" t="s">
        <v>103</v>
      </c>
      <c r="B30" s="57">
        <f>((C12/InfoInicial!B19)*Auxiliar!F102/2)</f>
        <v>1376.6127303800267</v>
      </c>
      <c r="C30" s="57">
        <f>(($C$12/InfoInicial!B19)*Auxiliar!F102/2)</f>
        <v>1376.6127303800267</v>
      </c>
      <c r="D30" s="57">
        <f>(($C$12/InfoInicial!B19)*Auxiliar!F102/2)</f>
        <v>1376.6127303800267</v>
      </c>
      <c r="E30" s="57">
        <f>(($E$12/InfoInicial!B19)*Auxiliar!F102/2)</f>
        <v>1428.4624233701056</v>
      </c>
      <c r="F30" s="57">
        <f>(($E$12/InfoInicial!B19)*Auxiliar!F102/2)</f>
        <v>1428.4624233701056</v>
      </c>
      <c r="G30" s="58">
        <f>Auxiliar!B114</f>
        <v>39403.453004748626</v>
      </c>
    </row>
    <row r="31" spans="1:10" x14ac:dyDescent="0.2">
      <c r="A31" s="27" t="s">
        <v>113</v>
      </c>
      <c r="B31" s="57">
        <f>C31*1.1</f>
        <v>231.89965742788178</v>
      </c>
      <c r="C31" s="57">
        <f>(($C$13/InfoInicial!$B$19)*Auxiliar!$F$102)/2</f>
        <v>210.81787038898341</v>
      </c>
      <c r="D31" s="57">
        <f>(($C$13/InfoInicial!$B$19)*Auxiliar!$F$102)/2</f>
        <v>210.81787038898341</v>
      </c>
      <c r="E31" s="57">
        <f>(($C$13/InfoInicial!$B$19)*Auxiliar!$F$102)/2</f>
        <v>210.81787038898341</v>
      </c>
      <c r="F31" s="57">
        <f>(($C$13/InfoInicial!$B$19)*Auxiliar!$F$102)/2</f>
        <v>210.81787038898341</v>
      </c>
      <c r="G31" s="58">
        <f>B31*8</f>
        <v>1855.1972594230542</v>
      </c>
    </row>
    <row r="32" spans="1:10" x14ac:dyDescent="0.2">
      <c r="A32" s="27" t="s">
        <v>114</v>
      </c>
      <c r="B32" s="57">
        <f>Auxiliar!$E$79</f>
        <v>154.79637735739328</v>
      </c>
      <c r="C32" s="57">
        <f>Auxiliar!$E$79</f>
        <v>154.79637735739328</v>
      </c>
      <c r="D32" s="57">
        <f>Auxiliar!$E$79</f>
        <v>154.79637735739328</v>
      </c>
      <c r="E32" s="57">
        <f>Auxiliar!$E$79</f>
        <v>154.79637735739328</v>
      </c>
      <c r="F32" s="57">
        <f>Auxiliar!$E$79</f>
        <v>154.79637735739328</v>
      </c>
      <c r="G32" s="58">
        <f>Auxiliar!E80</f>
        <v>5959.3916915521704</v>
      </c>
    </row>
    <row r="33" spans="1:7" x14ac:dyDescent="0.2">
      <c r="A33" s="27" t="s">
        <v>115</v>
      </c>
      <c r="B33" s="57">
        <f>Auxiliar!B118</f>
        <v>1124.0795981307426</v>
      </c>
      <c r="C33" s="57">
        <f>Auxiliar!$B$117</f>
        <v>848.7562192479121</v>
      </c>
      <c r="D33" s="57">
        <f>Auxiliar!$B$117</f>
        <v>848.7562192479121</v>
      </c>
      <c r="E33" s="57">
        <f>Auxiliar!$B$117</f>
        <v>848.7562192479121</v>
      </c>
      <c r="F33" s="57">
        <f>Auxiliar!$B$117</f>
        <v>848.7562192479121</v>
      </c>
      <c r="G33" s="58"/>
    </row>
    <row r="34" spans="1:7" x14ac:dyDescent="0.2">
      <c r="A34" s="27" t="s">
        <v>116</v>
      </c>
      <c r="B34" s="57">
        <f>SUM(B25:B33)*0.08</f>
        <v>19199.903573418269</v>
      </c>
      <c r="C34" s="57">
        <f>SUM(C25:C33)*0.08</f>
        <v>17549.203894045302</v>
      </c>
      <c r="D34" s="57">
        <f>SUM(D25:D33)*0.08</f>
        <v>17549.203894045302</v>
      </c>
      <c r="E34" s="57">
        <f>SUM(E25:E33)*0.08</f>
        <v>17553.234601036027</v>
      </c>
      <c r="F34" s="57">
        <f>SUM(F25:F33)*0.08</f>
        <v>17553.234601036027</v>
      </c>
      <c r="G34" s="58"/>
    </row>
    <row r="35" spans="1:7" x14ac:dyDescent="0.2">
      <c r="A35" s="34" t="s">
        <v>117</v>
      </c>
      <c r="B35" s="63">
        <f>SUM($B$25:$B$34)</f>
        <v>259198.69824114663</v>
      </c>
      <c r="C35" s="63">
        <f>SUM($C$25:$C$34)</f>
        <v>236914.25256961156</v>
      </c>
      <c r="D35" s="63">
        <f>SUM($D$25:$D$34)</f>
        <v>236914.25256961156</v>
      </c>
      <c r="E35" s="63">
        <f>SUM($E$25:$E$34)</f>
        <v>236968.66711398636</v>
      </c>
      <c r="F35" s="63">
        <f>SUM($F$25:$F$34)</f>
        <v>236968.66711398636</v>
      </c>
      <c r="G35" s="63">
        <f>SUM(G25:G34)</f>
        <v>94364.282097077943</v>
      </c>
    </row>
    <row r="36" spans="1:7" x14ac:dyDescent="0.2">
      <c r="A36" s="68"/>
      <c r="B36" s="69"/>
      <c r="C36" s="69"/>
      <c r="D36" s="69"/>
      <c r="E36" s="69"/>
      <c r="F36" s="69"/>
      <c r="G36" s="69"/>
    </row>
    <row r="37" spans="1:7" x14ac:dyDescent="0.2">
      <c r="A37" s="35"/>
      <c r="B37" s="70" t="s">
        <v>118</v>
      </c>
      <c r="C37" s="70"/>
      <c r="D37" s="70"/>
      <c r="E37" s="70"/>
      <c r="F37" s="71"/>
    </row>
    <row r="38" spans="1:7" ht="13.5" thickBot="1" x14ac:dyDescent="0.25">
      <c r="A38" s="34"/>
      <c r="B38" s="66" t="s">
        <v>54</v>
      </c>
      <c r="C38" s="66" t="s">
        <v>94</v>
      </c>
      <c r="D38" s="66" t="s">
        <v>95</v>
      </c>
      <c r="E38" s="66" t="s">
        <v>96</v>
      </c>
      <c r="F38" s="22" t="s">
        <v>97</v>
      </c>
      <c r="G38" s="69"/>
    </row>
    <row r="39" spans="1:7" ht="13.5" thickTop="1" x14ac:dyDescent="0.2">
      <c r="A39" s="38" t="s">
        <v>107</v>
      </c>
      <c r="B39" s="220">
        <f>SUM($B$7:$B$16)</f>
        <v>8559219.3032203913</v>
      </c>
      <c r="C39" s="220">
        <f>SUM($C$7:$C$16)</f>
        <v>13330427.674029984</v>
      </c>
      <c r="D39" s="220">
        <f>SUM($D$7:$D$16)</f>
        <v>13330427.674029984</v>
      </c>
      <c r="E39" s="220">
        <f>SUM($E$7:$E$16)</f>
        <v>13341174.305916382</v>
      </c>
      <c r="F39" s="220">
        <f>SUM($F$7:$F$16)</f>
        <v>13341174.305916382</v>
      </c>
      <c r="G39" s="69"/>
    </row>
    <row r="40" spans="1:7" x14ac:dyDescent="0.2">
      <c r="A40" s="27" t="s">
        <v>119</v>
      </c>
      <c r="B40" s="57"/>
      <c r="C40" s="57"/>
      <c r="D40" s="57"/>
      <c r="E40" s="57"/>
      <c r="F40" s="41"/>
      <c r="G40" s="69"/>
    </row>
    <row r="41" spans="1:7" x14ac:dyDescent="0.2">
      <c r="A41" s="27" t="s">
        <v>120</v>
      </c>
      <c r="B41" s="57">
        <f>G35</f>
        <v>94364.282097077943</v>
      </c>
      <c r="C41" s="57"/>
      <c r="D41" s="57"/>
      <c r="E41" s="57"/>
      <c r="F41" s="41"/>
      <c r="G41" s="69"/>
    </row>
    <row r="42" spans="1:7" x14ac:dyDescent="0.2">
      <c r="A42" s="27" t="s">
        <v>121</v>
      </c>
      <c r="B42" s="57">
        <f>B35-0</f>
        <v>259198.69824114663</v>
      </c>
      <c r="C42" s="57">
        <f>C35-B35</f>
        <v>-22284.445671535068</v>
      </c>
      <c r="D42" s="57">
        <f>D35-C35</f>
        <v>0</v>
      </c>
      <c r="E42" s="57">
        <f>E35-D35</f>
        <v>54.414544374798425</v>
      </c>
      <c r="F42" s="58">
        <f>F35-E35</f>
        <v>0</v>
      </c>
      <c r="G42" s="69"/>
    </row>
    <row r="43" spans="1:7" x14ac:dyDescent="0.2">
      <c r="A43" s="25" t="s">
        <v>122</v>
      </c>
      <c r="B43" s="57">
        <f>B39-B41-B42</f>
        <v>8205656.3228821661</v>
      </c>
      <c r="C43" s="57">
        <f>C39-C42</f>
        <v>13352712.119701518</v>
      </c>
      <c r="D43" s="57">
        <f t="shared" ref="D43:F43" si="2">D39-D42</f>
        <v>13330427.674029984</v>
      </c>
      <c r="E43" s="57">
        <f t="shared" si="2"/>
        <v>13341119.891372006</v>
      </c>
      <c r="F43" s="57">
        <f t="shared" si="2"/>
        <v>13341174.305916382</v>
      </c>
      <c r="G43" s="69"/>
    </row>
    <row r="44" spans="1:7" x14ac:dyDescent="0.2">
      <c r="A44" s="62" t="s">
        <v>123</v>
      </c>
      <c r="B44" s="72">
        <f>B43/Auxiliar!B134</f>
        <v>93.187323027887714</v>
      </c>
      <c r="C44" s="72">
        <f>C43/InfoInicial!$B$19</f>
        <v>115.2466910609304</v>
      </c>
      <c r="D44" s="72">
        <f>D43/InfoInicial!$B$19</f>
        <v>115.05435495701769</v>
      </c>
      <c r="E44" s="72">
        <f>E43/InfoInicial!$B$19</f>
        <v>115.14663903067448</v>
      </c>
      <c r="F44" s="72">
        <f>F43/InfoInicial!$B$19</f>
        <v>115.14710868029537</v>
      </c>
      <c r="G44" s="69"/>
    </row>
    <row r="45" spans="1:7" x14ac:dyDescent="0.2">
      <c r="A45" s="62"/>
      <c r="B45" s="72"/>
      <c r="C45" s="72"/>
      <c r="D45" s="72"/>
      <c r="E45" s="72"/>
      <c r="F45" s="73"/>
      <c r="G45" s="69"/>
    </row>
    <row r="46" spans="1:7" x14ac:dyDescent="0.2">
      <c r="A46" s="62" t="s">
        <v>108</v>
      </c>
      <c r="B46" s="74">
        <f>((B29+B33)/B35*100)/100</f>
        <v>0.46205411650970596</v>
      </c>
      <c r="C46" s="74">
        <f t="shared" ref="C46:F46" si="3">((C29+C33)/C35*100)/100</f>
        <v>0.42089396878527019</v>
      </c>
      <c r="D46" s="74">
        <f t="shared" si="3"/>
        <v>0.42089396878527019</v>
      </c>
      <c r="E46" s="74">
        <f t="shared" si="3"/>
        <v>0.42079731991679109</v>
      </c>
      <c r="F46" s="74">
        <f t="shared" si="3"/>
        <v>0.42079731991679109</v>
      </c>
      <c r="G46" s="69"/>
    </row>
    <row r="47" spans="1:7" x14ac:dyDescent="0.2">
      <c r="A47" s="34" t="s">
        <v>109</v>
      </c>
      <c r="B47" s="75">
        <f>((B25+B26+B28+B30+B31+B32+B34)/B35*100)/100</f>
        <v>0.53794588349029404</v>
      </c>
      <c r="C47" s="75">
        <f t="shared" ref="C47:F47" si="4">((C25+C26+C28+C30+C31+C32+C34)/C35*100)/100</f>
        <v>0.57910603121472981</v>
      </c>
      <c r="D47" s="75">
        <f t="shared" si="4"/>
        <v>0.57910603121472981</v>
      </c>
      <c r="E47" s="75">
        <f t="shared" si="4"/>
        <v>0.57920268008320885</v>
      </c>
      <c r="F47" s="75">
        <f t="shared" si="4"/>
        <v>0.57920268008320885</v>
      </c>
      <c r="G47" s="69"/>
    </row>
    <row r="50" spans="1:7" x14ac:dyDescent="0.2">
      <c r="A50" s="33"/>
      <c r="B50" s="18" t="s">
        <v>124</v>
      </c>
      <c r="C50" s="18"/>
      <c r="D50" s="18"/>
      <c r="E50" s="18"/>
      <c r="F50" s="19"/>
    </row>
    <row r="51" spans="1:7" x14ac:dyDescent="0.2">
      <c r="A51" s="76" t="s">
        <v>93</v>
      </c>
      <c r="B51" s="21" t="s">
        <v>54</v>
      </c>
      <c r="C51" s="21" t="s">
        <v>94</v>
      </c>
      <c r="D51" s="21" t="s">
        <v>95</v>
      </c>
      <c r="E51" s="21" t="s">
        <v>96</v>
      </c>
      <c r="F51" s="22" t="s">
        <v>97</v>
      </c>
    </row>
    <row r="52" spans="1:7" x14ac:dyDescent="0.2">
      <c r="A52" s="65" t="s">
        <v>125</v>
      </c>
      <c r="B52" s="77">
        <f>Auxiliar!$E$90+Auxiliar!$E$91/2</f>
        <v>1320000</v>
      </c>
      <c r="C52" s="77">
        <f>Auxiliar!$E$90+Auxiliar!$E$91/2</f>
        <v>1320000</v>
      </c>
      <c r="D52" s="77">
        <f>Auxiliar!$E$90+Auxiliar!$E$91/2</f>
        <v>1320000</v>
      </c>
      <c r="E52" s="77">
        <f>Auxiliar!$E$90+Auxiliar!$E$91/2</f>
        <v>1320000</v>
      </c>
      <c r="F52" s="77">
        <f>Auxiliar!$E$90+Auxiliar!$E$91/2</f>
        <v>1320000</v>
      </c>
    </row>
    <row r="53" spans="1:7" x14ac:dyDescent="0.2">
      <c r="A53" s="27" t="s">
        <v>126</v>
      </c>
      <c r="B53" s="57">
        <f>'E-Inv AF y Am'!$D$56*0.06</f>
        <v>22302.453174719998</v>
      </c>
      <c r="C53" s="57">
        <f>'E-Inv AF y Am'!$D$56*0.06</f>
        <v>22302.453174719998</v>
      </c>
      <c r="D53" s="57">
        <f>'E-Inv AF y Am'!$D$56*0.06</f>
        <v>22302.453174719998</v>
      </c>
      <c r="E53" s="57">
        <f>'E-Inv AF y Am'!$E$56*0.06</f>
        <v>22283.153174719999</v>
      </c>
      <c r="F53" s="57">
        <f>'E-Inv AF y Am'!$E$56*0.06</f>
        <v>22283.153174719999</v>
      </c>
    </row>
    <row r="54" spans="1:7" x14ac:dyDescent="0.2">
      <c r="A54" s="27" t="s">
        <v>103</v>
      </c>
      <c r="B54" s="57">
        <f>Auxiliar!$B$126*0.9</f>
        <v>4563</v>
      </c>
      <c r="C54" s="57">
        <f>Auxiliar!$B$126</f>
        <v>5070</v>
      </c>
      <c r="D54" s="57">
        <f>Auxiliar!$B$126</f>
        <v>5070</v>
      </c>
      <c r="E54" s="57">
        <f>Auxiliar!$B$126</f>
        <v>5070</v>
      </c>
      <c r="F54" s="57">
        <f>Auxiliar!$B$126</f>
        <v>5070</v>
      </c>
    </row>
    <row r="55" spans="1:7" x14ac:dyDescent="0.2">
      <c r="A55" s="27" t="s">
        <v>127</v>
      </c>
      <c r="B55" s="57">
        <f>C55*0.95</f>
        <v>1977.6908641499999</v>
      </c>
      <c r="C55" s="57">
        <f>Auxiliar!$B$128</f>
        <v>2081.779857</v>
      </c>
      <c r="D55" s="57">
        <f>Auxiliar!$B$128</f>
        <v>2081.779857</v>
      </c>
      <c r="E55" s="57">
        <f>Auxiliar!$B$128</f>
        <v>2081.779857</v>
      </c>
      <c r="F55" s="57">
        <f>Auxiliar!$B$128</f>
        <v>2081.779857</v>
      </c>
    </row>
    <row r="56" spans="1:7" x14ac:dyDescent="0.2">
      <c r="A56" s="27" t="s">
        <v>128</v>
      </c>
      <c r="B56" s="57">
        <v>0</v>
      </c>
      <c r="C56" s="57">
        <v>0</v>
      </c>
      <c r="D56" s="57">
        <v>0</v>
      </c>
      <c r="E56" s="57">
        <v>0</v>
      </c>
      <c r="F56" s="58">
        <v>0</v>
      </c>
    </row>
    <row r="57" spans="1:7" x14ac:dyDescent="0.2">
      <c r="A57" s="27" t="s">
        <v>129</v>
      </c>
      <c r="B57" s="57">
        <v>0</v>
      </c>
      <c r="C57" s="57">
        <v>0</v>
      </c>
      <c r="D57" s="57">
        <v>0</v>
      </c>
      <c r="E57" s="57">
        <v>0</v>
      </c>
      <c r="F57" s="58">
        <v>0</v>
      </c>
    </row>
    <row r="58" spans="1:7" x14ac:dyDescent="0.2">
      <c r="A58" s="27" t="s">
        <v>106</v>
      </c>
      <c r="B58" s="57">
        <f>B15*0.05/0.9</f>
        <v>9312.5333333333347</v>
      </c>
      <c r="C58" s="57">
        <f t="shared" ref="C58:F58" si="5">C15*0.05/0.9</f>
        <v>9312.5333333333347</v>
      </c>
      <c r="D58" s="57">
        <f t="shared" si="5"/>
        <v>9312.5333333333347</v>
      </c>
      <c r="E58" s="57">
        <f t="shared" si="5"/>
        <v>9312.5333333333347</v>
      </c>
      <c r="F58" s="57">
        <f t="shared" si="5"/>
        <v>9312.5333333333347</v>
      </c>
    </row>
    <row r="59" spans="1:7" x14ac:dyDescent="0.2">
      <c r="A59" s="27" t="s">
        <v>21</v>
      </c>
      <c r="B59" s="57">
        <f>SUM(B52:B58)*0.08</f>
        <v>108652.45418977628</v>
      </c>
      <c r="C59" s="57">
        <f>SUM(C52:C58)*0.08</f>
        <v>108701.34130920429</v>
      </c>
      <c r="D59" s="57">
        <f>SUM(D52:D58)*0.08</f>
        <v>108701.34130920429</v>
      </c>
      <c r="E59" s="57">
        <f>SUM(E52:E58)*0.08</f>
        <v>108699.79730920428</v>
      </c>
      <c r="F59" s="57">
        <f>SUM(F52:F58)*0.08</f>
        <v>108699.79730920428</v>
      </c>
    </row>
    <row r="60" spans="1:7" x14ac:dyDescent="0.2">
      <c r="A60" s="27"/>
      <c r="B60" s="43"/>
      <c r="C60" s="43"/>
      <c r="D60" s="43"/>
      <c r="E60" s="43"/>
      <c r="F60" s="45"/>
    </row>
    <row r="61" spans="1:7" x14ac:dyDescent="0.2">
      <c r="A61" s="25" t="s">
        <v>130</v>
      </c>
      <c r="B61" s="57">
        <f>SUM(B52:B59)</f>
        <v>1466808.1315619797</v>
      </c>
      <c r="C61" s="57">
        <f t="shared" ref="C61:F61" si="6">SUM(C52:C59)</f>
        <v>1467468.1076742578</v>
      </c>
      <c r="D61" s="57">
        <f t="shared" si="6"/>
        <v>1467468.1076742578</v>
      </c>
      <c r="E61" s="57">
        <f t="shared" si="6"/>
        <v>1467447.2636742578</v>
      </c>
      <c r="F61" s="57">
        <f t="shared" si="6"/>
        <v>1467447.2636742578</v>
      </c>
    </row>
    <row r="62" spans="1:7" x14ac:dyDescent="0.2">
      <c r="A62" s="25"/>
      <c r="B62" s="78"/>
      <c r="C62" s="78"/>
      <c r="D62" s="78"/>
      <c r="E62" s="78"/>
      <c r="F62" s="79"/>
      <c r="G62" s="69"/>
    </row>
    <row r="63" spans="1:7" x14ac:dyDescent="0.2">
      <c r="A63" s="62" t="s">
        <v>108</v>
      </c>
      <c r="B63" s="80">
        <f>((B52+B58)/B61*100)/100</f>
        <v>0.90626204254660803</v>
      </c>
      <c r="C63" s="80">
        <f t="shared" ref="C63:F63" si="7">((C52+C58)/C61*100)/100</f>
        <v>0.90585446210488174</v>
      </c>
      <c r="D63" s="80">
        <f t="shared" si="7"/>
        <v>0.90585446210488174</v>
      </c>
      <c r="E63" s="80">
        <f t="shared" si="7"/>
        <v>0.90586732909565915</v>
      </c>
      <c r="F63" s="80">
        <f t="shared" si="7"/>
        <v>0.90586732909565915</v>
      </c>
      <c r="G63" s="69"/>
    </row>
    <row r="64" spans="1:7" x14ac:dyDescent="0.2">
      <c r="A64" s="34" t="s">
        <v>109</v>
      </c>
      <c r="B64" s="75">
        <f>((B53+B54+B55+B59)/B61*100)/100</f>
        <v>9.3737957453392001E-2</v>
      </c>
      <c r="C64" s="75">
        <f t="shared" ref="C64:F64" si="8">((C53+C54+C55+C59)/C61*100)/100</f>
        <v>9.4145537895118245E-2</v>
      </c>
      <c r="D64" s="75">
        <f t="shared" si="8"/>
        <v>9.4145537895118245E-2</v>
      </c>
      <c r="E64" s="75">
        <f t="shared" si="8"/>
        <v>9.4132670904340771E-2</v>
      </c>
      <c r="F64" s="75">
        <f t="shared" si="8"/>
        <v>9.4132670904340771E-2</v>
      </c>
      <c r="G64" s="69"/>
    </row>
    <row r="67" spans="1:6" x14ac:dyDescent="0.2">
      <c r="A67" s="33"/>
      <c r="B67" s="18" t="s">
        <v>131</v>
      </c>
      <c r="C67" s="18"/>
      <c r="D67" s="18"/>
      <c r="E67" s="18"/>
      <c r="F67" s="19"/>
    </row>
    <row r="68" spans="1:6" x14ac:dyDescent="0.2">
      <c r="A68" s="76" t="s">
        <v>93</v>
      </c>
      <c r="B68" s="21" t="s">
        <v>54</v>
      </c>
      <c r="C68" s="21" t="s">
        <v>94</v>
      </c>
      <c r="D68" s="21" t="s">
        <v>95</v>
      </c>
      <c r="E68" s="21" t="s">
        <v>96</v>
      </c>
      <c r="F68" s="22" t="s">
        <v>97</v>
      </c>
    </row>
    <row r="69" spans="1:6" x14ac:dyDescent="0.2">
      <c r="A69" s="23" t="s">
        <v>125</v>
      </c>
      <c r="B69" s="55">
        <f>Auxiliar!$E$90+Auxiliar!$E$91/2</f>
        <v>1320000</v>
      </c>
      <c r="C69" s="55">
        <f>Auxiliar!$E$90+Auxiliar!$E$91/2</f>
        <v>1320000</v>
      </c>
      <c r="D69" s="55">
        <f>Auxiliar!$E$90+Auxiliar!$E$91/2</f>
        <v>1320000</v>
      </c>
      <c r="E69" s="55">
        <f>Auxiliar!$E$90+Auxiliar!$E$91/2</f>
        <v>1320000</v>
      </c>
      <c r="F69" s="55">
        <f>Auxiliar!$E$90+Auxiliar!$E$91/2</f>
        <v>1320000</v>
      </c>
    </row>
    <row r="70" spans="1:6" x14ac:dyDescent="0.2">
      <c r="A70" s="27" t="s">
        <v>126</v>
      </c>
      <c r="B70" s="57">
        <f>'E-Inv AF y Am'!$D$56*0.04</f>
        <v>14868.302116479999</v>
      </c>
      <c r="C70" s="57">
        <f>'E-Inv AF y Am'!$D$56*0.04</f>
        <v>14868.302116479999</v>
      </c>
      <c r="D70" s="57">
        <f>'E-Inv AF y Am'!$D$56*0.04</f>
        <v>14868.302116479999</v>
      </c>
      <c r="E70" s="57">
        <f>'E-Inv AF y Am'!$D$56*0.04</f>
        <v>14868.302116479999</v>
      </c>
      <c r="F70" s="57">
        <f>'E-Inv AF y Am'!$D$56*0.04</f>
        <v>14868.302116479999</v>
      </c>
    </row>
    <row r="71" spans="1:6" x14ac:dyDescent="0.2">
      <c r="A71" s="27" t="s">
        <v>103</v>
      </c>
      <c r="B71" s="57">
        <f>Auxiliar!$F$126*0.9</f>
        <v>4563</v>
      </c>
      <c r="C71" s="57">
        <f>Auxiliar!$F$126</f>
        <v>5070</v>
      </c>
      <c r="D71" s="57">
        <f>Auxiliar!$F$126</f>
        <v>5070</v>
      </c>
      <c r="E71" s="57">
        <f>Auxiliar!$F$126</f>
        <v>5070</v>
      </c>
      <c r="F71" s="57">
        <f>Auxiliar!$F$126</f>
        <v>5070</v>
      </c>
    </row>
    <row r="72" spans="1:6" x14ac:dyDescent="0.2">
      <c r="A72" s="27" t="s">
        <v>132</v>
      </c>
      <c r="B72" s="57">
        <f>C72*0.95</f>
        <v>1977.6908641499999</v>
      </c>
      <c r="C72" s="57">
        <f>Auxiliar!$F$128</f>
        <v>2081.779857</v>
      </c>
      <c r="D72" s="57">
        <f>Auxiliar!$F$128</f>
        <v>2081.779857</v>
      </c>
      <c r="E72" s="57">
        <f>Auxiliar!$F$128</f>
        <v>2081.779857</v>
      </c>
      <c r="F72" s="57">
        <f>Auxiliar!$F$128</f>
        <v>2081.779857</v>
      </c>
    </row>
    <row r="73" spans="1:6" x14ac:dyDescent="0.2">
      <c r="A73" s="27" t="s">
        <v>128</v>
      </c>
      <c r="B73" s="57">
        <v>0</v>
      </c>
      <c r="C73" s="57">
        <v>0</v>
      </c>
      <c r="D73" s="57">
        <v>0</v>
      </c>
      <c r="E73" s="57">
        <v>0</v>
      </c>
      <c r="F73" s="58">
        <v>0</v>
      </c>
    </row>
    <row r="74" spans="1:6" x14ac:dyDescent="0.2">
      <c r="A74" s="27" t="s">
        <v>129</v>
      </c>
      <c r="B74" s="57">
        <v>0</v>
      </c>
      <c r="C74" s="57">
        <v>0</v>
      </c>
      <c r="D74" s="57">
        <v>0</v>
      </c>
      <c r="E74" s="57">
        <v>0</v>
      </c>
      <c r="F74" s="58">
        <v>0</v>
      </c>
    </row>
    <row r="75" spans="1:6" x14ac:dyDescent="0.2">
      <c r="A75" s="27" t="s">
        <v>106</v>
      </c>
      <c r="B75" s="57">
        <f>B15*0.05/0.9</f>
        <v>9312.5333333333347</v>
      </c>
      <c r="C75" s="57">
        <f t="shared" ref="C75:F75" si="9">C15*0.05/0.9</f>
        <v>9312.5333333333347</v>
      </c>
      <c r="D75" s="57">
        <f t="shared" si="9"/>
        <v>9312.5333333333347</v>
      </c>
      <c r="E75" s="57">
        <f t="shared" si="9"/>
        <v>9312.5333333333347</v>
      </c>
      <c r="F75" s="57">
        <f t="shared" si="9"/>
        <v>9312.5333333333347</v>
      </c>
    </row>
    <row r="76" spans="1:6" x14ac:dyDescent="0.2">
      <c r="A76" s="27" t="s">
        <v>21</v>
      </c>
      <c r="B76" s="57">
        <f>SUM(B69:B75)*0.08</f>
        <v>108057.72210511706</v>
      </c>
      <c r="C76" s="57">
        <f>SUM(C69:C75)*0.08</f>
        <v>108106.60922454509</v>
      </c>
      <c r="D76" s="57">
        <f>SUM(D69:D75)*0.08</f>
        <v>108106.60922454509</v>
      </c>
      <c r="E76" s="57">
        <f>SUM(E69:E75)*0.08</f>
        <v>108106.60922454509</v>
      </c>
      <c r="F76" s="57">
        <f>SUM(F69:F75)*0.08</f>
        <v>108106.60922454509</v>
      </c>
    </row>
    <row r="77" spans="1:6" x14ac:dyDescent="0.2">
      <c r="A77" s="27"/>
      <c r="B77" s="43"/>
      <c r="C77" s="43"/>
      <c r="D77" s="43"/>
      <c r="E77" s="43"/>
      <c r="F77" s="43"/>
    </row>
    <row r="78" spans="1:6" x14ac:dyDescent="0.2">
      <c r="A78" s="25" t="s">
        <v>133</v>
      </c>
      <c r="B78" s="57">
        <f>SUM(B69:B76)</f>
        <v>1458779.2484190804</v>
      </c>
      <c r="C78" s="57">
        <f t="shared" ref="C78:F78" si="10">SUM(C69:C76)</f>
        <v>1459439.2245313586</v>
      </c>
      <c r="D78" s="57">
        <f t="shared" si="10"/>
        <v>1459439.2245313586</v>
      </c>
      <c r="E78" s="57">
        <f t="shared" si="10"/>
        <v>1459439.2245313586</v>
      </c>
      <c r="F78" s="57">
        <f t="shared" si="10"/>
        <v>1459439.2245313586</v>
      </c>
    </row>
    <row r="79" spans="1:6" x14ac:dyDescent="0.2">
      <c r="A79" s="25"/>
      <c r="B79" s="78"/>
      <c r="C79" s="78"/>
      <c r="D79" s="78"/>
      <c r="E79" s="78"/>
      <c r="F79" s="79"/>
    </row>
    <row r="80" spans="1:6" x14ac:dyDescent="0.2">
      <c r="A80" s="62" t="s">
        <v>108</v>
      </c>
      <c r="B80" s="80">
        <f>((B69+B75)/B78*100)/100</f>
        <v>0.91124996107118084</v>
      </c>
      <c r="C80" s="80">
        <f t="shared" ref="C80:F80" si="11">((C69+C75)/C78*100)/100</f>
        <v>0.91083788279035038</v>
      </c>
      <c r="D80" s="80">
        <f t="shared" si="11"/>
        <v>0.91083788279035038</v>
      </c>
      <c r="E80" s="80">
        <f t="shared" si="11"/>
        <v>0.91083788279035038</v>
      </c>
      <c r="F80" s="80">
        <f t="shared" si="11"/>
        <v>0.91083788279035038</v>
      </c>
    </row>
    <row r="81" spans="1:7" x14ac:dyDescent="0.2">
      <c r="A81" s="34" t="s">
        <v>109</v>
      </c>
      <c r="B81" s="75">
        <f>((B70+B71+B72+B76)/B78*100)/100</f>
        <v>8.8750038928819247E-2</v>
      </c>
      <c r="C81" s="75">
        <f t="shared" ref="C81:F81" si="12">((C70+C71+C72+C76)/C78*100)/100</f>
        <v>8.9162117209649588E-2</v>
      </c>
      <c r="D81" s="75">
        <f t="shared" si="12"/>
        <v>8.9162117209649588E-2</v>
      </c>
      <c r="E81" s="75">
        <f t="shared" si="12"/>
        <v>8.9162117209649588E-2</v>
      </c>
      <c r="F81" s="75">
        <f t="shared" si="12"/>
        <v>8.9162117209649588E-2</v>
      </c>
    </row>
    <row r="84" spans="1:7" ht="15.75" x14ac:dyDescent="0.25">
      <c r="A84" s="81" t="s">
        <v>134</v>
      </c>
      <c r="B84" s="82"/>
      <c r="C84" s="82"/>
      <c r="D84" s="82"/>
      <c r="E84" s="82"/>
      <c r="F84" s="83"/>
    </row>
    <row r="85" spans="1:7" x14ac:dyDescent="0.2">
      <c r="A85" s="27"/>
      <c r="B85" s="53" t="s">
        <v>54</v>
      </c>
      <c r="C85" s="53" t="s">
        <v>94</v>
      </c>
      <c r="D85" s="53" t="s">
        <v>95</v>
      </c>
      <c r="E85" s="53" t="s">
        <v>96</v>
      </c>
      <c r="F85" s="22" t="s">
        <v>97</v>
      </c>
    </row>
    <row r="86" spans="1:7" x14ac:dyDescent="0.2">
      <c r="A86" s="27" t="s">
        <v>135</v>
      </c>
      <c r="B86" s="84">
        <f>Auxiliar!F104</f>
        <v>86897</v>
      </c>
      <c r="C86" s="84">
        <f>InfoInicial!$B$19</f>
        <v>115862</v>
      </c>
      <c r="D86" s="84">
        <f>InfoInicial!$B$19</f>
        <v>115862</v>
      </c>
      <c r="E86" s="84">
        <f>InfoInicial!$B$19</f>
        <v>115862</v>
      </c>
      <c r="F86" s="84">
        <f>InfoInicial!$B$19</f>
        <v>115862</v>
      </c>
    </row>
    <row r="87" spans="1:7" x14ac:dyDescent="0.2">
      <c r="A87" s="27" t="s">
        <v>136</v>
      </c>
      <c r="B87" s="57">
        <f>InfoInicial!$B$20</f>
        <v>200</v>
      </c>
      <c r="C87" s="276">
        <f>InfoInicial!$B$20</f>
        <v>200</v>
      </c>
      <c r="D87" s="276">
        <f>InfoInicial!$B$20</f>
        <v>200</v>
      </c>
      <c r="E87" s="276">
        <f>InfoInicial!$B$20</f>
        <v>200</v>
      </c>
      <c r="F87" s="276">
        <f>InfoInicial!$B$20</f>
        <v>200</v>
      </c>
    </row>
    <row r="88" spans="1:7" x14ac:dyDescent="0.2">
      <c r="A88" s="25" t="s">
        <v>137</v>
      </c>
      <c r="B88" s="57">
        <f>B86*B87</f>
        <v>17379400</v>
      </c>
      <c r="C88" s="57">
        <f t="shared" ref="C88:F88" si="13">C86*C87</f>
        <v>23172400</v>
      </c>
      <c r="D88" s="57">
        <f t="shared" si="13"/>
        <v>23172400</v>
      </c>
      <c r="E88" s="57">
        <f t="shared" si="13"/>
        <v>23172400</v>
      </c>
      <c r="F88" s="57">
        <f t="shared" si="13"/>
        <v>23172400</v>
      </c>
    </row>
    <row r="89" spans="1:7" x14ac:dyDescent="0.2">
      <c r="A89" s="27"/>
      <c r="B89" s="78"/>
      <c r="C89" s="78"/>
      <c r="D89" s="78"/>
      <c r="E89" s="78"/>
      <c r="F89" s="79"/>
    </row>
    <row r="90" spans="1:7" x14ac:dyDescent="0.2">
      <c r="A90" s="27" t="s">
        <v>138</v>
      </c>
      <c r="B90" s="57">
        <f>B7</f>
        <v>6685058.6096000001</v>
      </c>
      <c r="C90" s="57">
        <f t="shared" ref="C90:F90" si="14">C7</f>
        <v>11012544.0656</v>
      </c>
      <c r="D90" s="57">
        <f t="shared" si="14"/>
        <v>11012544.0656</v>
      </c>
      <c r="E90" s="57">
        <f t="shared" si="14"/>
        <v>11012544.0656</v>
      </c>
      <c r="F90" s="57">
        <f t="shared" si="14"/>
        <v>11012544.0656</v>
      </c>
    </row>
    <row r="91" spans="1:7" x14ac:dyDescent="0.2">
      <c r="A91" s="27" t="s">
        <v>99</v>
      </c>
      <c r="B91" s="57">
        <f>B8</f>
        <v>50825</v>
      </c>
      <c r="C91" s="57">
        <f t="shared" ref="C91:F91" si="15">C8</f>
        <v>53500</v>
      </c>
      <c r="D91" s="57">
        <f t="shared" si="15"/>
        <v>53500</v>
      </c>
      <c r="E91" s="57">
        <f t="shared" si="15"/>
        <v>53500</v>
      </c>
      <c r="F91" s="57">
        <f t="shared" si="15"/>
        <v>53500</v>
      </c>
    </row>
    <row r="92" spans="1:7" x14ac:dyDescent="0.2">
      <c r="A92" s="27" t="s">
        <v>139</v>
      </c>
      <c r="B92" s="57">
        <f>SUM(B10:B16)</f>
        <v>1823335.6936203921</v>
      </c>
      <c r="C92" s="57">
        <f t="shared" ref="C92:F92" si="16">SUM(C10:C16)</f>
        <v>2264383.6084299842</v>
      </c>
      <c r="D92" s="57">
        <f t="shared" si="16"/>
        <v>2264383.6084299842</v>
      </c>
      <c r="E92" s="57">
        <f t="shared" si="16"/>
        <v>2275130.2403163845</v>
      </c>
      <c r="F92" s="57">
        <f t="shared" si="16"/>
        <v>2275130.2403163845</v>
      </c>
    </row>
    <row r="93" spans="1:7" x14ac:dyDescent="0.2">
      <c r="A93" s="27"/>
      <c r="B93" s="78"/>
      <c r="C93" s="78"/>
      <c r="D93" s="78"/>
      <c r="E93" s="78"/>
      <c r="F93" s="78"/>
    </row>
    <row r="94" spans="1:7" x14ac:dyDescent="0.2">
      <c r="A94" s="27" t="s">
        <v>140</v>
      </c>
      <c r="B94" s="85">
        <f>B17</f>
        <v>8559219.3032203913</v>
      </c>
      <c r="C94" s="85">
        <f t="shared" ref="C94:F94" si="17">C17</f>
        <v>13330427.674029984</v>
      </c>
      <c r="D94" s="85">
        <f t="shared" si="17"/>
        <v>13330427.674029984</v>
      </c>
      <c r="E94" s="85">
        <f t="shared" si="17"/>
        <v>13341174.305916382</v>
      </c>
      <c r="F94" s="85">
        <f t="shared" si="17"/>
        <v>13341174.305916382</v>
      </c>
      <c r="G94" s="269"/>
    </row>
    <row r="95" spans="1:7" x14ac:dyDescent="0.2">
      <c r="A95" s="27"/>
      <c r="B95" s="78"/>
      <c r="C95" s="78"/>
      <c r="D95" s="78"/>
      <c r="E95" s="78"/>
      <c r="F95" s="79"/>
    </row>
    <row r="96" spans="1:7" x14ac:dyDescent="0.2">
      <c r="A96" s="27" t="s">
        <v>119</v>
      </c>
      <c r="B96" s="78"/>
      <c r="C96" s="78"/>
      <c r="D96" s="78"/>
      <c r="E96" s="78"/>
      <c r="F96" s="79"/>
    </row>
    <row r="97" spans="1:6" x14ac:dyDescent="0.2">
      <c r="A97" s="29" t="s">
        <v>112</v>
      </c>
      <c r="B97" s="57">
        <f>G35</f>
        <v>94364.282097077943</v>
      </c>
      <c r="C97" s="57">
        <v>0</v>
      </c>
      <c r="D97" s="57">
        <v>0</v>
      </c>
      <c r="E97" s="57">
        <v>0</v>
      </c>
      <c r="F97" s="58">
        <v>0</v>
      </c>
    </row>
    <row r="98" spans="1:6" x14ac:dyDescent="0.2">
      <c r="A98" s="29" t="s">
        <v>121</v>
      </c>
      <c r="B98" s="57">
        <f>B42</f>
        <v>259198.69824114663</v>
      </c>
      <c r="C98" s="57">
        <f t="shared" ref="C98:E98" si="18">C42</f>
        <v>-22284.445671535068</v>
      </c>
      <c r="D98" s="57">
        <f t="shared" si="18"/>
        <v>0</v>
      </c>
      <c r="E98" s="57">
        <f t="shared" si="18"/>
        <v>54.414544374798425</v>
      </c>
      <c r="F98" s="57">
        <f>F42</f>
        <v>0</v>
      </c>
    </row>
    <row r="99" spans="1:6" x14ac:dyDescent="0.2">
      <c r="A99" s="27"/>
      <c r="B99" s="78"/>
      <c r="C99" s="78"/>
      <c r="D99" s="78"/>
      <c r="E99" s="78"/>
      <c r="F99" s="79"/>
    </row>
    <row r="100" spans="1:6" x14ac:dyDescent="0.2">
      <c r="A100" s="25" t="s">
        <v>141</v>
      </c>
      <c r="B100" s="57">
        <f>B94-B97-B98</f>
        <v>8205656.3228821661</v>
      </c>
      <c r="C100" s="57">
        <f t="shared" ref="C100:F100" si="19">C94-C97-C98</f>
        <v>13352712.119701518</v>
      </c>
      <c r="D100" s="57">
        <f t="shared" si="19"/>
        <v>13330427.674029984</v>
      </c>
      <c r="E100" s="57">
        <f t="shared" si="19"/>
        <v>13341119.891372006</v>
      </c>
      <c r="F100" s="57">
        <f t="shared" si="19"/>
        <v>13341174.305916382</v>
      </c>
    </row>
    <row r="101" spans="1:6" x14ac:dyDescent="0.2">
      <c r="A101" s="29" t="s">
        <v>142</v>
      </c>
      <c r="B101" s="85">
        <f>Auxiliar!B134</f>
        <v>88055.5</v>
      </c>
      <c r="C101" s="85">
        <f>C86</f>
        <v>115862</v>
      </c>
      <c r="D101" s="85">
        <f t="shared" ref="D101:F101" si="20">D86</f>
        <v>115862</v>
      </c>
      <c r="E101" s="85">
        <f t="shared" si="20"/>
        <v>115862</v>
      </c>
      <c r="F101" s="85">
        <f t="shared" si="20"/>
        <v>115862</v>
      </c>
    </row>
    <row r="102" spans="1:6" x14ac:dyDescent="0.2">
      <c r="A102" s="27" t="s">
        <v>143</v>
      </c>
      <c r="B102" s="57">
        <f>B100/B101</f>
        <v>93.187323027887714</v>
      </c>
      <c r="C102" s="57">
        <f t="shared" ref="C102:F102" si="21">C100/C101</f>
        <v>115.2466910609304</v>
      </c>
      <c r="D102" s="57">
        <f t="shared" si="21"/>
        <v>115.05435495701769</v>
      </c>
      <c r="E102" s="57">
        <f t="shared" si="21"/>
        <v>115.14663903067448</v>
      </c>
      <c r="F102" s="57">
        <f t="shared" si="21"/>
        <v>115.14710868029537</v>
      </c>
    </row>
    <row r="103" spans="1:6" x14ac:dyDescent="0.2">
      <c r="A103" s="27"/>
      <c r="B103" s="87"/>
      <c r="C103" s="87"/>
      <c r="D103" s="87"/>
      <c r="E103" s="87"/>
      <c r="F103" s="88"/>
    </row>
    <row r="104" spans="1:6" x14ac:dyDescent="0.2">
      <c r="A104" s="27" t="s">
        <v>119</v>
      </c>
      <c r="B104" s="87"/>
      <c r="C104" s="87"/>
      <c r="D104" s="87"/>
      <c r="E104" s="87"/>
      <c r="F104" s="88"/>
    </row>
    <row r="105" spans="1:6" x14ac:dyDescent="0.2">
      <c r="A105" s="27" t="s">
        <v>144</v>
      </c>
      <c r="B105" s="57">
        <f>Auxiliar!B136*B102-0</f>
        <v>107910.92006629397</v>
      </c>
      <c r="C105" s="57">
        <f>Auxiliar!B137</f>
        <v>0</v>
      </c>
      <c r="D105" s="276">
        <f>Auxiliar!C137</f>
        <v>0</v>
      </c>
      <c r="E105" s="276">
        <f>Auxiliar!D137</f>
        <v>0</v>
      </c>
      <c r="F105" s="276">
        <f>Auxiliar!E137</f>
        <v>0</v>
      </c>
    </row>
    <row r="106" spans="1:6" x14ac:dyDescent="0.2">
      <c r="A106" s="27"/>
      <c r="B106" s="87"/>
      <c r="C106" s="87"/>
      <c r="D106" s="87"/>
      <c r="E106" s="87"/>
      <c r="F106" s="88"/>
    </row>
    <row r="107" spans="1:6" x14ac:dyDescent="0.2">
      <c r="A107" s="25" t="s">
        <v>145</v>
      </c>
      <c r="B107" s="57">
        <f>B100-B105</f>
        <v>8097745.4028158719</v>
      </c>
      <c r="C107" s="57">
        <f>C100-C105</f>
        <v>13352712.119701518</v>
      </c>
      <c r="D107" s="57">
        <f>D100-D105</f>
        <v>13330427.674029984</v>
      </c>
      <c r="E107" s="57">
        <f>E100-E105</f>
        <v>13341119.891372006</v>
      </c>
      <c r="F107" s="57">
        <f>F100-F105</f>
        <v>13341174.305916382</v>
      </c>
    </row>
    <row r="108" spans="1:6" x14ac:dyDescent="0.2">
      <c r="A108" s="27"/>
      <c r="B108" s="78"/>
      <c r="C108" s="78"/>
      <c r="D108" s="78"/>
      <c r="E108" s="78"/>
      <c r="F108" s="79"/>
    </row>
    <row r="109" spans="1:6" x14ac:dyDescent="0.2">
      <c r="A109" s="25" t="s">
        <v>146</v>
      </c>
      <c r="B109" s="57">
        <f>B61</f>
        <v>1466808.1315619797</v>
      </c>
      <c r="C109" s="57">
        <f t="shared" ref="C109:F109" si="22">C61</f>
        <v>1467468.1076742578</v>
      </c>
      <c r="D109" s="57">
        <f t="shared" si="22"/>
        <v>1467468.1076742578</v>
      </c>
      <c r="E109" s="57">
        <f t="shared" si="22"/>
        <v>1467447.2636742578</v>
      </c>
      <c r="F109" s="57">
        <f t="shared" si="22"/>
        <v>1467447.2636742578</v>
      </c>
    </row>
    <row r="110" spans="1:6" x14ac:dyDescent="0.2">
      <c r="A110" s="25" t="s">
        <v>147</v>
      </c>
      <c r="B110" s="85">
        <f>B78</f>
        <v>1458779.2484190804</v>
      </c>
      <c r="C110" s="85">
        <f t="shared" ref="C110:F110" si="23">C78</f>
        <v>1459439.2245313586</v>
      </c>
      <c r="D110" s="85">
        <f t="shared" si="23"/>
        <v>1459439.2245313586</v>
      </c>
      <c r="E110" s="85">
        <f t="shared" si="23"/>
        <v>1459439.2245313586</v>
      </c>
      <c r="F110" s="85">
        <f t="shared" si="23"/>
        <v>1459439.2245313586</v>
      </c>
    </row>
    <row r="111" spans="1:6" x14ac:dyDescent="0.2">
      <c r="A111" s="27"/>
      <c r="B111" s="87"/>
      <c r="C111" s="87"/>
      <c r="D111" s="87"/>
      <c r="E111" s="87"/>
      <c r="F111" s="87"/>
    </row>
    <row r="112" spans="1:6" x14ac:dyDescent="0.2">
      <c r="A112" s="25" t="s">
        <v>148</v>
      </c>
      <c r="B112" s="85">
        <f>B107+B109+B110</f>
        <v>11023332.782796931</v>
      </c>
      <c r="C112" s="85">
        <f t="shared" ref="C112:F112" si="24">C107+C109+C110</f>
        <v>16279619.451907134</v>
      </c>
      <c r="D112" s="85">
        <f t="shared" si="24"/>
        <v>16257335.0062356</v>
      </c>
      <c r="E112" s="85">
        <f t="shared" si="24"/>
        <v>16268006.379577622</v>
      </c>
      <c r="F112" s="85">
        <f t="shared" si="24"/>
        <v>16268060.794121997</v>
      </c>
    </row>
    <row r="113" spans="1:8" x14ac:dyDescent="0.2">
      <c r="A113" s="27"/>
      <c r="B113" s="87"/>
      <c r="C113" s="87"/>
      <c r="D113" s="87"/>
      <c r="E113" s="87"/>
      <c r="F113" s="88"/>
    </row>
    <row r="114" spans="1:8" x14ac:dyDescent="0.2">
      <c r="A114" s="25" t="s">
        <v>149</v>
      </c>
      <c r="B114" s="85">
        <f>B112/Auxiliar!F104</f>
        <v>126.85515935874577</v>
      </c>
      <c r="C114" s="85">
        <f t="shared" ref="C114:F114" si="25">C112/C101</f>
        <v>140.50870390556986</v>
      </c>
      <c r="D114" s="85">
        <f t="shared" si="25"/>
        <v>140.31636780165715</v>
      </c>
      <c r="E114" s="85">
        <f t="shared" si="25"/>
        <v>140.40847197163541</v>
      </c>
      <c r="F114" s="85">
        <f t="shared" si="25"/>
        <v>140.4089416212563</v>
      </c>
    </row>
    <row r="115" spans="1:8" x14ac:dyDescent="0.2">
      <c r="A115" s="27"/>
      <c r="B115" s="87"/>
      <c r="C115" s="87"/>
      <c r="D115" s="87"/>
      <c r="E115" s="87"/>
      <c r="F115" s="88"/>
    </row>
    <row r="116" spans="1:8" x14ac:dyDescent="0.2">
      <c r="A116" s="25" t="s">
        <v>150</v>
      </c>
      <c r="B116" s="85">
        <f>B88-B112</f>
        <v>6356067.2172030695</v>
      </c>
      <c r="C116" s="85">
        <f t="shared" ref="C116:F116" si="26">C88-C112</f>
        <v>6892780.5480928663</v>
      </c>
      <c r="D116" s="85">
        <f t="shared" si="26"/>
        <v>6915064.9937644005</v>
      </c>
      <c r="E116" s="85">
        <f t="shared" si="26"/>
        <v>6904393.6204223782</v>
      </c>
      <c r="F116" s="85">
        <f t="shared" si="26"/>
        <v>6904339.2058780026</v>
      </c>
    </row>
    <row r="117" spans="1:8" x14ac:dyDescent="0.2">
      <c r="A117" s="25" t="s">
        <v>5</v>
      </c>
      <c r="B117" s="85">
        <f>B116*InfoInicial!$B$5</f>
        <v>381364.03303218418</v>
      </c>
      <c r="C117" s="85">
        <f>C116*InfoInicial!$B$5</f>
        <v>413566.83288557199</v>
      </c>
      <c r="D117" s="85">
        <f>D116*InfoInicial!$B$5</f>
        <v>414903.899625864</v>
      </c>
      <c r="E117" s="85">
        <f>E116*InfoInicial!$B$5</f>
        <v>414263.61722534266</v>
      </c>
      <c r="F117" s="85">
        <f>F116*InfoInicial!$B$5</f>
        <v>414260.35235268011</v>
      </c>
      <c r="H117" s="271"/>
    </row>
    <row r="118" spans="1:8" x14ac:dyDescent="0.2">
      <c r="A118" s="42" t="s">
        <v>151</v>
      </c>
      <c r="B118" s="85">
        <f>(B116-B117)*InfoInicial!$B$4</f>
        <v>2091146.1144598096</v>
      </c>
      <c r="C118" s="280">
        <f>(C116-C117)*InfoInicial!$B$4</f>
        <v>2267724.8003225531</v>
      </c>
      <c r="D118" s="280">
        <f>(D116-D117)*InfoInicial!$B$4</f>
        <v>2275056.3829484875</v>
      </c>
      <c r="E118" s="280">
        <f>(E116-E117)*InfoInicial!$B$4</f>
        <v>2271545.5011189622</v>
      </c>
      <c r="F118" s="280">
        <f>(F116-F117)*InfoInicial!$B$4</f>
        <v>2271527.5987338629</v>
      </c>
    </row>
    <row r="119" spans="1:8" x14ac:dyDescent="0.2">
      <c r="A119" s="25"/>
      <c r="B119" s="87"/>
      <c r="C119" s="87"/>
      <c r="D119" s="87"/>
      <c r="E119" s="87"/>
      <c r="F119" s="88"/>
    </row>
    <row r="120" spans="1:8" x14ac:dyDescent="0.2">
      <c r="A120" s="42" t="s">
        <v>152</v>
      </c>
      <c r="B120" s="85">
        <f>B116-B117-B118</f>
        <v>3883557.0697110752</v>
      </c>
      <c r="C120" s="280">
        <f t="shared" ref="C120:F120" si="27">C116-C117-C118</f>
        <v>4211488.9148847414</v>
      </c>
      <c r="D120" s="280">
        <f t="shared" si="27"/>
        <v>4225104.7111900486</v>
      </c>
      <c r="E120" s="280">
        <f t="shared" si="27"/>
        <v>4218584.5020780731</v>
      </c>
      <c r="F120" s="280">
        <f t="shared" si="27"/>
        <v>4218551.25479146</v>
      </c>
    </row>
    <row r="121" spans="1:8" x14ac:dyDescent="0.2">
      <c r="A121" s="25" t="s">
        <v>153</v>
      </c>
      <c r="B121" s="89">
        <f>B120/B88</f>
        <v>0.22345748815903169</v>
      </c>
      <c r="C121" s="89">
        <f t="shared" ref="C121:F121" si="28">C120/C88</f>
        <v>0.18174590956848413</v>
      </c>
      <c r="D121" s="89">
        <f t="shared" si="28"/>
        <v>0.18233349636593743</v>
      </c>
      <c r="E121" s="89">
        <f t="shared" si="28"/>
        <v>0.18205211812665384</v>
      </c>
      <c r="F121" s="89">
        <f t="shared" si="28"/>
        <v>0.18205068334706201</v>
      </c>
    </row>
    <row r="122" spans="1:8" x14ac:dyDescent="0.2">
      <c r="A122" s="25"/>
      <c r="B122" s="91"/>
      <c r="C122" s="91"/>
      <c r="D122" s="91"/>
      <c r="E122" s="91"/>
      <c r="F122" s="92"/>
    </row>
    <row r="123" spans="1:8" x14ac:dyDescent="0.2">
      <c r="A123" s="25" t="s">
        <v>154</v>
      </c>
      <c r="B123" s="89"/>
      <c r="C123" s="89"/>
      <c r="D123" s="89"/>
      <c r="E123" s="89"/>
      <c r="F123" s="90"/>
    </row>
    <row r="124" spans="1:8" x14ac:dyDescent="0.2">
      <c r="A124" s="42" t="s">
        <v>155</v>
      </c>
      <c r="B124" s="233">
        <f>B120</f>
        <v>3883557.0697110752</v>
      </c>
      <c r="C124" s="233">
        <f t="shared" ref="C124:F124" si="29">C120</f>
        <v>4211488.9148847414</v>
      </c>
      <c r="D124" s="233">
        <f t="shared" si="29"/>
        <v>4225104.7111900486</v>
      </c>
      <c r="E124" s="233">
        <f t="shared" si="29"/>
        <v>4218584.5020780731</v>
      </c>
      <c r="F124" s="233">
        <f t="shared" si="29"/>
        <v>4218551.25479146</v>
      </c>
    </row>
    <row r="125" spans="1:8" x14ac:dyDescent="0.2">
      <c r="A125" s="25" t="s">
        <v>156</v>
      </c>
      <c r="B125" s="233">
        <f>B70+B53+B28+B10</f>
        <v>373966.06675693009</v>
      </c>
      <c r="C125" s="233">
        <f t="shared" ref="C125:F125" si="30">C70+C53+C28+C10</f>
        <v>373401.44804226607</v>
      </c>
      <c r="D125" s="233">
        <f t="shared" si="30"/>
        <v>373401.44804226607</v>
      </c>
      <c r="E125" s="233">
        <f t="shared" si="30"/>
        <v>373091.18218666012</v>
      </c>
      <c r="F125" s="233">
        <f t="shared" si="30"/>
        <v>373091.18218666012</v>
      </c>
    </row>
    <row r="126" spans="1:8" x14ac:dyDescent="0.2">
      <c r="A126" s="34" t="s">
        <v>157</v>
      </c>
      <c r="B126" s="233">
        <f>B125+B124</f>
        <v>4257523.1364680054</v>
      </c>
      <c r="C126" s="233">
        <f t="shared" ref="C126:F126" si="31">C125+C124</f>
        <v>4584890.3629270075</v>
      </c>
      <c r="D126" s="233">
        <f t="shared" si="31"/>
        <v>4598506.1592323147</v>
      </c>
      <c r="E126" s="233">
        <f t="shared" si="31"/>
        <v>4591675.6842647335</v>
      </c>
      <c r="F126" s="233">
        <f t="shared" si="31"/>
        <v>4591642.4369781204</v>
      </c>
    </row>
    <row r="127" spans="1:8" x14ac:dyDescent="0.2">
      <c r="A127" s="25"/>
      <c r="B127" s="30"/>
      <c r="C127" s="30"/>
      <c r="D127" s="30"/>
      <c r="E127" s="30"/>
      <c r="F127" s="93"/>
    </row>
    <row r="128" spans="1:8" x14ac:dyDescent="0.2">
      <c r="A128" s="25" t="s">
        <v>158</v>
      </c>
      <c r="B128" s="28">
        <f>B19*B17</f>
        <v>555255.6</v>
      </c>
      <c r="C128" s="28">
        <f t="shared" ref="C128:F128" si="32">C19*C17</f>
        <v>598325.6</v>
      </c>
      <c r="D128" s="28">
        <f t="shared" si="32"/>
        <v>598325.6</v>
      </c>
      <c r="E128" s="28">
        <f t="shared" si="32"/>
        <v>598325.6</v>
      </c>
      <c r="F128" s="28">
        <f t="shared" si="32"/>
        <v>598325.6</v>
      </c>
    </row>
    <row r="129" spans="1:12" x14ac:dyDescent="0.2">
      <c r="A129" s="42" t="s">
        <v>159</v>
      </c>
      <c r="B129" s="28">
        <f>B20*B17</f>
        <v>8003963.7032203916</v>
      </c>
      <c r="C129" s="28">
        <f t="shared" ref="C129:F129" si="33">C20*C17</f>
        <v>12732102.074029984</v>
      </c>
      <c r="D129" s="28">
        <f t="shared" si="33"/>
        <v>12732102.074029984</v>
      </c>
      <c r="E129" s="28">
        <f t="shared" si="33"/>
        <v>12742848.705916382</v>
      </c>
      <c r="F129" s="28">
        <f t="shared" si="33"/>
        <v>12742848.705916382</v>
      </c>
    </row>
    <row r="130" spans="1:12" x14ac:dyDescent="0.2">
      <c r="A130" s="25" t="s">
        <v>160</v>
      </c>
      <c r="B130" s="28">
        <f>B61*B63</f>
        <v>1329312.5333333334</v>
      </c>
      <c r="C130" s="28">
        <f t="shared" ref="C130:F130" si="34">C61*C63</f>
        <v>1329312.5333333334</v>
      </c>
      <c r="D130" s="28">
        <f t="shared" si="34"/>
        <v>1329312.5333333334</v>
      </c>
      <c r="E130" s="28">
        <f t="shared" si="34"/>
        <v>1329312.5333333334</v>
      </c>
      <c r="F130" s="28">
        <f t="shared" si="34"/>
        <v>1329312.5333333334</v>
      </c>
    </row>
    <row r="131" spans="1:12" x14ac:dyDescent="0.2">
      <c r="A131" s="42" t="s">
        <v>161</v>
      </c>
      <c r="B131" s="28">
        <f>B61*B64</f>
        <v>137495.59822864627</v>
      </c>
      <c r="C131" s="28">
        <f t="shared" ref="C131:F131" si="35">C61*C64</f>
        <v>138155.5743409243</v>
      </c>
      <c r="D131" s="28">
        <f t="shared" si="35"/>
        <v>138155.5743409243</v>
      </c>
      <c r="E131" s="28">
        <f t="shared" si="35"/>
        <v>138134.73034092429</v>
      </c>
      <c r="F131" s="28">
        <f t="shared" si="35"/>
        <v>138134.73034092429</v>
      </c>
    </row>
    <row r="132" spans="1:12" x14ac:dyDescent="0.2">
      <c r="A132" s="25" t="s">
        <v>162</v>
      </c>
      <c r="B132" s="28">
        <f>B78*B80</f>
        <v>1329312.5333333334</v>
      </c>
      <c r="C132" s="28">
        <f t="shared" ref="C132:F132" si="36">C78*C80</f>
        <v>1329312.5333333334</v>
      </c>
      <c r="D132" s="28">
        <f t="shared" si="36"/>
        <v>1329312.5333333334</v>
      </c>
      <c r="E132" s="28">
        <f t="shared" si="36"/>
        <v>1329312.5333333334</v>
      </c>
      <c r="F132" s="28">
        <f t="shared" si="36"/>
        <v>1329312.5333333334</v>
      </c>
    </row>
    <row r="133" spans="1:12" x14ac:dyDescent="0.2">
      <c r="A133" s="42" t="s">
        <v>163</v>
      </c>
      <c r="B133" s="28">
        <f>B78*B81</f>
        <v>129466.71508574707</v>
      </c>
      <c r="C133" s="28">
        <f t="shared" ref="C133:F133" si="37">C78*C81</f>
        <v>130126.6911980251</v>
      </c>
      <c r="D133" s="28">
        <f t="shared" si="37"/>
        <v>130126.6911980251</v>
      </c>
      <c r="E133" s="28">
        <f t="shared" si="37"/>
        <v>130126.6911980251</v>
      </c>
      <c r="F133" s="28">
        <f t="shared" si="37"/>
        <v>130126.6911980251</v>
      </c>
    </row>
    <row r="134" spans="1:12" x14ac:dyDescent="0.2">
      <c r="A134" s="25" t="s">
        <v>164</v>
      </c>
      <c r="B134" s="234">
        <f>B88-B129-B131-B133</f>
        <v>9108473.9834652152</v>
      </c>
      <c r="C134" s="234">
        <f t="shared" ref="C134:F134" si="38">C88-C129-C131-C133</f>
        <v>10172015.660431067</v>
      </c>
      <c r="D134" s="234">
        <f t="shared" si="38"/>
        <v>10172015.660431067</v>
      </c>
      <c r="E134" s="234">
        <f t="shared" si="38"/>
        <v>10161289.872544669</v>
      </c>
      <c r="F134" s="234">
        <f t="shared" si="38"/>
        <v>10161289.872544669</v>
      </c>
    </row>
    <row r="135" spans="1:12" x14ac:dyDescent="0.2">
      <c r="A135" s="34" t="s">
        <v>165</v>
      </c>
      <c r="B135" s="235">
        <f>(B128+B130+B132)/B134</f>
        <v>0.35284512778988941</v>
      </c>
      <c r="C135" s="235">
        <f t="shared" ref="C135:F135" si="39">(C128+C130+C132)/C134</f>
        <v>0.32018734294090195</v>
      </c>
      <c r="D135" s="235">
        <f t="shared" si="39"/>
        <v>0.32018734294090195</v>
      </c>
      <c r="E135" s="235">
        <f t="shared" si="39"/>
        <v>0.3205253178995312</v>
      </c>
      <c r="F135" s="235">
        <f t="shared" si="39"/>
        <v>0.3205253178995312</v>
      </c>
    </row>
    <row r="136" spans="1:12" ht="15.75" x14ac:dyDescent="0.25">
      <c r="A136" s="94" t="s">
        <v>166</v>
      </c>
    </row>
    <row r="139" spans="1:12" x14ac:dyDescent="0.2">
      <c r="A139" s="496" t="s">
        <v>543</v>
      </c>
      <c r="B139" s="497"/>
      <c r="C139" s="497"/>
      <c r="D139" s="497"/>
      <c r="E139" s="498"/>
      <c r="H139" s="499" t="s">
        <v>544</v>
      </c>
      <c r="I139" s="500"/>
      <c r="J139" s="500"/>
      <c r="K139" s="500"/>
      <c r="L139" s="500"/>
    </row>
    <row r="140" spans="1:12" x14ac:dyDescent="0.2">
      <c r="A140" s="299" t="s">
        <v>537</v>
      </c>
      <c r="B140" s="299" t="s">
        <v>538</v>
      </c>
      <c r="C140" s="299" t="s">
        <v>539</v>
      </c>
      <c r="D140" s="299" t="s">
        <v>540</v>
      </c>
      <c r="E140" s="299" t="s">
        <v>541</v>
      </c>
      <c r="H140" s="301" t="s">
        <v>537</v>
      </c>
      <c r="I140" s="301" t="s">
        <v>538</v>
      </c>
      <c r="J140" s="301" t="s">
        <v>539</v>
      </c>
      <c r="K140" s="301" t="s">
        <v>540</v>
      </c>
      <c r="L140" s="301" t="s">
        <v>542</v>
      </c>
    </row>
    <row r="141" spans="1:12" x14ac:dyDescent="0.2">
      <c r="A141" s="292">
        <v>0</v>
      </c>
      <c r="B141" s="272">
        <v>0</v>
      </c>
      <c r="C141" s="293">
        <f>$B$128+$B$130+$B$132</f>
        <v>3213880.666666667</v>
      </c>
      <c r="D141" s="293">
        <f>B141+C141</f>
        <v>3213880.666666667</v>
      </c>
      <c r="E141" s="292">
        <v>0</v>
      </c>
      <c r="H141" s="292">
        <v>0</v>
      </c>
      <c r="I141" s="295">
        <v>0</v>
      </c>
      <c r="J141" s="297">
        <f>$F$128+$F$130+$F$132</f>
        <v>3256950.666666667</v>
      </c>
      <c r="K141" s="293">
        <f>I141+J141</f>
        <v>3256950.666666667</v>
      </c>
      <c r="L141" s="292">
        <v>0</v>
      </c>
    </row>
    <row r="142" spans="1:12" ht="14.25" x14ac:dyDescent="0.2">
      <c r="A142" s="294">
        <f>B86</f>
        <v>86897</v>
      </c>
      <c r="B142" s="295">
        <f>B129+B131+B133</f>
        <v>8270926.0165347848</v>
      </c>
      <c r="C142" s="293">
        <f>$B$128+$B$130+$B$132</f>
        <v>3213880.666666667</v>
      </c>
      <c r="D142" s="293">
        <f>B142+C142</f>
        <v>11484806.683201451</v>
      </c>
      <c r="E142" s="296">
        <f>B88</f>
        <v>17379400</v>
      </c>
      <c r="H142" s="294">
        <f>F86</f>
        <v>115862</v>
      </c>
      <c r="I142" s="298">
        <f>F129+F131+F133</f>
        <v>13011110.127455331</v>
      </c>
      <c r="J142" s="297">
        <f>$F$128+$F$130+$F$132</f>
        <v>3256950.666666667</v>
      </c>
      <c r="K142" s="293">
        <f>I142+J142</f>
        <v>16268060.794121999</v>
      </c>
      <c r="L142" s="296">
        <f>F88</f>
        <v>23172400</v>
      </c>
    </row>
    <row r="146" spans="1:3" x14ac:dyDescent="0.2">
      <c r="B146" s="300"/>
    </row>
    <row r="147" spans="1:3" x14ac:dyDescent="0.2">
      <c r="A147" s="300"/>
      <c r="B147" s="290"/>
    </row>
    <row r="148" spans="1:3" x14ac:dyDescent="0.2">
      <c r="C148" s="300"/>
    </row>
    <row r="149" spans="1:3" x14ac:dyDescent="0.2">
      <c r="B149" s="272"/>
      <c r="C149" s="290"/>
    </row>
  </sheetData>
  <sheetProtection selectLockedCells="1" selectUnlockedCells="1"/>
  <mergeCells count="2">
    <mergeCell ref="A139:E139"/>
    <mergeCell ref="H139:L139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A16" zoomScale="90" zoomScaleNormal="90" workbookViewId="0">
      <selection activeCell="F13" sqref="F13"/>
    </sheetView>
  </sheetViews>
  <sheetFormatPr baseColWidth="10" defaultColWidth="11.28515625" defaultRowHeight="12.75" x14ac:dyDescent="0.2"/>
  <cols>
    <col min="1" max="1" width="45.42578125" style="16" customWidth="1"/>
    <col min="2" max="7" width="14.7109375" style="16" customWidth="1"/>
    <col min="8" max="8" width="17.28515625" style="16" customWidth="1"/>
    <col min="9" max="9" width="40" style="16" customWidth="1"/>
    <col min="10" max="10" width="11.85546875" style="16" customWidth="1"/>
    <col min="11" max="11" width="13.5703125" style="16" bestFit="1" customWidth="1"/>
    <col min="12" max="12" width="18.85546875" style="16" customWidth="1"/>
    <col min="13" max="13" width="14.5703125" style="16" customWidth="1"/>
    <col min="14" max="14" width="12.5703125" style="16" bestFit="1" customWidth="1"/>
    <col min="15" max="16384" width="11.28515625" style="16"/>
  </cols>
  <sheetData>
    <row r="1" spans="1:20" x14ac:dyDescent="0.2">
      <c r="A1" s="1" t="s">
        <v>0</v>
      </c>
      <c r="B1"/>
      <c r="C1"/>
      <c r="D1"/>
      <c r="E1" s="2">
        <f>InfoInicial!E1</f>
        <v>9</v>
      </c>
    </row>
    <row r="2" spans="1:20" ht="13.5" thickBot="1" x14ac:dyDescent="0.25">
      <c r="A2" s="1"/>
      <c r="B2"/>
      <c r="C2"/>
      <c r="D2"/>
      <c r="E2" s="95"/>
    </row>
    <row r="3" spans="1:20" ht="16.5" thickTop="1" x14ac:dyDescent="0.25">
      <c r="A3" s="49" t="s">
        <v>167</v>
      </c>
      <c r="B3" s="50"/>
      <c r="C3" s="50"/>
      <c r="D3" s="50"/>
      <c r="E3" s="50"/>
      <c r="F3" s="50"/>
      <c r="G3" s="51"/>
    </row>
    <row r="4" spans="1:20" ht="13.5" thickBot="1" x14ac:dyDescent="0.25">
      <c r="A4" s="52" t="s">
        <v>93</v>
      </c>
      <c r="B4" s="21" t="s">
        <v>53</v>
      </c>
      <c r="C4" s="21" t="s">
        <v>54</v>
      </c>
      <c r="D4" s="21" t="s">
        <v>94</v>
      </c>
      <c r="E4" s="21" t="s">
        <v>95</v>
      </c>
      <c r="F4" s="21" t="s">
        <v>96</v>
      </c>
      <c r="G4" s="22" t="s">
        <v>97</v>
      </c>
    </row>
    <row r="5" spans="1:20" ht="13.5" thickTop="1" x14ac:dyDescent="0.2">
      <c r="A5" s="96" t="s">
        <v>168</v>
      </c>
      <c r="B5" s="97"/>
      <c r="C5" s="97"/>
      <c r="D5" s="97"/>
      <c r="E5" s="97"/>
      <c r="F5" s="97"/>
      <c r="G5" s="98"/>
    </row>
    <row r="6" spans="1:20" x14ac:dyDescent="0.2">
      <c r="A6" s="96" t="s">
        <v>169</v>
      </c>
      <c r="B6" s="85">
        <f>C6*0.8</f>
        <v>278070.40000000002</v>
      </c>
      <c r="C6" s="280">
        <f>'E-Costos'!B88*0.02</f>
        <v>347588</v>
      </c>
      <c r="D6" s="85">
        <f>'E-Costos'!$C$88*0.02</f>
        <v>463448</v>
      </c>
      <c r="E6" s="280">
        <f>'E-Costos'!$C$88*0.02</f>
        <v>463448</v>
      </c>
      <c r="F6" s="280">
        <f>'E-Costos'!$C$88*0.02</f>
        <v>463448</v>
      </c>
      <c r="G6" s="280">
        <f>'E-Costos'!$C$88*0.02</f>
        <v>463448</v>
      </c>
      <c r="I6" s="236" t="s">
        <v>509</v>
      </c>
      <c r="J6" s="236"/>
      <c r="K6" s="236"/>
      <c r="L6" s="236"/>
      <c r="M6" s="236"/>
      <c r="N6" s="236"/>
    </row>
    <row r="7" spans="1:20" x14ac:dyDescent="0.2">
      <c r="A7" s="96" t="s">
        <v>170</v>
      </c>
      <c r="B7" s="85">
        <v>0</v>
      </c>
      <c r="C7" s="85">
        <f>'E-Costos'!B88*30/365</f>
        <v>1428443.8356164384</v>
      </c>
      <c r="D7" s="85">
        <f>'E-Costos'!$C$88*30/365</f>
        <v>1904580.8219178081</v>
      </c>
      <c r="E7" s="280">
        <f>'E-Costos'!$C$88*30/365</f>
        <v>1904580.8219178081</v>
      </c>
      <c r="F7" s="280">
        <f>'E-Costos'!$C$88*30/365</f>
        <v>1904580.8219178081</v>
      </c>
      <c r="G7" s="280">
        <f>'E-Costos'!$C$88*30/365</f>
        <v>1904580.8219178081</v>
      </c>
      <c r="I7" s="236" t="s">
        <v>510</v>
      </c>
      <c r="J7" s="236"/>
      <c r="K7" s="236"/>
      <c r="L7" s="16" t="s">
        <v>511</v>
      </c>
      <c r="M7" s="260" t="s">
        <v>512</v>
      </c>
      <c r="N7" s="16" t="s">
        <v>513</v>
      </c>
      <c r="O7" s="211" t="s">
        <v>514</v>
      </c>
    </row>
    <row r="8" spans="1:20" x14ac:dyDescent="0.2">
      <c r="A8" s="99"/>
      <c r="B8" s="78"/>
      <c r="C8" s="78"/>
      <c r="D8" s="78"/>
      <c r="E8" s="78"/>
      <c r="F8" s="78"/>
      <c r="G8" s="79"/>
      <c r="I8" s="237"/>
      <c r="L8" s="232" t="s">
        <v>515</v>
      </c>
      <c r="M8" s="238">
        <v>86897.5</v>
      </c>
      <c r="N8" s="16">
        <v>125</v>
      </c>
      <c r="O8" s="16">
        <f>M8*N8</f>
        <v>10862187.5</v>
      </c>
    </row>
    <row r="9" spans="1:20" x14ac:dyDescent="0.2">
      <c r="A9" s="96" t="s">
        <v>171</v>
      </c>
      <c r="B9" s="87">
        <f>SUM(B10:B13)</f>
        <v>1063390.7779255467</v>
      </c>
      <c r="C9" s="87">
        <f t="shared" ref="C9:G9" si="0">SUM(C10:C13)</f>
        <v>1693646.760614374</v>
      </c>
      <c r="D9" s="87">
        <f t="shared" si="0"/>
        <v>1696907.0631251025</v>
      </c>
      <c r="E9" s="87">
        <f t="shared" si="0"/>
        <v>1696684.3379167716</v>
      </c>
      <c r="F9" s="87">
        <f t="shared" si="0"/>
        <v>1706525.0754035073</v>
      </c>
      <c r="G9" s="87">
        <f t="shared" si="0"/>
        <v>1706525.0754035073</v>
      </c>
      <c r="L9" s="232" t="s">
        <v>516</v>
      </c>
      <c r="M9" s="239">
        <v>115862</v>
      </c>
      <c r="N9" s="16">
        <v>125</v>
      </c>
      <c r="O9" s="16">
        <f>M9*N9</f>
        <v>14482750</v>
      </c>
    </row>
    <row r="10" spans="1:20" x14ac:dyDescent="0.2">
      <c r="A10" s="99" t="s">
        <v>172</v>
      </c>
      <c r="B10" s="57">
        <f>J11*Auxiliar!B77</f>
        <v>957612.33960000006</v>
      </c>
      <c r="C10" s="57">
        <f>$J$12*Auxiliar!$B$77</f>
        <v>1194314.0944000001</v>
      </c>
      <c r="D10" s="57">
        <f>$J$12*Auxiliar!$B$77</f>
        <v>1194314.0944000001</v>
      </c>
      <c r="E10" s="57">
        <f>$J$12*Auxiliar!$B$77</f>
        <v>1194314.0944000001</v>
      </c>
      <c r="F10" s="57">
        <f>$J$12*Auxiliar!$B$77</f>
        <v>1194314.0944000001</v>
      </c>
      <c r="G10" s="57">
        <f>$J$12*Auxiliar!$B$77</f>
        <v>1194314.0944000001</v>
      </c>
      <c r="J10" s="16" t="s">
        <v>517</v>
      </c>
    </row>
    <row r="11" spans="1:20" x14ac:dyDescent="0.2">
      <c r="A11" s="99" t="s">
        <v>173</v>
      </c>
      <c r="B11" s="57">
        <f>C11*0.8</f>
        <v>105778.43832554667</v>
      </c>
      <c r="C11" s="57">
        <f>((('E-Costos'!B12+'E-Costos'!C12+'E-Costos'!D12)/3)*(6/12)+(('E-Costos'!B54+'E-Costos'!C54+'E-Costos'!D54)/3)*(1/12)+(('E-Costos'!B71+'E-Costos'!C71+'E-Costos'!D71)/3)*(1/12))</f>
        <v>132223.04790693332</v>
      </c>
      <c r="D11" s="57">
        <f>((('E-Costos'!B12+'E-Costos'!C12+'E-Costos'!D12)/3)*(6/12)+(('E-Costos'!B54+'E-Costos'!C54+'E-Costos'!D54)/3)*(1/12)+(('E-Costos'!B71+'E-Costos'!C71+'E-Costos'!D71)/3)*(1/12))</f>
        <v>132223.04790693332</v>
      </c>
      <c r="E11" s="57">
        <f>((('E-Costos'!B12+'E-Costos'!C12+'E-Costos'!D12)/3)*(6/12)+(('E-Costos'!B54+'E-Costos'!C54+'E-Costos'!D54)/3)*(1/12)+(('E-Costos'!B71+'E-Costos'!C71+'E-Costos'!D71)/3)*(1/12))</f>
        <v>132223.04790693332</v>
      </c>
      <c r="F11" s="57">
        <f>('E-Costos'!E12*(6/12)+'E-Costos'!E54*(1/12)+'E-Costos'!E71*(1/12))</f>
        <v>141902.50589199999</v>
      </c>
      <c r="G11" s="57">
        <f>('E-Costos'!E12*(6/12)+'E-Costos'!E54*(1/12)+'E-Costos'!E71*(1/12))</f>
        <v>141902.50589199999</v>
      </c>
      <c r="I11" s="16" t="s">
        <v>518</v>
      </c>
      <c r="J11" s="240">
        <v>11082.45</v>
      </c>
      <c r="O11" s="236"/>
      <c r="P11" s="236"/>
      <c r="Q11" s="236"/>
      <c r="R11" s="236"/>
      <c r="S11" s="236"/>
      <c r="T11" s="236"/>
    </row>
    <row r="12" spans="1:20" ht="14.25" x14ac:dyDescent="0.2">
      <c r="A12" s="99" t="s">
        <v>174</v>
      </c>
      <c r="B12" s="57">
        <v>0</v>
      </c>
      <c r="C12" s="57">
        <f>'E-Costos'!B35</f>
        <v>259198.69824114663</v>
      </c>
      <c r="D12" s="57">
        <f>'E-Costos'!C35</f>
        <v>236914.25256961156</v>
      </c>
      <c r="E12" s="57">
        <f>'E-Costos'!D35</f>
        <v>236914.25256961156</v>
      </c>
      <c r="F12" s="57">
        <f>'E-Costos'!E35</f>
        <v>236968.66711398636</v>
      </c>
      <c r="G12" s="57">
        <f>'E-Costos'!F35</f>
        <v>236968.66711398636</v>
      </c>
      <c r="I12" s="16" t="s">
        <v>515</v>
      </c>
      <c r="J12" s="219">
        <v>13821.8</v>
      </c>
      <c r="O12" s="236"/>
      <c r="P12" s="236"/>
      <c r="Q12" s="236"/>
      <c r="R12" s="236"/>
      <c r="S12" s="236"/>
      <c r="T12" s="236"/>
    </row>
    <row r="13" spans="1:20" x14ac:dyDescent="0.2">
      <c r="A13" s="99" t="s">
        <v>175</v>
      </c>
      <c r="B13" s="57">
        <v>0</v>
      </c>
      <c r="C13" s="57">
        <f>K17*'E-Costos'!B102</f>
        <v>107910.92006629397</v>
      </c>
      <c r="D13" s="57">
        <f>'E-Costos'!C102*'E-InvAT'!$K$18</f>
        <v>133455.6682485574</v>
      </c>
      <c r="E13" s="57">
        <f>'E-Costos'!D102*'E-InvAT'!$K$18</f>
        <v>133232.9430402265</v>
      </c>
      <c r="F13" s="57">
        <f>'E-Costos'!E102*'E-InvAT'!$K$18</f>
        <v>133339.80799752104</v>
      </c>
      <c r="G13" s="57">
        <f>'E-Costos'!E102*'E-InvAT'!$K$18</f>
        <v>133339.80799752104</v>
      </c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</row>
    <row r="14" spans="1:20" x14ac:dyDescent="0.2">
      <c r="A14" s="99"/>
      <c r="B14" s="78"/>
      <c r="C14" s="78"/>
      <c r="D14" s="78"/>
      <c r="E14" s="78"/>
      <c r="F14" s="78"/>
      <c r="G14" s="79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</row>
    <row r="15" spans="1:20" x14ac:dyDescent="0.2">
      <c r="A15" s="96" t="s">
        <v>176</v>
      </c>
      <c r="B15" s="85">
        <f>B6+B7+B9</f>
        <v>1341461.1779255467</v>
      </c>
      <c r="C15" s="85">
        <f t="shared" ref="C15:G15" si="1">C6+C7+C9</f>
        <v>3469678.5962308124</v>
      </c>
      <c r="D15" s="85">
        <f t="shared" si="1"/>
        <v>4064935.8850429105</v>
      </c>
      <c r="E15" s="85">
        <f t="shared" si="1"/>
        <v>4064713.1598345796</v>
      </c>
      <c r="F15" s="85">
        <f t="shared" si="1"/>
        <v>4074553.8973213155</v>
      </c>
      <c r="G15" s="85">
        <f t="shared" si="1"/>
        <v>4074553.8973213155</v>
      </c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</row>
    <row r="16" spans="1:20" x14ac:dyDescent="0.2">
      <c r="A16" s="96" t="s">
        <v>177</v>
      </c>
      <c r="B16" s="87">
        <v>0</v>
      </c>
      <c r="C16" s="87">
        <f>SUM(C17:C20)</f>
        <v>355831.22859280021</v>
      </c>
      <c r="D16" s="87">
        <f t="shared" ref="D16:G16" si="2">SUM(D17:D20)</f>
        <v>381874.47964446945</v>
      </c>
      <c r="E16" s="87">
        <f t="shared" si="2"/>
        <v>382858.12284770596</v>
      </c>
      <c r="F16" s="87">
        <f t="shared" si="2"/>
        <v>382291.32551072107</v>
      </c>
      <c r="G16" s="87">
        <f t="shared" si="2"/>
        <v>382288.22231549193</v>
      </c>
      <c r="J16" s="241" t="s">
        <v>519</v>
      </c>
      <c r="K16" s="241" t="s">
        <v>520</v>
      </c>
      <c r="L16" s="236"/>
      <c r="M16" s="236"/>
      <c r="N16" s="236"/>
      <c r="O16" s="236"/>
      <c r="P16" s="236"/>
      <c r="Q16" s="236"/>
      <c r="R16" s="236"/>
      <c r="S16" s="236"/>
      <c r="T16" s="236"/>
    </row>
    <row r="17" spans="1:20" ht="14.25" x14ac:dyDescent="0.2">
      <c r="A17" s="99" t="s">
        <v>178</v>
      </c>
      <c r="B17" s="57">
        <v>0</v>
      </c>
      <c r="C17" s="57">
        <f>'E-Costos'!B28</f>
        <v>2258.5138449301071</v>
      </c>
      <c r="D17" s="57">
        <f>'E-Costos'!C28</f>
        <v>1693.8951302661053</v>
      </c>
      <c r="E17" s="57">
        <f>'E-Costos'!D28</f>
        <v>1693.8951302661053</v>
      </c>
      <c r="F17" s="57">
        <f>'E-Costos'!E28</f>
        <v>1692.4292746600868</v>
      </c>
      <c r="G17" s="57">
        <f>'E-Costos'!F28</f>
        <v>1692.4292746600868</v>
      </c>
      <c r="I17" s="242" t="s">
        <v>515</v>
      </c>
      <c r="J17" s="243">
        <v>88055.5</v>
      </c>
      <c r="K17" s="244">
        <v>1158</v>
      </c>
      <c r="L17" s="236"/>
      <c r="M17" s="236"/>
      <c r="N17" s="236"/>
      <c r="O17" s="236"/>
      <c r="P17" s="236"/>
      <c r="Q17" s="236"/>
      <c r="R17" s="236"/>
      <c r="S17" s="236"/>
      <c r="T17" s="236"/>
    </row>
    <row r="18" spans="1:20" ht="14.25" x14ac:dyDescent="0.2">
      <c r="A18" s="99" t="s">
        <v>179</v>
      </c>
      <c r="B18" s="57">
        <v>0</v>
      </c>
      <c r="C18" s="57">
        <f>('E-Costos'!B10-'E-InvAT'!C17)/J17*K17</f>
        <v>4369.7242376961949</v>
      </c>
      <c r="D18" s="57">
        <f>('E-Costos'!C10-'E-InvAT'!D17+C17)/$J$18*$K$18</f>
        <v>3349.220970779611</v>
      </c>
      <c r="E18" s="57">
        <f>('E-Costos'!D10-'E-InvAT'!E17+D17)/$J$18*$K$18</f>
        <v>3343.5778050170579</v>
      </c>
      <c r="F18" s="57">
        <f>('E-Costos'!E10-'E-InvAT'!F17+E17)/$J$18*$K$18</f>
        <v>3340.6990048996063</v>
      </c>
      <c r="G18" s="57">
        <f>('E-Costos'!F10-'E-InvAT'!G17+F17)/$J$18*$K$18</f>
        <v>3340.6843541876233</v>
      </c>
      <c r="H18" s="271"/>
      <c r="I18" s="242" t="s">
        <v>521</v>
      </c>
      <c r="J18" s="245">
        <v>115862</v>
      </c>
      <c r="K18" s="246">
        <v>1158</v>
      </c>
      <c r="L18" s="236"/>
      <c r="M18" s="236"/>
      <c r="N18" s="236"/>
      <c r="O18" s="236"/>
      <c r="P18" s="236"/>
      <c r="Q18" s="236"/>
      <c r="R18" s="236"/>
      <c r="S18" s="236"/>
      <c r="T18" s="236"/>
    </row>
    <row r="19" spans="1:20" x14ac:dyDescent="0.2">
      <c r="A19" s="99" t="s">
        <v>180</v>
      </c>
      <c r="B19" s="57">
        <v>0</v>
      </c>
      <c r="C19" s="57">
        <f>C7*'E-Costos'!B121</f>
        <v>319196.47148310207</v>
      </c>
      <c r="D19" s="57">
        <f>D7*'E-Costos'!C121</f>
        <v>346149.77382614312</v>
      </c>
      <c r="E19" s="57">
        <f>E7*'E-Costos'!D121</f>
        <v>347268.88037178479</v>
      </c>
      <c r="F19" s="57">
        <f>F7*'E-Costos'!E121</f>
        <v>346732.97277354024</v>
      </c>
      <c r="G19" s="57">
        <f>G7*'E-Costos'!F121</f>
        <v>346730.24011984601</v>
      </c>
    </row>
    <row r="20" spans="1:20" x14ac:dyDescent="0.2">
      <c r="A20" s="99" t="s">
        <v>181</v>
      </c>
      <c r="B20" s="57">
        <v>0</v>
      </c>
      <c r="C20" s="57">
        <f>(('E-Inv AF y Am'!D56-'E-InvAT'!C18-'E-InvAT'!C17)/365)*30</f>
        <v>30006.519027071809</v>
      </c>
      <c r="D20" s="57">
        <f>('E-Inv AF y Am'!D56-D18-D17+C18+C17)*30/365</f>
        <v>30681.5897172806</v>
      </c>
      <c r="E20" s="57">
        <f>('E-Inv AF y Am'!D56-E18-E17+D18+D17)*30/365</f>
        <v>30551.769540638019</v>
      </c>
      <c r="F20" s="57">
        <f>('E-Inv AF y Am'!E56-F18-F17+E18+E17)*30/365</f>
        <v>30525.224457621109</v>
      </c>
      <c r="G20" s="57">
        <f>('E-Inv AF y Am'!E56-G18-G17+F18+F17)*30/365</f>
        <v>30524.868566798246</v>
      </c>
    </row>
    <row r="21" spans="1:20" x14ac:dyDescent="0.2">
      <c r="A21" s="99"/>
      <c r="B21" s="78"/>
      <c r="C21" s="78"/>
      <c r="D21" s="78"/>
      <c r="E21" s="78"/>
      <c r="F21" s="78"/>
      <c r="G21" s="79"/>
    </row>
    <row r="22" spans="1:20" x14ac:dyDescent="0.2">
      <c r="A22" s="96" t="s">
        <v>182</v>
      </c>
      <c r="B22" s="85">
        <f>B15-B16</f>
        <v>1341461.1779255467</v>
      </c>
      <c r="C22" s="85">
        <f t="shared" ref="C22:G22" si="3">C15-C16</f>
        <v>3113847.3676380124</v>
      </c>
      <c r="D22" s="85">
        <f t="shared" si="3"/>
        <v>3683061.405398441</v>
      </c>
      <c r="E22" s="85">
        <f t="shared" si="3"/>
        <v>3681855.0369868735</v>
      </c>
      <c r="F22" s="85">
        <f t="shared" si="3"/>
        <v>3692262.5718105943</v>
      </c>
      <c r="G22" s="85">
        <f t="shared" si="3"/>
        <v>3692265.6750058234</v>
      </c>
      <c r="H22" s="269"/>
    </row>
    <row r="23" spans="1:20" x14ac:dyDescent="0.2">
      <c r="A23" s="99"/>
      <c r="B23" s="78"/>
      <c r="C23" s="78"/>
      <c r="D23" s="78"/>
      <c r="E23" s="78"/>
      <c r="F23" s="78"/>
      <c r="G23" s="79"/>
    </row>
    <row r="24" spans="1:20" x14ac:dyDescent="0.2">
      <c r="A24" s="96" t="s">
        <v>183</v>
      </c>
      <c r="B24" s="57">
        <f>B15-0</f>
        <v>1341461.1779255467</v>
      </c>
      <c r="C24" s="57">
        <f>C15-B15</f>
        <v>2128217.4183052657</v>
      </c>
      <c r="D24" s="57">
        <f>D15-C15</f>
        <v>595257.28881209809</v>
      </c>
      <c r="E24" s="57">
        <f>E15-D15</f>
        <v>-222.72520833089948</v>
      </c>
      <c r="F24" s="57">
        <f t="shared" ref="F24:G24" si="4">F15-E15</f>
        <v>9840.7374867359176</v>
      </c>
      <c r="G24" s="57">
        <f t="shared" si="4"/>
        <v>0</v>
      </c>
    </row>
    <row r="25" spans="1:20" x14ac:dyDescent="0.2">
      <c r="A25" s="96" t="s">
        <v>184</v>
      </c>
      <c r="B25" s="85">
        <f>B22-0</f>
        <v>1341461.1779255467</v>
      </c>
      <c r="C25" s="85">
        <f>C22-B22</f>
        <v>1772386.1897124657</v>
      </c>
      <c r="D25" s="85">
        <f t="shared" ref="D25:G25" si="5">D22-C22</f>
        <v>569214.03776042862</v>
      </c>
      <c r="E25" s="85">
        <f t="shared" si="5"/>
        <v>-1206.3684115675278</v>
      </c>
      <c r="F25" s="85">
        <f t="shared" si="5"/>
        <v>10407.534823720809</v>
      </c>
      <c r="G25" s="85">
        <f t="shared" si="5"/>
        <v>3.1031952290795743</v>
      </c>
      <c r="H25" s="269"/>
    </row>
    <row r="26" spans="1:20" x14ac:dyDescent="0.2">
      <c r="A26" s="99"/>
      <c r="B26" s="78"/>
      <c r="C26" s="78"/>
      <c r="D26" s="78"/>
      <c r="E26" s="78"/>
      <c r="F26" s="78"/>
      <c r="G26" s="79"/>
    </row>
    <row r="27" spans="1:20" x14ac:dyDescent="0.2">
      <c r="A27" s="96" t="s">
        <v>185</v>
      </c>
      <c r="B27" s="78"/>
      <c r="C27" s="78"/>
      <c r="D27" s="78"/>
      <c r="E27" s="78"/>
      <c r="F27" s="78"/>
      <c r="G27" s="79"/>
    </row>
    <row r="28" spans="1:20" x14ac:dyDescent="0.2">
      <c r="A28" s="99" t="s">
        <v>186</v>
      </c>
      <c r="B28" s="57"/>
      <c r="C28" s="57"/>
      <c r="D28" s="57"/>
      <c r="E28" s="57"/>
      <c r="F28" s="57"/>
      <c r="G28" s="58"/>
    </row>
    <row r="29" spans="1:20" x14ac:dyDescent="0.2">
      <c r="A29" s="99" t="s">
        <v>187</v>
      </c>
      <c r="B29" s="57"/>
      <c r="C29" s="57"/>
      <c r="D29" s="57"/>
      <c r="E29" s="57"/>
      <c r="F29" s="57"/>
      <c r="G29" s="58"/>
    </row>
    <row r="30" spans="1:20" x14ac:dyDescent="0.2">
      <c r="A30" s="99" t="s">
        <v>188</v>
      </c>
      <c r="B30" s="57">
        <f>B10*0.21</f>
        <v>201098.59131600001</v>
      </c>
      <c r="C30" s="57">
        <f>(C10-B10)*0.21</f>
        <v>49707.368508</v>
      </c>
      <c r="D30" s="57">
        <f t="shared" ref="D30:G31" si="6">(D10-C10)*0.21</f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</row>
    <row r="31" spans="1:20" ht="13.5" thickBot="1" x14ac:dyDescent="0.25">
      <c r="A31" s="99" t="s">
        <v>189</v>
      </c>
      <c r="B31" s="57">
        <f>B11*0.21</f>
        <v>22213.472048364798</v>
      </c>
      <c r="C31" s="57">
        <f>(C11-B11)*0.21</f>
        <v>5553.3680120911977</v>
      </c>
      <c r="D31" s="57">
        <f>(D11-C11)*0.21</f>
        <v>0</v>
      </c>
      <c r="E31" s="57">
        <f>(E11-D11)*0.21</f>
        <v>0</v>
      </c>
      <c r="F31" s="57">
        <f t="shared" si="6"/>
        <v>2032.6861768639992</v>
      </c>
      <c r="G31" s="57">
        <f t="shared" si="6"/>
        <v>0</v>
      </c>
    </row>
    <row r="32" spans="1:20" x14ac:dyDescent="0.2">
      <c r="A32" s="99" t="s">
        <v>190</v>
      </c>
      <c r="B32" s="57">
        <v>0</v>
      </c>
      <c r="C32" s="57">
        <f>J39</f>
        <v>24718.168264684711</v>
      </c>
      <c r="D32" s="57">
        <f t="shared" ref="D32:G32" si="7">K39</f>
        <v>-4.4271752781678515</v>
      </c>
      <c r="E32" s="57">
        <f t="shared" si="7"/>
        <v>0</v>
      </c>
      <c r="F32" s="57">
        <f t="shared" si="7"/>
        <v>10.888435527915135</v>
      </c>
      <c r="G32" s="57">
        <f t="shared" si="7"/>
        <v>0</v>
      </c>
      <c r="I32" s="247" t="s">
        <v>522</v>
      </c>
      <c r="J32" s="248" t="s">
        <v>54</v>
      </c>
      <c r="K32" s="248" t="s">
        <v>94</v>
      </c>
      <c r="L32" s="248" t="s">
        <v>95</v>
      </c>
      <c r="M32" s="248" t="s">
        <v>96</v>
      </c>
      <c r="N32" s="249" t="s">
        <v>97</v>
      </c>
    </row>
    <row r="33" spans="1:14" x14ac:dyDescent="0.2">
      <c r="A33" s="99" t="s">
        <v>191</v>
      </c>
      <c r="B33" s="220">
        <v>0</v>
      </c>
      <c r="C33" s="220">
        <f>J48</f>
        <v>20656.576867471918</v>
      </c>
      <c r="D33" s="220">
        <f t="shared" ref="D33:G33" si="8">K48</f>
        <v>3426.5812769630538</v>
      </c>
      <c r="E33" s="220">
        <f t="shared" si="8"/>
        <v>0</v>
      </c>
      <c r="F33" s="220">
        <f t="shared" si="8"/>
        <v>21.601497454696073</v>
      </c>
      <c r="G33" s="220">
        <f t="shared" si="8"/>
        <v>0</v>
      </c>
      <c r="I33" s="250" t="s">
        <v>98</v>
      </c>
      <c r="J33" s="251">
        <f>'E-Costos'!B25*0.21</f>
        <v>24347.873423999998</v>
      </c>
      <c r="K33" s="251">
        <f>'E-Costos'!C25*0.21</f>
        <v>24347.873423999998</v>
      </c>
      <c r="L33" s="251">
        <f>'E-Costos'!D25*0.21</f>
        <v>24347.873423999998</v>
      </c>
      <c r="M33" s="251">
        <f>'E-Costos'!E25*0.21</f>
        <v>24347.873423999998</v>
      </c>
      <c r="N33" s="252">
        <f>'E-Costos'!F25*0.21</f>
        <v>24347.873423999998</v>
      </c>
    </row>
    <row r="34" spans="1:14" x14ac:dyDescent="0.2">
      <c r="A34" s="96" t="s">
        <v>192</v>
      </c>
      <c r="B34" s="261">
        <f>SUM(B30:B33)</f>
        <v>223312.06336436479</v>
      </c>
      <c r="C34" s="261">
        <f t="shared" ref="C34:G34" si="9">SUM(C30:C33)</f>
        <v>100635.48165224782</v>
      </c>
      <c r="D34" s="261">
        <f t="shared" si="9"/>
        <v>3422.154101684886</v>
      </c>
      <c r="E34" s="261">
        <f t="shared" si="9"/>
        <v>0</v>
      </c>
      <c r="F34" s="261">
        <f t="shared" si="9"/>
        <v>2065.1761098466104</v>
      </c>
      <c r="G34" s="261">
        <f t="shared" si="9"/>
        <v>0</v>
      </c>
      <c r="I34" s="250" t="s">
        <v>103</v>
      </c>
      <c r="J34" s="251">
        <f>'E-Costos'!B30*0.21</f>
        <v>289.08867337980558</v>
      </c>
      <c r="K34" s="251">
        <f>'E-Costos'!C30*0.21</f>
        <v>289.08867337980558</v>
      </c>
      <c r="L34" s="251">
        <f>'E-Costos'!D30*0.21</f>
        <v>289.08867337980558</v>
      </c>
      <c r="M34" s="251">
        <f>'E-Costos'!E30*0.21</f>
        <v>299.9771089077222</v>
      </c>
      <c r="N34" s="252">
        <f>'E-Costos'!F30*0.21</f>
        <v>299.9771089077222</v>
      </c>
    </row>
    <row r="35" spans="1:14" x14ac:dyDescent="0.2">
      <c r="A35" s="99"/>
      <c r="B35" s="60"/>
      <c r="C35" s="60"/>
      <c r="D35" s="60"/>
      <c r="E35" s="60"/>
      <c r="F35" s="60"/>
      <c r="G35" s="61"/>
      <c r="I35" s="250" t="s">
        <v>104</v>
      </c>
      <c r="J35" s="251">
        <f>'E-Costos'!B31*0.21</f>
        <v>48.69892805985517</v>
      </c>
      <c r="K35" s="251">
        <f>'E-Costos'!C31*0.21</f>
        <v>44.271752781686516</v>
      </c>
      <c r="L35" s="251">
        <f>'E-Costos'!D31*0.21</f>
        <v>44.271752781686516</v>
      </c>
      <c r="M35" s="251">
        <f>'E-Costos'!E31*0.21</f>
        <v>44.271752781686516</v>
      </c>
      <c r="N35" s="252">
        <f>'E-Costos'!F31*0.21</f>
        <v>44.271752781686516</v>
      </c>
    </row>
    <row r="36" spans="1:14" ht="13.5" thickBot="1" x14ac:dyDescent="0.25">
      <c r="A36" s="100" t="s">
        <v>193</v>
      </c>
      <c r="B36" s="138">
        <f>B25+B34</f>
        <v>1564773.2412899113</v>
      </c>
      <c r="C36" s="138">
        <f t="shared" ref="C36:G36" si="10">C25+C34</f>
        <v>1873021.6713647135</v>
      </c>
      <c r="D36" s="138">
        <f t="shared" si="10"/>
        <v>572636.19186211354</v>
      </c>
      <c r="E36" s="138">
        <f t="shared" si="10"/>
        <v>-1206.3684115675278</v>
      </c>
      <c r="F36" s="138">
        <f t="shared" si="10"/>
        <v>12472.710933567419</v>
      </c>
      <c r="G36" s="138">
        <f t="shared" si="10"/>
        <v>3.1031952290795743</v>
      </c>
      <c r="I36" s="250" t="s">
        <v>105</v>
      </c>
      <c r="J36" s="251">
        <f>'E-Costos'!B32*0.21</f>
        <v>32.507239245052588</v>
      </c>
      <c r="K36" s="251">
        <f>'E-Costos'!C32*0.21</f>
        <v>32.507239245052588</v>
      </c>
      <c r="L36" s="251">
        <f>'E-Costos'!D32*0.21</f>
        <v>32.507239245052588</v>
      </c>
      <c r="M36" s="251">
        <f>'E-Costos'!E32*0.21</f>
        <v>32.507239245052588</v>
      </c>
      <c r="N36" s="252">
        <f>'E-Costos'!F32*0.21</f>
        <v>32.507239245052588</v>
      </c>
    </row>
    <row r="37" spans="1:14" ht="13.5" thickTop="1" x14ac:dyDescent="0.2">
      <c r="I37" s="250"/>
      <c r="J37" s="253"/>
      <c r="K37" s="253"/>
      <c r="L37" s="253"/>
      <c r="M37" s="253"/>
      <c r="N37" s="254"/>
    </row>
    <row r="38" spans="1:14" x14ac:dyDescent="0.2">
      <c r="I38" s="250" t="s">
        <v>157</v>
      </c>
      <c r="J38" s="251">
        <f>SUM(J33:J36)</f>
        <v>24718.168264684711</v>
      </c>
      <c r="K38" s="251">
        <f t="shared" ref="K38:N38" si="11">SUM(K33:K36)</f>
        <v>24713.741089406543</v>
      </c>
      <c r="L38" s="251">
        <f t="shared" si="11"/>
        <v>24713.741089406543</v>
      </c>
      <c r="M38" s="251">
        <f t="shared" si="11"/>
        <v>24724.629524934458</v>
      </c>
      <c r="N38" s="252">
        <f t="shared" si="11"/>
        <v>24724.629524934458</v>
      </c>
    </row>
    <row r="39" spans="1:14" ht="13.5" thickBot="1" x14ac:dyDescent="0.25">
      <c r="I39" s="255" t="s">
        <v>523</v>
      </c>
      <c r="J39" s="256">
        <f>J38</f>
        <v>24718.168264684711</v>
      </c>
      <c r="K39" s="256">
        <f>K38-J38</f>
        <v>-4.4271752781678515</v>
      </c>
      <c r="L39" s="256">
        <f t="shared" ref="L39:N39" si="12">L38-K38</f>
        <v>0</v>
      </c>
      <c r="M39" s="256">
        <f t="shared" si="12"/>
        <v>10.888435527915135</v>
      </c>
      <c r="N39" s="257">
        <f t="shared" si="12"/>
        <v>0</v>
      </c>
    </row>
    <row r="40" spans="1:14" ht="13.5" thickBot="1" x14ac:dyDescent="0.25"/>
    <row r="41" spans="1:14" x14ac:dyDescent="0.2">
      <c r="I41" s="258" t="s">
        <v>524</v>
      </c>
      <c r="J41" s="248" t="s">
        <v>54</v>
      </c>
      <c r="K41" s="248" t="s">
        <v>94</v>
      </c>
      <c r="L41" s="248" t="s">
        <v>95</v>
      </c>
      <c r="M41" s="248" t="s">
        <v>96</v>
      </c>
      <c r="N41" s="249" t="s">
        <v>97</v>
      </c>
    </row>
    <row r="42" spans="1:14" x14ac:dyDescent="0.2">
      <c r="I42" s="250" t="s">
        <v>98</v>
      </c>
      <c r="J42" s="251">
        <f>0.21*('E-Costos'!B7+'E-Costos'!B25+'E-Costos'!B41)*'E-InvAT'!K17/'E-InvAT'!J17</f>
        <v>19042.704842149411</v>
      </c>
      <c r="K42" s="251">
        <f>0.21*('E-Costos'!C7+'E-Costos'!C25+'E-Costos'!C41)*'E-InvAT'!$K$18/'E-InvAT'!$J$18</f>
        <v>23357.315628054064</v>
      </c>
      <c r="L42" s="251">
        <f>0.21*('E-Costos'!D7+'E-Costos'!D25+'E-Costos'!D41)*'E-InvAT'!$K$18/'E-InvAT'!$J$18</f>
        <v>23357.315628054064</v>
      </c>
      <c r="M42" s="251">
        <f>0.21*('E-Costos'!E7+'E-Costos'!E25+'E-Costos'!E41)*'E-InvAT'!$K$18/'E-InvAT'!$J$18</f>
        <v>23357.315628054064</v>
      </c>
      <c r="N42" s="252">
        <f>0.21*('E-Costos'!F7+'E-Costos'!F25+'E-Costos'!F41)*'E-InvAT'!$K$18/'E-InvAT'!$J$18</f>
        <v>23357.315628054064</v>
      </c>
    </row>
    <row r="43" spans="1:14" x14ac:dyDescent="0.2">
      <c r="I43" s="250" t="s">
        <v>103</v>
      </c>
      <c r="J43" s="251">
        <f>0.21*('E-Costos'!B12+'E-Costos'!B30+'E-Costos'!B41)*'E-InvAT'!K17/'E-InvAT'!J17</f>
        <v>940.14980339027181</v>
      </c>
      <c r="K43" s="251">
        <f>0.21*('E-Costos'!C12+'E-Costos'!C30+'E-Costos'!C41)*$K$18/$J$18</f>
        <v>573.52116621198093</v>
      </c>
      <c r="L43" s="251">
        <f>0.21*('E-Costos'!D12+'E-Costos'!D30+'E-Costos'!D41)*$K$18/$J$18</f>
        <v>573.52116621198093</v>
      </c>
      <c r="M43" s="251">
        <f>0.21*('E-Costos'!E12+'E-Costos'!E30+'E-Costos'!E41)*$K$18/$J$18</f>
        <v>595.12266366667461</v>
      </c>
      <c r="N43" s="252">
        <f>0.21*('E-Costos'!F12+'E-Costos'!F30+'E-Costos'!F41)*$K$18/$J$18</f>
        <v>595.12266366667461</v>
      </c>
    </row>
    <row r="44" spans="1:14" x14ac:dyDescent="0.2">
      <c r="I44" s="250" t="s">
        <v>104</v>
      </c>
      <c r="J44" s="251">
        <f>0.21*('E-Costos'!B13+'E-Costos'!B31+'E-Costos'!B41)*'E-InvAT'!K17/'E-InvAT'!J17</f>
        <v>370.47767335306332</v>
      </c>
      <c r="K44" s="251">
        <f>0.21*('E-Costos'!C13+'E-Costos'!C31+'E-Costos'!C41)*'E-InvAT'!$K$18/'E-InvAT'!$J$18</f>
        <v>87.830446584957912</v>
      </c>
      <c r="L44" s="251">
        <f>0.21*('E-Costos'!D13+'E-Costos'!D31+'E-Costos'!D41)*'E-InvAT'!$K$18/'E-InvAT'!$J$18</f>
        <v>87.830446584957912</v>
      </c>
      <c r="M44" s="251">
        <f>0.21*('E-Costos'!E13+'E-Costos'!E31+'E-Costos'!E41)*'E-InvAT'!$K$18/'E-InvAT'!$J$18</f>
        <v>87.830446584957912</v>
      </c>
      <c r="N44" s="252">
        <f>0.21*('E-Costos'!F13+'E-Costos'!F31+'E-Costos'!F41)*'E-InvAT'!$K$18/'E-InvAT'!$J$18</f>
        <v>87.830446584957912</v>
      </c>
    </row>
    <row r="45" spans="1:14" x14ac:dyDescent="0.2">
      <c r="I45" s="250" t="s">
        <v>105</v>
      </c>
      <c r="J45" s="251">
        <f>0.21*('E-Costos'!B14+'E-Costos'!B32+'E-Costos'!B41)*K17/J17</f>
        <v>303.2445485791709</v>
      </c>
      <c r="K45" s="251">
        <f>0.21*('E-Costos'!C14+'E-Costos'!C32+'E-Costos'!C41)*'E-InvAT'!$K$18/'E-InvAT'!$J$18</f>
        <v>64.490903583968603</v>
      </c>
      <c r="L45" s="251">
        <f>0.21*('E-Costos'!D14+'E-Costos'!D32+'E-Costos'!D41)*'E-InvAT'!$K$18/'E-InvAT'!$J$18</f>
        <v>64.490903583968603</v>
      </c>
      <c r="M45" s="251">
        <f>0.21*('E-Costos'!E14+'E-Costos'!E32+'E-Costos'!E41)*'E-InvAT'!$K$18/'E-InvAT'!$J$18</f>
        <v>64.490903583968603</v>
      </c>
      <c r="N45" s="252">
        <f>0.21*('E-Costos'!F14+'E-Costos'!F32+'E-Costos'!F41)*'E-InvAT'!$K$18/'E-InvAT'!$J$18</f>
        <v>64.490903583968603</v>
      </c>
    </row>
    <row r="46" spans="1:14" x14ac:dyDescent="0.2">
      <c r="I46" s="250"/>
      <c r="J46" s="251"/>
      <c r="K46" s="251"/>
      <c r="L46" s="251"/>
      <c r="M46" s="251"/>
      <c r="N46" s="252"/>
    </row>
    <row r="47" spans="1:14" x14ac:dyDescent="0.2">
      <c r="I47" s="250" t="s">
        <v>157</v>
      </c>
      <c r="J47" s="251">
        <f>SUM(J42:J45)</f>
        <v>20656.576867471918</v>
      </c>
      <c r="K47" s="251">
        <f t="shared" ref="K47:N47" si="13">SUM(K42:K45)</f>
        <v>24083.158144434972</v>
      </c>
      <c r="L47" s="251">
        <f t="shared" si="13"/>
        <v>24083.158144434972</v>
      </c>
      <c r="M47" s="251">
        <f t="shared" si="13"/>
        <v>24104.759641889668</v>
      </c>
      <c r="N47" s="252">
        <f t="shared" si="13"/>
        <v>24104.759641889668</v>
      </c>
    </row>
    <row r="48" spans="1:14" ht="13.5" thickBot="1" x14ac:dyDescent="0.25">
      <c r="I48" s="255" t="s">
        <v>523</v>
      </c>
      <c r="J48" s="256">
        <f>J47</f>
        <v>20656.576867471918</v>
      </c>
      <c r="K48" s="256">
        <f>K47-J47</f>
        <v>3426.5812769630538</v>
      </c>
      <c r="L48" s="256">
        <f t="shared" ref="L48:N48" si="14">L47-K47</f>
        <v>0</v>
      </c>
      <c r="M48" s="256">
        <f t="shared" si="14"/>
        <v>21.601497454696073</v>
      </c>
      <c r="N48" s="257">
        <f t="shared" si="14"/>
        <v>0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2" zoomScale="90" zoomScaleNormal="90" workbookViewId="0">
      <selection activeCell="A33" sqref="A33"/>
    </sheetView>
  </sheetViews>
  <sheetFormatPr baseColWidth="10" defaultColWidth="11.28515625" defaultRowHeight="12.75" x14ac:dyDescent="0.2"/>
  <cols>
    <col min="1" max="1" width="28" style="16" customWidth="1"/>
    <col min="2" max="2" width="13.85546875" style="16" customWidth="1"/>
    <col min="3" max="3" width="16.85546875" style="16" customWidth="1"/>
    <col min="4" max="4" width="15.42578125" style="16" customWidth="1"/>
    <col min="5" max="5" width="14.42578125" style="16" customWidth="1"/>
    <col min="6" max="6" width="14.7109375" style="16" customWidth="1"/>
    <col min="7" max="8" width="13.85546875" style="16" customWidth="1"/>
    <col min="9" max="9" width="16.28515625" style="16" customWidth="1"/>
    <col min="10" max="10" width="17.28515625" style="16" customWidth="1"/>
    <col min="11" max="11" width="13.140625" style="16" customWidth="1"/>
    <col min="12" max="16384" width="11.28515625" style="16"/>
  </cols>
  <sheetData>
    <row r="1" spans="1:11" x14ac:dyDescent="0.2">
      <c r="A1" s="1" t="s">
        <v>0</v>
      </c>
      <c r="B1"/>
      <c r="C1"/>
      <c r="D1"/>
      <c r="G1" s="2">
        <f>InfoInicial!E1</f>
        <v>9</v>
      </c>
    </row>
    <row r="3" spans="1:11" ht="15.75" x14ac:dyDescent="0.25">
      <c r="A3" s="49" t="s">
        <v>194</v>
      </c>
      <c r="B3" s="50"/>
      <c r="C3" s="50"/>
      <c r="D3" s="50"/>
      <c r="E3" s="50"/>
      <c r="F3" s="50"/>
      <c r="G3" s="50"/>
      <c r="H3" s="50"/>
      <c r="I3" s="51"/>
    </row>
    <row r="4" spans="1:11" ht="25.5" x14ac:dyDescent="0.2">
      <c r="A4" s="52" t="s">
        <v>93</v>
      </c>
      <c r="B4" s="101" t="s">
        <v>195</v>
      </c>
      <c r="C4" s="101" t="s">
        <v>196</v>
      </c>
      <c r="D4" s="21" t="s">
        <v>54</v>
      </c>
      <c r="E4" s="21" t="s">
        <v>94</v>
      </c>
      <c r="F4" s="21" t="s">
        <v>95</v>
      </c>
      <c r="G4" s="21" t="s">
        <v>96</v>
      </c>
      <c r="H4" s="102" t="s">
        <v>97</v>
      </c>
      <c r="I4" s="22" t="s">
        <v>197</v>
      </c>
    </row>
    <row r="5" spans="1:11" x14ac:dyDescent="0.2">
      <c r="A5" s="96" t="s">
        <v>198</v>
      </c>
      <c r="B5" s="97"/>
      <c r="C5" s="97"/>
      <c r="D5" s="97"/>
      <c r="E5" s="97"/>
      <c r="F5" s="97"/>
      <c r="G5" s="97"/>
      <c r="H5" s="103"/>
      <c r="I5" s="98"/>
    </row>
    <row r="6" spans="1:11" x14ac:dyDescent="0.2">
      <c r="A6" s="104" t="s">
        <v>199</v>
      </c>
      <c r="B6" s="57">
        <v>0</v>
      </c>
      <c r="C6" s="57">
        <f>'E-Inv AF y Am'!B20</f>
        <v>11323401.199999999</v>
      </c>
      <c r="D6" s="57">
        <v>0</v>
      </c>
      <c r="E6" s="57">
        <v>0</v>
      </c>
      <c r="F6" s="57">
        <v>0</v>
      </c>
      <c r="G6" s="57">
        <v>0</v>
      </c>
      <c r="H6" s="105">
        <v>0</v>
      </c>
      <c r="I6" s="58">
        <f>SUM(B6:H6)</f>
        <v>11323401.199999999</v>
      </c>
    </row>
    <row r="7" spans="1:11" x14ac:dyDescent="0.2">
      <c r="A7" s="104" t="s">
        <v>200</v>
      </c>
      <c r="B7" s="57">
        <f>'E-Inv AF y Am'!B23</f>
        <v>100000</v>
      </c>
      <c r="C7" s="57">
        <f>'E-Inv AF y Am'!B24+'E-Inv AF y Am'!B25+'E-Inv AF y Am'!B27+'E-Inv AF y Am'!B28+'E-Inv AF y Am'!B29</f>
        <v>402200</v>
      </c>
      <c r="D7" s="57">
        <f>'E-Inv AF y Am'!C26+'E-Inv AF y Am'!C29</f>
        <v>377214.06456000003</v>
      </c>
      <c r="E7" s="57">
        <v>0</v>
      </c>
      <c r="F7" s="57">
        <v>0</v>
      </c>
      <c r="G7" s="57">
        <v>0</v>
      </c>
      <c r="H7" s="105">
        <v>0</v>
      </c>
      <c r="I7" s="58">
        <f>SUM(B7:H7)</f>
        <v>879414.06456000009</v>
      </c>
    </row>
    <row r="8" spans="1:11" x14ac:dyDescent="0.2">
      <c r="A8" s="96" t="s">
        <v>201</v>
      </c>
      <c r="B8" s="85">
        <f>SUM(B6:B7)</f>
        <v>100000</v>
      </c>
      <c r="C8" s="85">
        <f t="shared" ref="C8:I8" si="0">SUM(C6:C7)</f>
        <v>11725601.199999999</v>
      </c>
      <c r="D8" s="85">
        <f t="shared" si="0"/>
        <v>377214.06456000003</v>
      </c>
      <c r="E8" s="85">
        <f t="shared" si="0"/>
        <v>0</v>
      </c>
      <c r="F8" s="85">
        <f t="shared" si="0"/>
        <v>0</v>
      </c>
      <c r="G8" s="85">
        <f t="shared" si="0"/>
        <v>0</v>
      </c>
      <c r="H8" s="85">
        <f t="shared" si="0"/>
        <v>0</v>
      </c>
      <c r="I8" s="85">
        <f t="shared" si="0"/>
        <v>12202815.264559999</v>
      </c>
    </row>
    <row r="9" spans="1:11" x14ac:dyDescent="0.2">
      <c r="A9" s="104"/>
      <c r="B9" s="78"/>
      <c r="C9" s="78"/>
      <c r="D9" s="78"/>
      <c r="E9" s="78"/>
      <c r="F9" s="78"/>
      <c r="G9" s="78"/>
      <c r="H9" s="106"/>
      <c r="I9" s="79"/>
    </row>
    <row r="10" spans="1:11" x14ac:dyDescent="0.2">
      <c r="A10" s="96" t="s">
        <v>202</v>
      </c>
      <c r="B10" s="57"/>
      <c r="C10" s="57"/>
      <c r="D10" s="57"/>
      <c r="E10" s="57"/>
      <c r="F10" s="57"/>
      <c r="G10" s="57"/>
      <c r="H10" s="105"/>
      <c r="I10" s="58"/>
    </row>
    <row r="11" spans="1:11" x14ac:dyDescent="0.2">
      <c r="A11" s="104" t="s">
        <v>203</v>
      </c>
      <c r="B11" s="57">
        <v>0</v>
      </c>
      <c r="C11" s="57">
        <f>'E-InvAT'!B6</f>
        <v>278070.40000000002</v>
      </c>
      <c r="D11" s="57">
        <f>'E-InvAT'!C6-'E-InvAT'!B6</f>
        <v>69517.599999999977</v>
      </c>
      <c r="E11" s="57">
        <f>'E-InvAT'!D6-'E-InvAT'!C6</f>
        <v>115860</v>
      </c>
      <c r="F11" s="57">
        <f>'E-InvAT'!E6-'E-InvAT'!D6</f>
        <v>0</v>
      </c>
      <c r="G11" s="57">
        <f>'E-InvAT'!F6-'E-InvAT'!E6</f>
        <v>0</v>
      </c>
      <c r="H11" s="57">
        <f>'E-InvAT'!G6-'E-InvAT'!F6</f>
        <v>0</v>
      </c>
      <c r="I11" s="58">
        <f>SUM(B11:H11)</f>
        <v>463448</v>
      </c>
    </row>
    <row r="12" spans="1:11" x14ac:dyDescent="0.2">
      <c r="A12" s="104" t="s">
        <v>204</v>
      </c>
      <c r="B12" s="57">
        <v>0</v>
      </c>
      <c r="C12" s="57">
        <v>0</v>
      </c>
      <c r="D12" s="57">
        <f>'E-InvAT'!C7-'E-InvAT'!C19-'E-InvAT'!C20</f>
        <v>1079240.8451062646</v>
      </c>
      <c r="E12" s="57">
        <f>'E-InvAT'!C19+'E-InvAT'!C20-'E-InvAT'!D19-'E-InvAT'!D20</f>
        <v>-27628.373033249823</v>
      </c>
      <c r="F12" s="57">
        <f>'E-InvAT'!D19+'E-InvAT'!D20-'E-InvAT'!E19-'E-InvAT'!E20</f>
        <v>-989.28636899910271</v>
      </c>
      <c r="G12" s="57">
        <f>'E-InvAT'!E19+'E-InvAT'!E20-'E-InvAT'!F19-'E-InvAT'!F20</f>
        <v>562.45268126146402</v>
      </c>
      <c r="H12" s="57">
        <f>'E-InvAT'!F19+'E-InvAT'!F20-'E-InvAT'!G19-'E-InvAT'!G20</f>
        <v>3.0885445170897583</v>
      </c>
      <c r="I12" s="58">
        <f>SUM(B12:H12)</f>
        <v>1051188.7269297943</v>
      </c>
      <c r="J12" s="271"/>
      <c r="K12" s="271"/>
    </row>
    <row r="13" spans="1:11" x14ac:dyDescent="0.2">
      <c r="A13" s="104" t="s">
        <v>205</v>
      </c>
      <c r="B13" s="57"/>
      <c r="C13" s="57"/>
      <c r="D13" s="57"/>
      <c r="E13" s="57"/>
      <c r="F13" s="57"/>
      <c r="G13" s="57"/>
      <c r="H13" s="105"/>
      <c r="I13" s="58"/>
    </row>
    <row r="14" spans="1:11" x14ac:dyDescent="0.2">
      <c r="A14" s="104" t="s">
        <v>206</v>
      </c>
      <c r="B14" s="57">
        <v>0</v>
      </c>
      <c r="C14" s="57">
        <f>'E-InvAT'!B10</f>
        <v>957612.33960000006</v>
      </c>
      <c r="D14" s="57">
        <f>'E-InvAT'!C10-'E-InvAT'!B10</f>
        <v>236701.7548</v>
      </c>
      <c r="E14" s="57">
        <f>'E-InvAT'!D10-'E-InvAT'!C10</f>
        <v>0</v>
      </c>
      <c r="F14" s="57">
        <f>'E-InvAT'!E10-'E-InvAT'!D10</f>
        <v>0</v>
      </c>
      <c r="G14" s="57">
        <f>'E-InvAT'!F10-'E-InvAT'!E10</f>
        <v>0</v>
      </c>
      <c r="H14" s="57">
        <f>'E-InvAT'!G10-'E-InvAT'!F10</f>
        <v>0</v>
      </c>
      <c r="I14" s="58">
        <f>SUM(B14:H14)</f>
        <v>1194314.0944000001</v>
      </c>
    </row>
    <row r="15" spans="1:11" x14ac:dyDescent="0.2">
      <c r="A15" s="104" t="s">
        <v>207</v>
      </c>
      <c r="B15" s="57">
        <v>0</v>
      </c>
      <c r="C15" s="57">
        <f>'E-InvAT'!B11</f>
        <v>105778.43832554667</v>
      </c>
      <c r="D15" s="57">
        <f>'E-InvAT'!C11-'E-InvAT'!B11</f>
        <v>26444.609581386656</v>
      </c>
      <c r="E15" s="57">
        <f>'E-InvAT'!D11-'E-InvAT'!C11</f>
        <v>0</v>
      </c>
      <c r="F15" s="57">
        <f>'E-InvAT'!E11-'E-InvAT'!D11</f>
        <v>0</v>
      </c>
      <c r="G15" s="57">
        <f>'E-InvAT'!F11-'E-InvAT'!E11</f>
        <v>9679.4579850666632</v>
      </c>
      <c r="H15" s="57">
        <f>'E-InvAT'!G11-'E-InvAT'!F11</f>
        <v>0</v>
      </c>
      <c r="I15" s="58">
        <f>SUM(B15:H15)</f>
        <v>141902.50589199999</v>
      </c>
    </row>
    <row r="16" spans="1:11" x14ac:dyDescent="0.2">
      <c r="A16" s="104" t="s">
        <v>208</v>
      </c>
      <c r="B16" s="57">
        <v>0</v>
      </c>
      <c r="C16" s="57">
        <v>0</v>
      </c>
      <c r="D16" s="57">
        <f>'E-InvAT'!C12-'E-InvAT'!C17</f>
        <v>256940.18439621653</v>
      </c>
      <c r="E16" s="57">
        <f>'E-InvAT'!D12-'E-InvAT'!D17-('E-InvAT'!C12-'E-InvAT'!C17)</f>
        <v>-21719.826956871082</v>
      </c>
      <c r="F16" s="57">
        <f>'E-InvAT'!E12-'E-InvAT'!E17-('E-InvAT'!D12-'E-InvAT'!D17)</f>
        <v>0</v>
      </c>
      <c r="G16" s="57">
        <f>'E-InvAT'!F12-'E-InvAT'!F17-('E-InvAT'!E12-'E-InvAT'!E17)</f>
        <v>55.880399980815127</v>
      </c>
      <c r="H16" s="57">
        <f>'E-InvAT'!G12-'E-InvAT'!G17-('E-InvAT'!F12-'E-InvAT'!F17)</f>
        <v>0</v>
      </c>
      <c r="I16" s="58">
        <f>SUM(B16:H16)</f>
        <v>235276.23783932626</v>
      </c>
    </row>
    <row r="17" spans="1:9" x14ac:dyDescent="0.2">
      <c r="A17" s="104" t="s">
        <v>209</v>
      </c>
      <c r="B17" s="57">
        <v>0</v>
      </c>
      <c r="C17" s="57">
        <v>0</v>
      </c>
      <c r="D17" s="57">
        <f>'E-InvAT'!C13-'E-InvAT'!C18</f>
        <v>103541.19582859777</v>
      </c>
      <c r="E17" s="57">
        <f>('E-InvAT'!D13-'E-InvAT'!D18)-('E-InvAT'!C13-'E-InvAT'!C18)</f>
        <v>26565.25144918001</v>
      </c>
      <c r="F17" s="57">
        <f>('E-InvAT'!E13-'E-InvAT'!E18)-('E-InvAT'!D13-'E-InvAT'!D18)</f>
        <v>-217.0820425683487</v>
      </c>
      <c r="G17" s="57">
        <f>('E-InvAT'!F13-'E-InvAT'!F18)-('E-InvAT'!E13-'E-InvAT'!E18)</f>
        <v>109.74375741199765</v>
      </c>
      <c r="H17" s="57">
        <f>('E-InvAT'!G13-'E-InvAT'!G18)-('E-InvAT'!F13-'E-InvAT'!F18)</f>
        <v>1.4650711978902109E-2</v>
      </c>
      <c r="I17" s="58">
        <f>SUM(B17:H17)</f>
        <v>129999.12364333341</v>
      </c>
    </row>
    <row r="18" spans="1:9" x14ac:dyDescent="0.2">
      <c r="A18" s="96" t="s">
        <v>210</v>
      </c>
      <c r="B18" s="85">
        <f>SUM(B11:B17)</f>
        <v>0</v>
      </c>
      <c r="C18" s="85">
        <f t="shared" ref="C18:I18" si="1">SUM(C11:C17)</f>
        <v>1341461.1779255467</v>
      </c>
      <c r="D18" s="85">
        <f t="shared" si="1"/>
        <v>1772386.1897124655</v>
      </c>
      <c r="E18" s="85">
        <f t="shared" si="1"/>
        <v>93077.051459059105</v>
      </c>
      <c r="F18" s="85">
        <f t="shared" si="1"/>
        <v>-1206.3684115674514</v>
      </c>
      <c r="G18" s="85">
        <f t="shared" si="1"/>
        <v>10407.53482372094</v>
      </c>
      <c r="H18" s="85">
        <f t="shared" si="1"/>
        <v>3.1031952290686604</v>
      </c>
      <c r="I18" s="85">
        <f t="shared" si="1"/>
        <v>3216128.6887044543</v>
      </c>
    </row>
    <row r="19" spans="1:9" x14ac:dyDescent="0.2">
      <c r="A19" s="104"/>
      <c r="B19" s="78"/>
      <c r="C19" s="78"/>
      <c r="D19" s="78"/>
      <c r="E19" s="78"/>
      <c r="F19" s="78"/>
      <c r="G19" s="78"/>
      <c r="H19" s="106"/>
      <c r="I19" s="79"/>
    </row>
    <row r="20" spans="1:9" x14ac:dyDescent="0.2">
      <c r="A20" s="96" t="s">
        <v>211</v>
      </c>
      <c r="B20" s="78"/>
      <c r="C20" s="78"/>
      <c r="D20" s="78"/>
      <c r="E20" s="78"/>
      <c r="F20" s="78"/>
      <c r="G20" s="78"/>
      <c r="H20" s="106"/>
      <c r="I20" s="79"/>
    </row>
    <row r="21" spans="1:9" x14ac:dyDescent="0.2">
      <c r="A21" s="104" t="s">
        <v>212</v>
      </c>
      <c r="B21" s="57">
        <f>B8*0.21</f>
        <v>21000</v>
      </c>
      <c r="C21" s="57">
        <f t="shared" ref="C21:I21" si="2">C8*0.21</f>
        <v>2462376.2519999999</v>
      </c>
      <c r="D21" s="57">
        <f t="shared" si="2"/>
        <v>79214.953557600005</v>
      </c>
      <c r="E21" s="57">
        <f t="shared" si="2"/>
        <v>0</v>
      </c>
      <c r="F21" s="57">
        <f t="shared" si="2"/>
        <v>0</v>
      </c>
      <c r="G21" s="57">
        <f t="shared" si="2"/>
        <v>0</v>
      </c>
      <c r="H21" s="57">
        <f t="shared" si="2"/>
        <v>0</v>
      </c>
      <c r="I21" s="57">
        <f t="shared" si="2"/>
        <v>2562591.2055575997</v>
      </c>
    </row>
    <row r="22" spans="1:9" x14ac:dyDescent="0.2">
      <c r="A22" s="104" t="s">
        <v>213</v>
      </c>
      <c r="B22" s="57">
        <v>0</v>
      </c>
      <c r="C22" s="57">
        <f>'E-InvAT'!B34</f>
        <v>223312.06336436479</v>
      </c>
      <c r="D22" s="57">
        <f>'E-InvAT'!C34</f>
        <v>100635.48165224782</v>
      </c>
      <c r="E22" s="57">
        <f>'E-InvAT'!D34</f>
        <v>3422.154101684886</v>
      </c>
      <c r="F22" s="57">
        <f>'E-InvAT'!E34</f>
        <v>0</v>
      </c>
      <c r="G22" s="57">
        <f>'E-InvAT'!F34</f>
        <v>2065.1761098466104</v>
      </c>
      <c r="H22" s="57">
        <f>'E-InvAT'!G34</f>
        <v>0</v>
      </c>
      <c r="I22" s="57">
        <f>SUM(B22:H22)</f>
        <v>329434.87522814411</v>
      </c>
    </row>
    <row r="23" spans="1:9" x14ac:dyDescent="0.2">
      <c r="A23" s="96" t="s">
        <v>214</v>
      </c>
      <c r="B23" s="85">
        <f>SUM(B21:B22)</f>
        <v>21000</v>
      </c>
      <c r="C23" s="85">
        <f t="shared" ref="C23:H23" si="3">SUM(C21:C22)</f>
        <v>2685688.3153643645</v>
      </c>
      <c r="D23" s="85">
        <f t="shared" si="3"/>
        <v>179850.43520984781</v>
      </c>
      <c r="E23" s="85">
        <f t="shared" si="3"/>
        <v>3422.154101684886</v>
      </c>
      <c r="F23" s="85">
        <f t="shared" si="3"/>
        <v>0</v>
      </c>
      <c r="G23" s="85">
        <f t="shared" si="3"/>
        <v>2065.1761098466104</v>
      </c>
      <c r="H23" s="85">
        <f t="shared" si="3"/>
        <v>0</v>
      </c>
      <c r="I23" s="85">
        <f>SUM(I21:I22)</f>
        <v>2892026.0807857439</v>
      </c>
    </row>
    <row r="24" spans="1:9" x14ac:dyDescent="0.2">
      <c r="A24" s="96"/>
      <c r="B24" s="78"/>
      <c r="C24" s="78"/>
      <c r="D24" s="78"/>
      <c r="E24" s="78"/>
      <c r="F24" s="78"/>
      <c r="G24" s="78"/>
      <c r="H24" s="106"/>
      <c r="I24" s="79"/>
    </row>
    <row r="25" spans="1:9" x14ac:dyDescent="0.2">
      <c r="A25" s="100" t="s">
        <v>215</v>
      </c>
      <c r="B25" s="138">
        <f>B8+B18+B23</f>
        <v>121000</v>
      </c>
      <c r="C25" s="138">
        <f t="shared" ref="C25:I25" si="4">C8+C18+C23</f>
        <v>15752750.69328991</v>
      </c>
      <c r="D25" s="138">
        <f t="shared" si="4"/>
        <v>2329450.6894823136</v>
      </c>
      <c r="E25" s="138">
        <f t="shared" si="4"/>
        <v>96499.205560743983</v>
      </c>
      <c r="F25" s="138">
        <f t="shared" si="4"/>
        <v>-1206.3684115674514</v>
      </c>
      <c r="G25" s="138">
        <f t="shared" si="4"/>
        <v>12472.71093356755</v>
      </c>
      <c r="H25" s="138">
        <f t="shared" si="4"/>
        <v>3.1031952290686604</v>
      </c>
      <c r="I25" s="138">
        <f t="shared" si="4"/>
        <v>18310970.034050196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2" zoomScale="90" zoomScaleNormal="90" workbookViewId="0">
      <selection activeCell="C21" sqref="C21"/>
    </sheetView>
  </sheetViews>
  <sheetFormatPr baseColWidth="10" defaultColWidth="11.28515625" defaultRowHeight="12.75" x14ac:dyDescent="0.2"/>
  <cols>
    <col min="1" max="1" width="28" style="16" customWidth="1"/>
    <col min="2" max="2" width="15.7109375" style="16" customWidth="1"/>
    <col min="3" max="3" width="16.5703125" style="16" customWidth="1"/>
    <col min="4" max="4" width="16.140625" style="16" customWidth="1"/>
    <col min="5" max="5" width="15.42578125" style="16" customWidth="1"/>
    <col min="6" max="6" width="16.5703125" style="16" customWidth="1"/>
    <col min="7" max="7" width="15.85546875" style="16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G1" s="2">
        <f>InfoInicial!E1</f>
        <v>9</v>
      </c>
    </row>
    <row r="2" spans="1:7" ht="15.75" x14ac:dyDescent="0.25">
      <c r="A2" s="107" t="s">
        <v>216</v>
      </c>
      <c r="B2" s="50"/>
      <c r="C2" s="50"/>
      <c r="D2" s="50"/>
      <c r="E2" s="50"/>
      <c r="F2" s="50"/>
      <c r="G2" s="51"/>
    </row>
    <row r="3" spans="1:7" ht="15.75" x14ac:dyDescent="0.25">
      <c r="A3" s="108"/>
      <c r="B3" s="109" t="s">
        <v>217</v>
      </c>
      <c r="C3" s="109"/>
      <c r="D3" s="109"/>
      <c r="E3" s="109"/>
      <c r="F3" s="109"/>
      <c r="G3" s="110"/>
    </row>
    <row r="4" spans="1:7" x14ac:dyDescent="0.2">
      <c r="A4" s="111" t="s">
        <v>93</v>
      </c>
      <c r="B4" s="101" t="s">
        <v>53</v>
      </c>
      <c r="C4" s="21" t="s">
        <v>54</v>
      </c>
      <c r="D4" s="21" t="s">
        <v>94</v>
      </c>
      <c r="E4" s="21" t="s">
        <v>95</v>
      </c>
      <c r="F4" s="21" t="s">
        <v>96</v>
      </c>
      <c r="G4" s="22" t="s">
        <v>97</v>
      </c>
    </row>
    <row r="5" spans="1:7" x14ac:dyDescent="0.2">
      <c r="A5" s="112" t="s">
        <v>218</v>
      </c>
      <c r="B5" s="113"/>
      <c r="C5" s="97"/>
      <c r="D5" s="97"/>
      <c r="E5" s="97"/>
      <c r="F5" s="97"/>
      <c r="G5" s="98"/>
    </row>
    <row r="6" spans="1:7" x14ac:dyDescent="0.2">
      <c r="A6" s="114" t="s">
        <v>219</v>
      </c>
      <c r="B6" s="115">
        <v>0</v>
      </c>
      <c r="C6" s="57">
        <f>'E-Costos'!B7*0.21</f>
        <v>1403862.3080159998</v>
      </c>
      <c r="D6" s="57">
        <f>'E-Costos'!C7*0.21</f>
        <v>2312634.2537759999</v>
      </c>
      <c r="E6" s="57">
        <f>'E-Costos'!D7*0.21</f>
        <v>2312634.2537759999</v>
      </c>
      <c r="F6" s="57">
        <f>'E-Costos'!E7*0.21</f>
        <v>2312634.2537759999</v>
      </c>
      <c r="G6" s="57">
        <f>'E-Costos'!F7*0.21</f>
        <v>2312634.2537759999</v>
      </c>
    </row>
    <row r="7" spans="1:7" x14ac:dyDescent="0.2">
      <c r="A7" s="114" t="s">
        <v>103</v>
      </c>
      <c r="B7" s="115">
        <v>0</v>
      </c>
      <c r="C7" s="57">
        <f>0.21*'E-Costos'!B12</f>
        <v>51384.361147055999</v>
      </c>
      <c r="D7" s="57">
        <f>0.21*'E-Costos'!C12</f>
        <v>57093.734607839993</v>
      </c>
      <c r="E7" s="57">
        <f>0.21*'E-Costos'!D12</f>
        <v>57093.734607839993</v>
      </c>
      <c r="F7" s="57">
        <f>0.21*'E-Costos'!E12</f>
        <v>59244.152474639995</v>
      </c>
      <c r="G7" s="57">
        <f>0.21*'E-Costos'!F12</f>
        <v>59244.152474639995</v>
      </c>
    </row>
    <row r="8" spans="1:7" x14ac:dyDescent="0.2">
      <c r="A8" s="114" t="s">
        <v>104</v>
      </c>
      <c r="B8" s="115">
        <v>0</v>
      </c>
      <c r="C8" s="57">
        <f>0.21*'E-Costos'!B13</f>
        <v>8306.3016294299996</v>
      </c>
      <c r="D8" s="57">
        <f>0.21*'E-Costos'!C13</f>
        <v>8743.4753993999984</v>
      </c>
      <c r="E8" s="57">
        <f>0.21*'E-Costos'!D13</f>
        <v>8743.4753993999984</v>
      </c>
      <c r="F8" s="57">
        <f>0.21*'E-Costos'!E13</f>
        <v>8743.4753993999984</v>
      </c>
      <c r="G8" s="57">
        <f>0.21*'E-Costos'!F13</f>
        <v>8743.4753993999984</v>
      </c>
    </row>
    <row r="9" spans="1:7" x14ac:dyDescent="0.2">
      <c r="A9" s="114" t="s">
        <v>105</v>
      </c>
      <c r="B9" s="115">
        <v>0</v>
      </c>
      <c r="C9" s="57">
        <f>0.21*'E-Costos'!B14</f>
        <v>3210.0179999999996</v>
      </c>
      <c r="D9" s="57">
        <f>0.21*'E-Costos'!C14</f>
        <v>6420.0359999999991</v>
      </c>
      <c r="E9" s="57">
        <f>0.21*'E-Costos'!D14</f>
        <v>6420.0359999999991</v>
      </c>
      <c r="F9" s="57">
        <f>0.21*'E-Costos'!E14</f>
        <v>6420.0359999999991</v>
      </c>
      <c r="G9" s="57">
        <f>0.21*'E-Costos'!F14</f>
        <v>6420.0359999999991</v>
      </c>
    </row>
    <row r="10" spans="1:7" x14ac:dyDescent="0.2">
      <c r="A10" s="114" t="s">
        <v>220</v>
      </c>
      <c r="B10" s="115">
        <v>0</v>
      </c>
      <c r="C10" s="57">
        <v>0</v>
      </c>
      <c r="D10" s="57">
        <v>0</v>
      </c>
      <c r="E10" s="57">
        <v>0</v>
      </c>
      <c r="F10" s="57">
        <v>0</v>
      </c>
      <c r="G10" s="58">
        <v>0</v>
      </c>
    </row>
    <row r="11" spans="1:7" x14ac:dyDescent="0.2">
      <c r="A11" s="114" t="s">
        <v>129</v>
      </c>
      <c r="B11" s="115">
        <v>0</v>
      </c>
      <c r="C11" s="57">
        <v>0</v>
      </c>
      <c r="D11" s="57">
        <v>0</v>
      </c>
      <c r="E11" s="57">
        <v>0</v>
      </c>
      <c r="F11" s="57">
        <v>0</v>
      </c>
      <c r="G11" s="58">
        <v>0</v>
      </c>
    </row>
    <row r="12" spans="1:7" x14ac:dyDescent="0.2">
      <c r="A12" s="116" t="s">
        <v>88</v>
      </c>
      <c r="B12" s="259">
        <f>SUM(B6:B11)</f>
        <v>0</v>
      </c>
      <c r="C12" s="259">
        <f t="shared" ref="C12:G12" si="0">SUM(C6:C11)</f>
        <v>1466762.9887924858</v>
      </c>
      <c r="D12" s="259">
        <f t="shared" si="0"/>
        <v>2384891.4997832398</v>
      </c>
      <c r="E12" s="259">
        <f t="shared" si="0"/>
        <v>2384891.4997832398</v>
      </c>
      <c r="F12" s="259">
        <f t="shared" si="0"/>
        <v>2387041.9176500398</v>
      </c>
      <c r="G12" s="259">
        <f t="shared" si="0"/>
        <v>2387041.9176500398</v>
      </c>
    </row>
    <row r="13" spans="1:7" x14ac:dyDescent="0.2">
      <c r="A13" s="114" t="s">
        <v>221</v>
      </c>
      <c r="B13" s="115">
        <v>0</v>
      </c>
      <c r="C13" s="57">
        <f>0.21*('E-Costos'!G35-'E-Costos'!G26)</f>
        <v>19759.61189070201</v>
      </c>
      <c r="D13" s="57">
        <v>0</v>
      </c>
      <c r="E13" s="57">
        <v>0</v>
      </c>
      <c r="F13" s="57">
        <v>0</v>
      </c>
      <c r="G13" s="58">
        <v>0</v>
      </c>
    </row>
    <row r="14" spans="1:7" x14ac:dyDescent="0.2">
      <c r="A14" s="114" t="s">
        <v>222</v>
      </c>
      <c r="B14" s="117"/>
      <c r="C14" s="78"/>
      <c r="D14" s="78"/>
      <c r="E14" s="78"/>
      <c r="F14" s="78"/>
      <c r="G14" s="79"/>
    </row>
    <row r="15" spans="1:7" x14ac:dyDescent="0.2">
      <c r="A15" s="114" t="s">
        <v>223</v>
      </c>
      <c r="B15" s="115">
        <f>'E-InvAT'!B32</f>
        <v>0</v>
      </c>
      <c r="C15" s="115">
        <f>'E-InvAT'!C32</f>
        <v>24718.168264684711</v>
      </c>
      <c r="D15" s="115">
        <f>'E-InvAT'!D32</f>
        <v>-4.4271752781678515</v>
      </c>
      <c r="E15" s="115">
        <f>'E-InvAT'!E32</f>
        <v>0</v>
      </c>
      <c r="F15" s="115">
        <f>'E-InvAT'!F32</f>
        <v>10.888435527915135</v>
      </c>
      <c r="G15" s="115">
        <f>'E-InvAT'!G32</f>
        <v>0</v>
      </c>
    </row>
    <row r="16" spans="1:7" x14ac:dyDescent="0.2">
      <c r="A16" s="114" t="s">
        <v>224</v>
      </c>
      <c r="B16" s="115">
        <f>'E-InvAT'!B33</f>
        <v>0</v>
      </c>
      <c r="C16" s="115">
        <f>'E-InvAT'!C33</f>
        <v>20656.576867471918</v>
      </c>
      <c r="D16" s="115">
        <f>'E-InvAT'!D33</f>
        <v>3426.5812769630538</v>
      </c>
      <c r="E16" s="115">
        <f>'E-InvAT'!E33</f>
        <v>0</v>
      </c>
      <c r="F16" s="115">
        <f>'E-InvAT'!F33</f>
        <v>21.601497454696073</v>
      </c>
      <c r="G16" s="115">
        <f>'E-InvAT'!G33</f>
        <v>0</v>
      </c>
    </row>
    <row r="17" spans="1:7" x14ac:dyDescent="0.2">
      <c r="A17" s="116" t="s">
        <v>225</v>
      </c>
      <c r="B17" s="259">
        <v>0</v>
      </c>
      <c r="C17" s="259">
        <f t="shared" ref="C17:G17" si="1">C12-C13-C15-C16</f>
        <v>1401628.6317696271</v>
      </c>
      <c r="D17" s="259">
        <f t="shared" si="1"/>
        <v>2381469.3456815551</v>
      </c>
      <c r="E17" s="259">
        <f t="shared" si="1"/>
        <v>2384891.4997832398</v>
      </c>
      <c r="F17" s="259">
        <f t="shared" si="1"/>
        <v>2387009.4277170571</v>
      </c>
      <c r="G17" s="259">
        <f t="shared" si="1"/>
        <v>2387041.9176500398</v>
      </c>
    </row>
    <row r="18" spans="1:7" x14ac:dyDescent="0.2">
      <c r="A18" s="116" t="s">
        <v>226</v>
      </c>
      <c r="B18" s="259">
        <v>0</v>
      </c>
      <c r="C18" s="85">
        <f>('E-Costos'!B54+'E-Costos'!B55+'E-Costos'!B56+'E-Costos'!B57)*0.21</f>
        <v>1373.5450814714998</v>
      </c>
      <c r="D18" s="85">
        <f>('E-Costos'!C54+'E-Costos'!C55+'E-Costos'!C56+'E-Costos'!C57)*0.21</f>
        <v>1501.8737699699998</v>
      </c>
      <c r="E18" s="85">
        <f>('E-Costos'!D54+'E-Costos'!D55+'E-Costos'!D56+'E-Costos'!D57)*0.21</f>
        <v>1501.8737699699998</v>
      </c>
      <c r="F18" s="85">
        <f>('E-Costos'!E54+'E-Costos'!E55+'E-Costos'!E56+'E-Costos'!E57)*0.21</f>
        <v>1501.8737699699998</v>
      </c>
      <c r="G18" s="85">
        <f>('E-Costos'!F54+'E-Costos'!F55+'E-Costos'!F56+'E-Costos'!F57)*0.21</f>
        <v>1501.8737699699998</v>
      </c>
    </row>
    <row r="19" spans="1:7" x14ac:dyDescent="0.2">
      <c r="A19" s="116" t="s">
        <v>227</v>
      </c>
      <c r="B19" s="259">
        <v>0</v>
      </c>
      <c r="C19" s="85">
        <f>0.21*('E-Costos'!B71+'E-Costos'!B72+'E-Costos'!B73+'E-Costos'!B74)</f>
        <v>1373.5450814714998</v>
      </c>
      <c r="D19" s="85">
        <f>0.21*('E-Costos'!C71+'E-Costos'!C72+'E-Costos'!C73+'E-Costos'!C74)</f>
        <v>1501.8737699699998</v>
      </c>
      <c r="E19" s="85">
        <f>0.21*('E-Costos'!D71+'E-Costos'!D72+'E-Costos'!D73+'E-Costos'!D74)</f>
        <v>1501.8737699699998</v>
      </c>
      <c r="F19" s="85">
        <f>0.21*('E-Costos'!E71+'E-Costos'!E72+'E-Costos'!E73+'E-Costos'!E74)</f>
        <v>1501.8737699699998</v>
      </c>
      <c r="G19" s="85">
        <f>0.21*('E-Costos'!F71+'E-Costos'!F72+'E-Costos'!F73+'E-Costos'!F74)</f>
        <v>1501.8737699699998</v>
      </c>
    </row>
    <row r="20" spans="1:7" x14ac:dyDescent="0.2">
      <c r="A20" s="116"/>
      <c r="B20" s="117"/>
      <c r="C20" s="78"/>
      <c r="D20" s="78"/>
      <c r="E20" s="78"/>
      <c r="F20" s="78"/>
      <c r="G20" s="79"/>
    </row>
    <row r="21" spans="1:7" x14ac:dyDescent="0.2">
      <c r="A21" s="114" t="s">
        <v>228</v>
      </c>
      <c r="B21" s="115">
        <f>SUM(B17:B19)</f>
        <v>0</v>
      </c>
      <c r="C21" s="115">
        <f t="shared" ref="C21:G21" si="2">SUM(C17:C19)</f>
        <v>1404375.7219325702</v>
      </c>
      <c r="D21" s="115">
        <f t="shared" si="2"/>
        <v>2384473.0932214954</v>
      </c>
      <c r="E21" s="115">
        <f t="shared" si="2"/>
        <v>2387895.2473231801</v>
      </c>
      <c r="F21" s="115">
        <f t="shared" si="2"/>
        <v>2390013.1752569973</v>
      </c>
      <c r="G21" s="115">
        <f t="shared" si="2"/>
        <v>2390045.6651899801</v>
      </c>
    </row>
    <row r="22" spans="1:7" x14ac:dyDescent="0.2">
      <c r="A22" s="114" t="s">
        <v>229</v>
      </c>
      <c r="B22" s="115">
        <v>0</v>
      </c>
      <c r="C22" s="57">
        <f>0.21*'E-Costos'!B88</f>
        <v>3649674</v>
      </c>
      <c r="D22" s="57">
        <f>0.21*'E-Costos'!C88</f>
        <v>4866204</v>
      </c>
      <c r="E22" s="57">
        <f>0.21*'E-Costos'!D88</f>
        <v>4866204</v>
      </c>
      <c r="F22" s="57">
        <f>0.21*'E-Costos'!E88</f>
        <v>4866204</v>
      </c>
      <c r="G22" s="57">
        <f>0.21*'E-Costos'!F88</f>
        <v>4866204</v>
      </c>
    </row>
    <row r="23" spans="1:7" x14ac:dyDescent="0.2">
      <c r="A23" s="116" t="s">
        <v>230</v>
      </c>
      <c r="B23" s="259">
        <f>B22-B21</f>
        <v>0</v>
      </c>
      <c r="C23" s="259">
        <f t="shared" ref="C23:G23" si="3">C22-C21</f>
        <v>2245298.2780674295</v>
      </c>
      <c r="D23" s="259">
        <f t="shared" si="3"/>
        <v>2481730.9067785046</v>
      </c>
      <c r="E23" s="259">
        <f t="shared" si="3"/>
        <v>2478308.7526768199</v>
      </c>
      <c r="F23" s="259">
        <f t="shared" si="3"/>
        <v>2476190.8247430027</v>
      </c>
      <c r="G23" s="259">
        <f t="shared" si="3"/>
        <v>2476158.3348100199</v>
      </c>
    </row>
    <row r="24" spans="1:7" x14ac:dyDescent="0.2">
      <c r="A24" s="114"/>
      <c r="B24" s="117"/>
      <c r="C24" s="78"/>
      <c r="D24" s="78"/>
      <c r="E24" s="78"/>
      <c r="F24" s="78"/>
      <c r="G24" s="79"/>
    </row>
    <row r="25" spans="1:7" x14ac:dyDescent="0.2">
      <c r="A25" s="118" t="s">
        <v>231</v>
      </c>
      <c r="B25" s="259">
        <v>0</v>
      </c>
      <c r="C25" s="85">
        <f>B27</f>
        <v>2706688.3153643645</v>
      </c>
      <c r="D25" s="85">
        <f t="shared" ref="D25:G25" si="4">C27</f>
        <v>641240.47250678274</v>
      </c>
      <c r="E25" s="85">
        <f t="shared" si="4"/>
        <v>0</v>
      </c>
      <c r="F25" s="85">
        <f t="shared" si="4"/>
        <v>0</v>
      </c>
      <c r="G25" s="85">
        <f t="shared" si="4"/>
        <v>0</v>
      </c>
    </row>
    <row r="26" spans="1:7" x14ac:dyDescent="0.2">
      <c r="A26" s="118" t="s">
        <v>232</v>
      </c>
      <c r="B26" s="259">
        <f>'E-Cal Inv.'!B23+'E-Cal Inv.'!C23</f>
        <v>2706688.3153643645</v>
      </c>
      <c r="C26" s="85">
        <f>'E-Cal Inv.'!D23</f>
        <v>179850.43520984781</v>
      </c>
      <c r="D26" s="85">
        <f>'E-Cal Inv.'!E23</f>
        <v>3422.154101684886</v>
      </c>
      <c r="E26" s="85">
        <f>'E-Cal Inv.'!F23</f>
        <v>0</v>
      </c>
      <c r="F26" s="85">
        <f>'E-Cal Inv.'!G23</f>
        <v>2065.1761098466104</v>
      </c>
      <c r="G26" s="85">
        <f>'E-Cal Inv.'!H23</f>
        <v>0</v>
      </c>
    </row>
    <row r="27" spans="1:7" x14ac:dyDescent="0.2">
      <c r="A27" s="116" t="s">
        <v>233</v>
      </c>
      <c r="B27" s="259">
        <f>B26</f>
        <v>2706688.3153643645</v>
      </c>
      <c r="C27" s="85">
        <f>B27-C23+C26</f>
        <v>641240.47250678274</v>
      </c>
      <c r="D27" s="85">
        <v>0</v>
      </c>
      <c r="E27" s="85">
        <v>0</v>
      </c>
      <c r="F27" s="85">
        <v>0</v>
      </c>
      <c r="G27" s="86">
        <v>0</v>
      </c>
    </row>
    <row r="28" spans="1:7" x14ac:dyDescent="0.2">
      <c r="A28" s="116" t="s">
        <v>525</v>
      </c>
      <c r="B28" s="259">
        <v>0</v>
      </c>
      <c r="C28" s="85">
        <f>C23</f>
        <v>2245298.2780674295</v>
      </c>
      <c r="D28" s="85">
        <f>D25+D26</f>
        <v>644662.62660846766</v>
      </c>
      <c r="E28" s="85">
        <v>0</v>
      </c>
      <c r="F28" s="85">
        <f>F26</f>
        <v>2065.1761098466104</v>
      </c>
      <c r="G28" s="86">
        <f>F27</f>
        <v>0</v>
      </c>
    </row>
    <row r="29" spans="1:7" x14ac:dyDescent="0.2">
      <c r="A29" s="114"/>
      <c r="B29" s="262"/>
      <c r="C29" s="87"/>
      <c r="D29" s="87"/>
      <c r="E29" s="87"/>
      <c r="F29" s="87"/>
      <c r="G29" s="88"/>
    </row>
    <row r="30" spans="1:7" x14ac:dyDescent="0.2">
      <c r="A30" s="119" t="s">
        <v>234</v>
      </c>
      <c r="B30" s="263">
        <v>0</v>
      </c>
      <c r="C30" s="138">
        <v>0</v>
      </c>
      <c r="D30" s="138">
        <f>D23-D28</f>
        <v>1837068.2801700369</v>
      </c>
      <c r="E30" s="138">
        <f>E23</f>
        <v>2478308.7526768199</v>
      </c>
      <c r="F30" s="138">
        <f>F23-F28</f>
        <v>2474125.648633156</v>
      </c>
      <c r="G30" s="141">
        <f>G23-G28</f>
        <v>2476158.3348100199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C1" zoomScale="90" zoomScaleNormal="90" workbookViewId="0">
      <selection activeCell="D15" sqref="D15"/>
    </sheetView>
  </sheetViews>
  <sheetFormatPr baseColWidth="10" defaultColWidth="11.28515625" defaultRowHeight="12.75" x14ac:dyDescent="0.2"/>
  <cols>
    <col min="1" max="1" width="7.85546875" style="16" customWidth="1"/>
    <col min="2" max="2" width="16.7109375" style="16" bestFit="1" customWidth="1"/>
    <col min="3" max="3" width="33.28515625" style="16" bestFit="1" customWidth="1"/>
    <col min="4" max="4" width="17.140625" style="16" customWidth="1"/>
    <col min="5" max="5" width="15.7109375" style="16" customWidth="1"/>
    <col min="6" max="6" width="16" style="16" bestFit="1" customWidth="1"/>
    <col min="7" max="7" width="16.7109375" style="16" bestFit="1" customWidth="1"/>
    <col min="8" max="9" width="16" style="16" bestFit="1" customWidth="1"/>
    <col min="10" max="10" width="16.42578125" style="16" customWidth="1"/>
    <col min="11" max="11" width="16" style="16" bestFit="1" customWidth="1"/>
    <col min="12" max="13" width="16.7109375" style="16" bestFit="1" customWidth="1"/>
    <col min="14" max="14" width="17.28515625" style="16" customWidth="1"/>
    <col min="15" max="16384" width="11.28515625" style="16"/>
  </cols>
  <sheetData>
    <row r="1" spans="1:13" x14ac:dyDescent="0.2">
      <c r="A1" s="1" t="s">
        <v>0</v>
      </c>
      <c r="B1"/>
      <c r="C1"/>
      <c r="D1"/>
      <c r="G1" s="16">
        <f>InfoInicial!E1</f>
        <v>9</v>
      </c>
      <c r="H1" s="2"/>
    </row>
    <row r="2" spans="1:13" ht="15.75" x14ac:dyDescent="0.25">
      <c r="A2" s="107" t="s">
        <v>235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39" thickBot="1" x14ac:dyDescent="0.25">
      <c r="A3" s="111" t="s">
        <v>236</v>
      </c>
      <c r="B3" s="101" t="s">
        <v>237</v>
      </c>
      <c r="C3" s="101" t="s">
        <v>238</v>
      </c>
      <c r="D3" s="101" t="s">
        <v>239</v>
      </c>
      <c r="E3" s="101" t="s">
        <v>5</v>
      </c>
      <c r="F3" s="101" t="s">
        <v>240</v>
      </c>
      <c r="G3" s="101" t="s">
        <v>241</v>
      </c>
      <c r="H3" s="101" t="s">
        <v>242</v>
      </c>
      <c r="I3" s="101" t="s">
        <v>101</v>
      </c>
      <c r="J3" s="101" t="s">
        <v>243</v>
      </c>
      <c r="K3" s="101" t="s">
        <v>244</v>
      </c>
      <c r="L3" s="121" t="s">
        <v>245</v>
      </c>
      <c r="M3" s="122" t="s">
        <v>246</v>
      </c>
    </row>
    <row r="4" spans="1:13" ht="13.5" thickTop="1" x14ac:dyDescent="0.2">
      <c r="A4" s="123">
        <v>0</v>
      </c>
      <c r="B4" s="285">
        <f>'E-Cal Inv.'!B8+'E-Cal Inv.'!C8</f>
        <v>11825601.199999999</v>
      </c>
      <c r="C4" s="274">
        <f>'E-InvAT'!B$25</f>
        <v>1341461.1779255467</v>
      </c>
      <c r="D4" s="274">
        <f>'E-IVA '!B26</f>
        <v>2706688.3153643645</v>
      </c>
      <c r="E4" s="274">
        <v>0</v>
      </c>
      <c r="F4" s="274">
        <v>0</v>
      </c>
      <c r="G4" s="274">
        <f>SUM(B4:F4)</f>
        <v>15873750.69328991</v>
      </c>
      <c r="H4" s="274">
        <v>0</v>
      </c>
      <c r="I4" s="274">
        <v>0</v>
      </c>
      <c r="J4" s="274">
        <v>0</v>
      </c>
      <c r="K4" s="274">
        <v>0</v>
      </c>
      <c r="L4" s="286">
        <f>K4-G4</f>
        <v>-15873750.69328991</v>
      </c>
      <c r="M4" s="275">
        <f>L4</f>
        <v>-15873750.69328991</v>
      </c>
    </row>
    <row r="5" spans="1:13" x14ac:dyDescent="0.2">
      <c r="A5" s="126">
        <v>1</v>
      </c>
      <c r="B5" s="282">
        <f>'E-Cal Inv.'!D8</f>
        <v>377214.06456000003</v>
      </c>
      <c r="C5" s="274">
        <f>'E-InvAT'!C$25</f>
        <v>1772386.1897124657</v>
      </c>
      <c r="D5" s="276">
        <f>'E-IVA '!C26</f>
        <v>179850.43520984781</v>
      </c>
      <c r="E5" s="276">
        <f>'E-Costos'!B117</f>
        <v>381364.03303218418</v>
      </c>
      <c r="F5" s="276">
        <f>(H5-E5)*InfoInicial!$B$4</f>
        <v>2091146.1144598096</v>
      </c>
      <c r="G5" s="274">
        <f t="shared" ref="G5:G9" si="0">SUM(B5:F5)</f>
        <v>4801960.836974307</v>
      </c>
      <c r="H5" s="276">
        <f>'E-Costos'!B116</f>
        <v>6356067.2172030695</v>
      </c>
      <c r="I5" s="276">
        <f>'E-Inv AF y Am'!D$56</f>
        <v>371707.55291199998</v>
      </c>
      <c r="J5" s="276">
        <f>'E-IVA '!C28</f>
        <v>2245298.2780674295</v>
      </c>
      <c r="K5" s="276">
        <f>SUM(H5:J5)</f>
        <v>8973073.0481824987</v>
      </c>
      <c r="L5" s="286">
        <f t="shared" ref="L5:L9" si="1">K5-G5</f>
        <v>4171112.2112081917</v>
      </c>
      <c r="M5" s="277">
        <f>M4+L5</f>
        <v>-11702638.482081719</v>
      </c>
    </row>
    <row r="6" spans="1:13" x14ac:dyDescent="0.2">
      <c r="A6" s="126">
        <v>2</v>
      </c>
      <c r="B6" s="282">
        <f>'E-Cal Inv.'!E8</f>
        <v>0</v>
      </c>
      <c r="C6" s="274">
        <f>'E-InvAT'!D$25</f>
        <v>569214.03776042862</v>
      </c>
      <c r="D6" s="274">
        <f>'E-IVA '!D26</f>
        <v>3422.154101684886</v>
      </c>
      <c r="E6" s="276">
        <f>'E-Costos'!C117</f>
        <v>413566.83288557199</v>
      </c>
      <c r="F6" s="276">
        <f>(H6-E6)*InfoInicial!$B$4</f>
        <v>2267724.8003225531</v>
      </c>
      <c r="G6" s="274">
        <f t="shared" si="0"/>
        <v>3253927.8250702387</v>
      </c>
      <c r="H6" s="276">
        <f>'E-Costos'!C116</f>
        <v>6892780.5480928663</v>
      </c>
      <c r="I6" s="276">
        <f>'E-Inv AF y Am'!D$56</f>
        <v>371707.55291199998</v>
      </c>
      <c r="J6" s="276">
        <f>'E-IVA '!D28</f>
        <v>644662.62660846766</v>
      </c>
      <c r="K6" s="276">
        <f t="shared" ref="K6:K9" si="2">SUM(H6:J6)</f>
        <v>7909150.7276133336</v>
      </c>
      <c r="L6" s="286">
        <f t="shared" si="1"/>
        <v>4655222.9025430949</v>
      </c>
      <c r="M6" s="277">
        <f t="shared" ref="M6:M9" si="3">M5+L6</f>
        <v>-7047415.5795386238</v>
      </c>
    </row>
    <row r="7" spans="1:13" x14ac:dyDescent="0.2">
      <c r="A7" s="126">
        <v>3</v>
      </c>
      <c r="B7" s="282">
        <f>'E-Cal Inv.'!F8</f>
        <v>0</v>
      </c>
      <c r="C7" s="274">
        <f>'E-InvAT'!E$25</f>
        <v>-1206.3684115675278</v>
      </c>
      <c r="D7" s="276">
        <f>'E-IVA '!E26</f>
        <v>0</v>
      </c>
      <c r="E7" s="276">
        <f>'E-Costos'!D117</f>
        <v>414903.899625864</v>
      </c>
      <c r="F7" s="276">
        <f>(H7-E7)*InfoInicial!$B$4</f>
        <v>2275056.3829484875</v>
      </c>
      <c r="G7" s="274">
        <f t="shared" si="0"/>
        <v>2688753.9141627839</v>
      </c>
      <c r="H7" s="276">
        <f>'E-Costos'!D116</f>
        <v>6915064.9937644005</v>
      </c>
      <c r="I7" s="276">
        <f>'E-Inv AF y Am'!D$56</f>
        <v>371707.55291199998</v>
      </c>
      <c r="J7" s="276">
        <f>'E-IVA '!E28</f>
        <v>0</v>
      </c>
      <c r="K7" s="276">
        <f t="shared" si="2"/>
        <v>7286772.5466764001</v>
      </c>
      <c r="L7" s="286">
        <f t="shared" si="1"/>
        <v>4598018.6325136162</v>
      </c>
      <c r="M7" s="277">
        <f t="shared" si="3"/>
        <v>-2449396.9470250076</v>
      </c>
    </row>
    <row r="8" spans="1:13" x14ac:dyDescent="0.2">
      <c r="A8" s="126">
        <v>4</v>
      </c>
      <c r="B8" s="282">
        <f>'E-Cal Inv.'!G8</f>
        <v>0</v>
      </c>
      <c r="C8" s="274">
        <f>'E-InvAT'!F$25</f>
        <v>10407.534823720809</v>
      </c>
      <c r="D8" s="274">
        <f>'E-IVA '!F26</f>
        <v>2065.1761098466104</v>
      </c>
      <c r="E8" s="276">
        <f>'E-Costos'!E117</f>
        <v>414263.61722534266</v>
      </c>
      <c r="F8" s="276">
        <f>(H8-E8)*InfoInicial!$B$4</f>
        <v>2271545.5011189622</v>
      </c>
      <c r="G8" s="274">
        <f t="shared" si="0"/>
        <v>2698281.8292778721</v>
      </c>
      <c r="H8" s="276">
        <f>'E-Costos'!E116</f>
        <v>6904393.6204223782</v>
      </c>
      <c r="I8" s="276">
        <f>'E-Inv AF y Am'!E$56</f>
        <v>371385.88624533336</v>
      </c>
      <c r="J8" s="276">
        <f>'E-IVA '!F28</f>
        <v>2065.1761098466104</v>
      </c>
      <c r="K8" s="276">
        <f t="shared" si="2"/>
        <v>7277844.6827775585</v>
      </c>
      <c r="L8" s="286">
        <f t="shared" si="1"/>
        <v>4579562.8534996863</v>
      </c>
      <c r="M8" s="277">
        <f t="shared" si="3"/>
        <v>2130165.9064746788</v>
      </c>
    </row>
    <row r="9" spans="1:13" x14ac:dyDescent="0.2">
      <c r="A9" s="126">
        <v>5</v>
      </c>
      <c r="B9" s="282">
        <f>-'E-Inv AF y Am'!G56</f>
        <v>-10344920.833333334</v>
      </c>
      <c r="C9" s="274">
        <f>'E-InvAT'!G25-'E-InvAT'!G22</f>
        <v>-3692262.5718105943</v>
      </c>
      <c r="D9" s="276">
        <f>'E-IVA '!G26</f>
        <v>0</v>
      </c>
      <c r="E9" s="276">
        <f>'E-Costos'!F117</f>
        <v>414260.35235268011</v>
      </c>
      <c r="F9" s="276">
        <f>(H9-E9)*InfoInicial!$B$4</f>
        <v>2271527.5987338629</v>
      </c>
      <c r="G9" s="274">
        <f t="shared" si="0"/>
        <v>-11351395.454057384</v>
      </c>
      <c r="H9" s="276">
        <f>'E-Costos'!F116</f>
        <v>6904339.2058780026</v>
      </c>
      <c r="I9" s="276">
        <f>'E-Inv AF y Am'!E$56</f>
        <v>371385.88624533336</v>
      </c>
      <c r="J9" s="276">
        <f>'E-IVA '!G28</f>
        <v>0</v>
      </c>
      <c r="K9" s="276">
        <f t="shared" si="2"/>
        <v>7275725.0921233362</v>
      </c>
      <c r="L9" s="286">
        <f t="shared" si="1"/>
        <v>18627120.546180721</v>
      </c>
      <c r="M9" s="277">
        <f t="shared" si="3"/>
        <v>20757286.452655401</v>
      </c>
    </row>
    <row r="10" spans="1:13" x14ac:dyDescent="0.2">
      <c r="A10" s="126"/>
      <c r="B10" s="283"/>
      <c r="C10" s="278"/>
      <c r="D10" s="278"/>
      <c r="E10" s="278"/>
      <c r="F10" s="278"/>
      <c r="G10" s="278"/>
      <c r="H10" s="278"/>
      <c r="I10" s="278"/>
      <c r="J10" s="278"/>
      <c r="K10" s="278"/>
      <c r="L10" s="281"/>
      <c r="M10" s="279"/>
    </row>
    <row r="11" spans="1:13" ht="13.5" thickBot="1" x14ac:dyDescent="0.25">
      <c r="A11" s="127" t="s">
        <v>247</v>
      </c>
      <c r="B11" s="284">
        <f>SUM(B4:B9)</f>
        <v>1857894.4312266652</v>
      </c>
      <c r="C11" s="284">
        <f t="shared" ref="C11:L11" si="4">SUM(C4:C9)</f>
        <v>0</v>
      </c>
      <c r="D11" s="284">
        <f t="shared" si="4"/>
        <v>2892026.0807857439</v>
      </c>
      <c r="E11" s="284">
        <f t="shared" si="4"/>
        <v>2038358.7351216429</v>
      </c>
      <c r="F11" s="284">
        <f t="shared" si="4"/>
        <v>11177000.397583675</v>
      </c>
      <c r="G11" s="284">
        <f t="shared" si="4"/>
        <v>17965279.644717731</v>
      </c>
      <c r="H11" s="284">
        <f t="shared" si="4"/>
        <v>33972645.585360721</v>
      </c>
      <c r="I11" s="284">
        <f t="shared" si="4"/>
        <v>1857894.4312266666</v>
      </c>
      <c r="J11" s="284">
        <f t="shared" si="4"/>
        <v>2892026.0807857439</v>
      </c>
      <c r="K11" s="284">
        <f t="shared" si="4"/>
        <v>38722566.097373128</v>
      </c>
      <c r="L11" s="284">
        <f t="shared" si="4"/>
        <v>20757286.452655401</v>
      </c>
      <c r="M11" s="284"/>
    </row>
    <row r="12" spans="1:13" ht="13.5" thickTop="1" x14ac:dyDescent="0.2"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</row>
    <row r="13" spans="1:13" x14ac:dyDescent="0.2">
      <c r="B13" s="272"/>
      <c r="C13" s="287" t="s">
        <v>248</v>
      </c>
      <c r="D13" s="288">
        <f>M9</f>
        <v>20757286.452655401</v>
      </c>
      <c r="E13" s="272"/>
      <c r="F13" s="272"/>
      <c r="G13" s="272"/>
      <c r="H13" s="272"/>
      <c r="I13" s="272"/>
      <c r="J13" s="272"/>
      <c r="K13" s="272"/>
      <c r="L13" s="272"/>
      <c r="M13" s="272"/>
    </row>
    <row r="14" spans="1:13" x14ac:dyDescent="0.2">
      <c r="A14" s="68"/>
      <c r="B14" s="272"/>
      <c r="C14" s="287" t="s">
        <v>249</v>
      </c>
      <c r="D14" s="291">
        <f>3+-M7/L8</f>
        <v>3.5348538769706339</v>
      </c>
      <c r="E14" s="272" t="s">
        <v>250</v>
      </c>
      <c r="F14" s="290"/>
      <c r="G14" s="272"/>
      <c r="H14" s="272"/>
      <c r="I14" s="272"/>
      <c r="J14" s="272"/>
      <c r="K14" s="272"/>
      <c r="L14" s="272"/>
      <c r="M14" s="272"/>
    </row>
    <row r="15" spans="1:13" x14ac:dyDescent="0.2">
      <c r="B15" s="272"/>
      <c r="C15" s="287" t="s">
        <v>251</v>
      </c>
      <c r="D15" s="289">
        <f>IRR(L4:L9)</f>
        <v>0.26850987549843475</v>
      </c>
      <c r="E15" s="272"/>
      <c r="F15" s="272"/>
      <c r="G15" s="272"/>
      <c r="H15" s="269"/>
      <c r="I15" s="272"/>
      <c r="J15" s="272"/>
      <c r="K15" s="272"/>
      <c r="L15" s="272"/>
      <c r="M15" s="272"/>
    </row>
    <row r="16" spans="1:13" x14ac:dyDescent="0.2">
      <c r="L16" s="501" t="s">
        <v>252</v>
      </c>
      <c r="M16" s="501"/>
    </row>
    <row r="17" spans="3:13" x14ac:dyDescent="0.2">
      <c r="J17" s="131"/>
      <c r="L17" s="501" t="s">
        <v>253</v>
      </c>
      <c r="M17" s="501"/>
    </row>
    <row r="18" spans="3:13" x14ac:dyDescent="0.2">
      <c r="L18" s="132" t="s">
        <v>101</v>
      </c>
      <c r="M18" s="133" t="str">
        <f>IF(B11=I11,"OK","MAL")</f>
        <v>OK</v>
      </c>
    </row>
    <row r="19" spans="3:13" x14ac:dyDescent="0.2">
      <c r="C19" s="269"/>
      <c r="D19" s="269"/>
      <c r="L19" s="132" t="s">
        <v>254</v>
      </c>
      <c r="M19" s="133" t="str">
        <f>IF(D11=J11,"OK","MAL")</f>
        <v>OK</v>
      </c>
    </row>
    <row r="20" spans="3:13" x14ac:dyDescent="0.2">
      <c r="L20" s="132" t="s">
        <v>255</v>
      </c>
      <c r="M20" s="133" t="str">
        <f>IF(C11=0,"OK","MAL")</f>
        <v>OK</v>
      </c>
    </row>
    <row r="21" spans="3:13" x14ac:dyDescent="0.2">
      <c r="L21" s="132" t="s">
        <v>256</v>
      </c>
      <c r="M21" s="133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84" workbookViewId="0">
      <selection activeCell="A97" sqref="A97"/>
    </sheetView>
  </sheetViews>
  <sheetFormatPr baseColWidth="10" defaultRowHeight="12.75" x14ac:dyDescent="0.2"/>
  <cols>
    <col min="1" max="1" width="46" bestFit="1" customWidth="1"/>
    <col min="2" max="2" width="14.85546875" bestFit="1" customWidth="1"/>
    <col min="3" max="3" width="16.28515625" customWidth="1"/>
    <col min="4" max="4" width="20.5703125" customWidth="1"/>
    <col min="5" max="5" width="46" customWidth="1"/>
    <col min="6" max="6" width="13.140625" customWidth="1"/>
    <col min="8" max="8" width="20.42578125" customWidth="1"/>
  </cols>
  <sheetData>
    <row r="1" spans="1:12" x14ac:dyDescent="0.2">
      <c r="A1" s="25" t="s">
        <v>55</v>
      </c>
      <c r="B1" t="s">
        <v>526</v>
      </c>
      <c r="C1" t="s">
        <v>54</v>
      </c>
      <c r="D1" t="s">
        <v>157</v>
      </c>
    </row>
    <row r="2" spans="1:12" x14ac:dyDescent="0.2">
      <c r="A2" s="27" t="s">
        <v>56</v>
      </c>
      <c r="B2" s="28">
        <v>9050500</v>
      </c>
      <c r="C2" s="28"/>
      <c r="D2" s="265">
        <f>B2+C2</f>
        <v>9050500</v>
      </c>
      <c r="E2" s="268" t="s">
        <v>446</v>
      </c>
      <c r="K2" s="226" t="s">
        <v>33</v>
      </c>
      <c r="L2">
        <v>250</v>
      </c>
    </row>
    <row r="3" spans="1:12" x14ac:dyDescent="0.2">
      <c r="A3" s="27" t="s">
        <v>57</v>
      </c>
      <c r="B3" s="28">
        <f>L2*4150</f>
        <v>1037500</v>
      </c>
      <c r="C3" s="28"/>
      <c r="D3" s="265">
        <f t="shared" ref="D3:D41" si="0">B3+C3</f>
        <v>1037500</v>
      </c>
      <c r="E3" t="s">
        <v>447</v>
      </c>
    </row>
    <row r="4" spans="1:12" x14ac:dyDescent="0.2">
      <c r="A4" s="27" t="s">
        <v>58</v>
      </c>
      <c r="B4" s="28">
        <f>B3*0.8</f>
        <v>830000</v>
      </c>
      <c r="C4" s="28"/>
      <c r="D4" s="267">
        <f t="shared" si="0"/>
        <v>830000</v>
      </c>
      <c r="E4" t="s">
        <v>448</v>
      </c>
    </row>
    <row r="5" spans="1:12" x14ac:dyDescent="0.2">
      <c r="A5" s="27" t="s">
        <v>59</v>
      </c>
      <c r="B5" s="28"/>
      <c r="C5" s="28"/>
      <c r="D5" s="266">
        <f t="shared" si="0"/>
        <v>0</v>
      </c>
      <c r="E5" s="212" t="s">
        <v>418</v>
      </c>
      <c r="F5" s="212" t="s">
        <v>421</v>
      </c>
      <c r="G5" s="212" t="s">
        <v>422</v>
      </c>
      <c r="H5" s="213" t="s">
        <v>157</v>
      </c>
    </row>
    <row r="6" spans="1:12" x14ac:dyDescent="0.2">
      <c r="A6" s="27" t="s">
        <v>60</v>
      </c>
      <c r="B6" s="28"/>
      <c r="C6" s="28"/>
      <c r="D6" s="266">
        <f t="shared" si="0"/>
        <v>0</v>
      </c>
      <c r="E6" s="16" t="s">
        <v>419</v>
      </c>
      <c r="F6" s="16">
        <v>1</v>
      </c>
      <c r="G6" s="16">
        <v>7000</v>
      </c>
      <c r="H6" s="16">
        <f>G6*F6</f>
        <v>7000</v>
      </c>
      <c r="J6" t="s">
        <v>450</v>
      </c>
    </row>
    <row r="7" spans="1:12" x14ac:dyDescent="0.2">
      <c r="A7" s="27" t="s">
        <v>61</v>
      </c>
      <c r="B7" s="28">
        <f>H9+N49</f>
        <v>30640</v>
      </c>
      <c r="C7" s="28"/>
      <c r="D7" s="266">
        <f t="shared" si="0"/>
        <v>30640</v>
      </c>
      <c r="E7" s="16" t="s">
        <v>420</v>
      </c>
      <c r="F7" s="16">
        <v>1</v>
      </c>
      <c r="G7" s="16">
        <v>22000</v>
      </c>
      <c r="H7" s="16">
        <f>G7*F7</f>
        <v>22000</v>
      </c>
      <c r="J7" s="227" t="s">
        <v>451</v>
      </c>
    </row>
    <row r="8" spans="1:12" x14ac:dyDescent="0.2">
      <c r="A8" s="29" t="s">
        <v>62</v>
      </c>
      <c r="B8" s="28">
        <v>0</v>
      </c>
      <c r="C8" s="28"/>
      <c r="D8" s="266">
        <f t="shared" si="0"/>
        <v>0</v>
      </c>
      <c r="E8" s="16" t="s">
        <v>423</v>
      </c>
      <c r="F8" s="16">
        <v>1</v>
      </c>
      <c r="G8" s="16">
        <v>675</v>
      </c>
      <c r="H8" s="16">
        <v>675</v>
      </c>
      <c r="J8" t="s">
        <v>453</v>
      </c>
    </row>
    <row r="9" spans="1:12" x14ac:dyDescent="0.2">
      <c r="A9" s="27" t="s">
        <v>63</v>
      </c>
      <c r="B9" s="28">
        <v>0</v>
      </c>
      <c r="C9" s="28"/>
      <c r="D9" s="266">
        <f t="shared" si="0"/>
        <v>0</v>
      </c>
      <c r="E9" s="16"/>
      <c r="F9" s="16"/>
      <c r="G9" s="16"/>
      <c r="H9" s="16">
        <f>SUM(H6:H8)</f>
        <v>29675</v>
      </c>
      <c r="J9" t="s">
        <v>454</v>
      </c>
    </row>
    <row r="10" spans="1:12" x14ac:dyDescent="0.2">
      <c r="A10" s="27" t="s">
        <v>64</v>
      </c>
      <c r="B10" s="28">
        <v>140000</v>
      </c>
      <c r="C10" s="28"/>
      <c r="D10" s="266">
        <f t="shared" si="0"/>
        <v>140000</v>
      </c>
      <c r="E10" t="s">
        <v>449</v>
      </c>
    </row>
    <row r="11" spans="1:12" x14ac:dyDescent="0.2">
      <c r="A11" s="27" t="s">
        <v>65</v>
      </c>
      <c r="B11" s="28">
        <f>H26</f>
        <v>143250</v>
      </c>
      <c r="C11" s="28"/>
      <c r="D11" s="266">
        <f t="shared" si="0"/>
        <v>143250</v>
      </c>
      <c r="E11" s="212" t="s">
        <v>401</v>
      </c>
      <c r="F11" s="212" t="s">
        <v>410</v>
      </c>
      <c r="G11" s="212" t="s">
        <v>417</v>
      </c>
      <c r="H11" s="213" t="s">
        <v>157</v>
      </c>
    </row>
    <row r="12" spans="1:12" x14ac:dyDescent="0.2">
      <c r="A12" s="27" t="s">
        <v>66</v>
      </c>
      <c r="B12" s="28">
        <v>0</v>
      </c>
      <c r="C12" s="28"/>
      <c r="D12" s="266">
        <f t="shared" si="0"/>
        <v>0</v>
      </c>
      <c r="E12" s="16" t="s">
        <v>402</v>
      </c>
      <c r="F12" s="16">
        <v>5</v>
      </c>
      <c r="G12" s="16">
        <v>7000</v>
      </c>
      <c r="H12" s="16">
        <f>G12*F12</f>
        <v>35000</v>
      </c>
    </row>
    <row r="13" spans="1:12" x14ac:dyDescent="0.2">
      <c r="A13" s="27" t="s">
        <v>21</v>
      </c>
      <c r="B13" s="28">
        <f>SUM(B4:B12)*0.08</f>
        <v>91511.2</v>
      </c>
      <c r="C13" s="28"/>
      <c r="D13" s="266">
        <f t="shared" si="0"/>
        <v>91511.2</v>
      </c>
      <c r="E13" s="16" t="s">
        <v>403</v>
      </c>
      <c r="F13" s="16">
        <v>6</v>
      </c>
      <c r="G13" s="16">
        <v>1000</v>
      </c>
      <c r="H13" s="16">
        <f t="shared" ref="H13:H25" si="1">G13*F13</f>
        <v>6000</v>
      </c>
      <c r="J13" t="s">
        <v>452</v>
      </c>
    </row>
    <row r="14" spans="1:12" x14ac:dyDescent="0.2">
      <c r="A14" s="27"/>
      <c r="B14" s="28"/>
      <c r="C14" s="28"/>
      <c r="D14" s="266">
        <f t="shared" si="0"/>
        <v>0</v>
      </c>
      <c r="E14" s="16" t="s">
        <v>404</v>
      </c>
      <c r="F14" s="16">
        <v>2</v>
      </c>
      <c r="G14" s="16">
        <v>1800</v>
      </c>
      <c r="H14" s="16">
        <f t="shared" si="1"/>
        <v>3600</v>
      </c>
    </row>
    <row r="15" spans="1:12" x14ac:dyDescent="0.2">
      <c r="A15" s="25" t="s">
        <v>67</v>
      </c>
      <c r="B15" s="28">
        <f>SUM(B2:B13)</f>
        <v>11323401.199999999</v>
      </c>
      <c r="C15" s="28"/>
      <c r="D15" s="266">
        <f t="shared" si="0"/>
        <v>11323401.199999999</v>
      </c>
      <c r="E15" s="16" t="s">
        <v>405</v>
      </c>
      <c r="F15" s="16">
        <v>2</v>
      </c>
      <c r="G15" s="16">
        <v>2200</v>
      </c>
      <c r="H15" s="16">
        <f t="shared" si="1"/>
        <v>4400</v>
      </c>
    </row>
    <row r="16" spans="1:12" x14ac:dyDescent="0.2">
      <c r="A16" s="27"/>
      <c r="B16" s="30"/>
      <c r="C16" s="30"/>
      <c r="D16" s="266">
        <f t="shared" si="0"/>
        <v>0</v>
      </c>
      <c r="E16" s="16" t="s">
        <v>406</v>
      </c>
      <c r="F16" s="16">
        <v>1</v>
      </c>
      <c r="G16" s="16">
        <v>12700</v>
      </c>
      <c r="H16" s="16">
        <f t="shared" si="1"/>
        <v>12700</v>
      </c>
    </row>
    <row r="17" spans="1:10" x14ac:dyDescent="0.2">
      <c r="D17" s="266">
        <f t="shared" si="0"/>
        <v>0</v>
      </c>
      <c r="E17" s="16" t="s">
        <v>407</v>
      </c>
      <c r="F17" s="16">
        <v>1</v>
      </c>
      <c r="G17" s="16">
        <v>500</v>
      </c>
      <c r="H17" s="16">
        <f t="shared" si="1"/>
        <v>500</v>
      </c>
    </row>
    <row r="18" spans="1:10" x14ac:dyDescent="0.2">
      <c r="D18" s="266">
        <f t="shared" si="0"/>
        <v>0</v>
      </c>
      <c r="E18" s="16" t="s">
        <v>411</v>
      </c>
      <c r="F18" s="16">
        <v>1</v>
      </c>
      <c r="G18" s="16">
        <v>2200</v>
      </c>
      <c r="H18" s="16">
        <f t="shared" si="1"/>
        <v>2200</v>
      </c>
    </row>
    <row r="19" spans="1:10" x14ac:dyDescent="0.2">
      <c r="D19" s="266">
        <f t="shared" si="0"/>
        <v>0</v>
      </c>
      <c r="E19" s="16" t="s">
        <v>412</v>
      </c>
      <c r="F19" s="16">
        <v>1</v>
      </c>
      <c r="G19" s="16">
        <v>2600</v>
      </c>
      <c r="H19" s="16">
        <f t="shared" si="1"/>
        <v>2600</v>
      </c>
    </row>
    <row r="20" spans="1:10" x14ac:dyDescent="0.2">
      <c r="D20" s="266">
        <f t="shared" si="0"/>
        <v>0</v>
      </c>
      <c r="E20" s="16" t="s">
        <v>413</v>
      </c>
      <c r="F20" s="16">
        <v>1</v>
      </c>
      <c r="G20" s="16">
        <v>4000</v>
      </c>
      <c r="H20" s="16">
        <f t="shared" si="1"/>
        <v>4000</v>
      </c>
    </row>
    <row r="21" spans="1:10" x14ac:dyDescent="0.2">
      <c r="D21" s="266">
        <f t="shared" si="0"/>
        <v>0</v>
      </c>
      <c r="E21" s="16" t="s">
        <v>408</v>
      </c>
      <c r="F21" s="16">
        <v>5</v>
      </c>
      <c r="G21" s="16">
        <v>850</v>
      </c>
      <c r="H21" s="16">
        <f t="shared" si="1"/>
        <v>4250</v>
      </c>
    </row>
    <row r="22" spans="1:10" x14ac:dyDescent="0.2">
      <c r="D22" s="266">
        <f t="shared" si="0"/>
        <v>0</v>
      </c>
      <c r="E22" s="16" t="s">
        <v>409</v>
      </c>
      <c r="F22" s="16">
        <v>5</v>
      </c>
      <c r="G22" s="16">
        <v>2200</v>
      </c>
      <c r="H22" s="16">
        <f t="shared" si="1"/>
        <v>11000</v>
      </c>
    </row>
    <row r="23" spans="1:10" x14ac:dyDescent="0.2">
      <c r="D23" s="266">
        <f t="shared" si="0"/>
        <v>0</v>
      </c>
      <c r="E23" s="16" t="s">
        <v>414</v>
      </c>
      <c r="F23" s="16">
        <v>1</v>
      </c>
      <c r="G23" s="16">
        <f>50000</f>
        <v>50000</v>
      </c>
      <c r="H23" s="16">
        <f t="shared" si="1"/>
        <v>50000</v>
      </c>
    </row>
    <row r="24" spans="1:10" x14ac:dyDescent="0.2">
      <c r="D24" s="266">
        <f t="shared" si="0"/>
        <v>0</v>
      </c>
      <c r="E24" s="16" t="s">
        <v>415</v>
      </c>
      <c r="F24" s="16">
        <v>1</v>
      </c>
      <c r="G24" s="16">
        <v>2500</v>
      </c>
      <c r="H24" s="16">
        <f t="shared" si="1"/>
        <v>2500</v>
      </c>
    </row>
    <row r="25" spans="1:10" x14ac:dyDescent="0.2">
      <c r="D25" s="266">
        <f t="shared" si="0"/>
        <v>0</v>
      </c>
      <c r="E25" s="16" t="s">
        <v>416</v>
      </c>
      <c r="F25" s="16">
        <v>3</v>
      </c>
      <c r="G25" s="16">
        <v>1500</v>
      </c>
      <c r="H25" s="16">
        <f t="shared" si="1"/>
        <v>4500</v>
      </c>
    </row>
    <row r="26" spans="1:10" x14ac:dyDescent="0.2">
      <c r="D26" s="266">
        <f t="shared" si="0"/>
        <v>0</v>
      </c>
      <c r="E26" s="16"/>
      <c r="F26" s="16"/>
      <c r="G26" s="16"/>
      <c r="H26" s="16">
        <f>SUM(H12:H25)</f>
        <v>143250</v>
      </c>
    </row>
    <row r="27" spans="1:10" x14ac:dyDescent="0.2">
      <c r="A27" s="25" t="s">
        <v>68</v>
      </c>
      <c r="B27" s="30"/>
      <c r="C27" s="30"/>
      <c r="D27" s="266">
        <f t="shared" si="0"/>
        <v>0</v>
      </c>
    </row>
    <row r="28" spans="1:10" x14ac:dyDescent="0.2">
      <c r="A28" s="27" t="s">
        <v>69</v>
      </c>
      <c r="B28" s="28">
        <v>100000</v>
      </c>
      <c r="C28" s="28"/>
      <c r="D28" s="266">
        <f t="shared" si="0"/>
        <v>100000</v>
      </c>
    </row>
    <row r="29" spans="1:10" x14ac:dyDescent="0.2">
      <c r="A29" s="27" t="s">
        <v>70</v>
      </c>
      <c r="B29" s="28">
        <v>35000</v>
      </c>
      <c r="C29" s="28"/>
      <c r="D29" s="266">
        <f t="shared" si="0"/>
        <v>35000</v>
      </c>
      <c r="E29" t="s">
        <v>455</v>
      </c>
    </row>
    <row r="30" spans="1:10" x14ac:dyDescent="0.2">
      <c r="A30" s="27" t="s">
        <v>71</v>
      </c>
      <c r="B30" s="28">
        <v>330000</v>
      </c>
      <c r="C30" s="28"/>
      <c r="D30" s="266">
        <f t="shared" si="0"/>
        <v>330000</v>
      </c>
    </row>
    <row r="31" spans="1:10" x14ac:dyDescent="0.2">
      <c r="A31" s="29" t="s">
        <v>72</v>
      </c>
      <c r="B31" s="28">
        <v>0</v>
      </c>
      <c r="C31" s="28">
        <f>F34</f>
        <v>349272.28200000001</v>
      </c>
      <c r="D31" s="266">
        <f t="shared" si="0"/>
        <v>349272.28200000001</v>
      </c>
      <c r="E31" s="213" t="s">
        <v>112</v>
      </c>
      <c r="F31" s="16"/>
    </row>
    <row r="32" spans="1:10" x14ac:dyDescent="0.2">
      <c r="A32" s="29" t="s">
        <v>73</v>
      </c>
      <c r="B32" s="28">
        <v>0</v>
      </c>
      <c r="C32" s="28"/>
      <c r="D32" s="266">
        <f t="shared" si="0"/>
        <v>0</v>
      </c>
      <c r="E32" s="211" t="s">
        <v>424</v>
      </c>
      <c r="F32" s="16">
        <f>11458/1.5*90/2</f>
        <v>343740</v>
      </c>
      <c r="G32" t="s">
        <v>456</v>
      </c>
      <c r="J32" t="s">
        <v>457</v>
      </c>
    </row>
    <row r="33" spans="1:14" x14ac:dyDescent="0.2">
      <c r="A33" s="29" t="s">
        <v>74</v>
      </c>
      <c r="B33" s="28">
        <v>0</v>
      </c>
      <c r="C33" s="28"/>
      <c r="D33" s="266">
        <f t="shared" si="0"/>
        <v>0</v>
      </c>
      <c r="E33" s="211" t="s">
        <v>425</v>
      </c>
      <c r="F33" s="16">
        <f>61469.8*0.25*20*6/1000*3</f>
        <v>5532.2820000000002</v>
      </c>
    </row>
    <row r="34" spans="1:14" x14ac:dyDescent="0.2">
      <c r="A34" s="27" t="s">
        <v>21</v>
      </c>
      <c r="B34" s="28">
        <f>SUM(B28:B33)*0.08</f>
        <v>37200</v>
      </c>
      <c r="C34" s="28">
        <f>SUM(C28:C33)*0.08</f>
        <v>27941.78256</v>
      </c>
      <c r="D34" s="266">
        <f t="shared" si="0"/>
        <v>65141.78256</v>
      </c>
      <c r="E34" s="211" t="s">
        <v>157</v>
      </c>
      <c r="F34" s="16">
        <f>SUM(F32:F33)</f>
        <v>349272.28200000001</v>
      </c>
    </row>
    <row r="35" spans="1:14" x14ac:dyDescent="0.2">
      <c r="A35" s="27"/>
      <c r="B35" s="28"/>
      <c r="C35" s="28"/>
      <c r="D35" s="266">
        <f t="shared" si="0"/>
        <v>0</v>
      </c>
    </row>
    <row r="36" spans="1:14" x14ac:dyDescent="0.2">
      <c r="A36" s="25" t="s">
        <v>75</v>
      </c>
      <c r="B36" s="28">
        <f>SUM(B28:B34)</f>
        <v>502200</v>
      </c>
      <c r="C36" s="28">
        <f>SUM(C28:C34)</f>
        <v>377214.06456000003</v>
      </c>
      <c r="D36" s="266">
        <f t="shared" si="0"/>
        <v>879414.06456000009</v>
      </c>
    </row>
    <row r="37" spans="1:14" x14ac:dyDescent="0.2">
      <c r="A37" s="27"/>
      <c r="B37" s="30"/>
      <c r="C37" s="30"/>
      <c r="D37" s="266">
        <f t="shared" si="0"/>
        <v>0</v>
      </c>
    </row>
    <row r="38" spans="1:14" x14ac:dyDescent="0.2">
      <c r="A38" s="25" t="s">
        <v>76</v>
      </c>
      <c r="B38" s="28">
        <f>B25+B36</f>
        <v>502200</v>
      </c>
      <c r="C38" s="28">
        <f>C36</f>
        <v>377214.06456000003</v>
      </c>
      <c r="D38" s="266">
        <f t="shared" si="0"/>
        <v>879414.06456000009</v>
      </c>
    </row>
    <row r="39" spans="1:14" x14ac:dyDescent="0.2">
      <c r="A39" s="25" t="s">
        <v>77</v>
      </c>
      <c r="B39" s="28">
        <f>0.21*B38</f>
        <v>105462</v>
      </c>
      <c r="C39" s="28">
        <f>0.21*C38</f>
        <v>79214.953557600005</v>
      </c>
      <c r="D39" s="266">
        <f t="shared" si="0"/>
        <v>184676.95355760001</v>
      </c>
    </row>
    <row r="40" spans="1:14" x14ac:dyDescent="0.2">
      <c r="A40" s="27"/>
      <c r="B40" s="30"/>
      <c r="C40" s="30"/>
      <c r="D40" s="266">
        <f t="shared" si="0"/>
        <v>0</v>
      </c>
    </row>
    <row r="41" spans="1:14" ht="13.5" thickBot="1" x14ac:dyDescent="0.25">
      <c r="A41" s="31" t="s">
        <v>78</v>
      </c>
      <c r="B41" s="32">
        <f>B39+B38</f>
        <v>607662</v>
      </c>
      <c r="C41" s="32">
        <f>C38+C39</f>
        <v>456429.0181176</v>
      </c>
      <c r="D41" s="266">
        <f t="shared" si="0"/>
        <v>1064091.0181176001</v>
      </c>
    </row>
    <row r="42" spans="1:14" ht="13.5" thickTop="1" x14ac:dyDescent="0.2"/>
    <row r="44" spans="1:14" ht="13.5" thickBot="1" x14ac:dyDescent="0.25"/>
    <row r="45" spans="1:14" ht="13.5" thickTop="1" x14ac:dyDescent="0.2">
      <c r="A45" s="33" t="s">
        <v>79</v>
      </c>
      <c r="B45" s="225" t="s">
        <v>80</v>
      </c>
      <c r="C45" s="225" t="s">
        <v>81</v>
      </c>
      <c r="D45" s="494" t="s">
        <v>82</v>
      </c>
      <c r="E45" s="494"/>
      <c r="F45" s="494"/>
    </row>
    <row r="46" spans="1:14" ht="13.5" thickBot="1" x14ac:dyDescent="0.25">
      <c r="A46" s="34"/>
      <c r="B46" s="21" t="s">
        <v>83</v>
      </c>
      <c r="C46" s="21"/>
      <c r="D46" s="21" t="s">
        <v>84</v>
      </c>
      <c r="E46" s="21" t="s">
        <v>85</v>
      </c>
      <c r="F46" s="21" t="s">
        <v>426</v>
      </c>
      <c r="H46" s="16"/>
      <c r="I46" s="16" t="s">
        <v>460</v>
      </c>
      <c r="J46" s="16"/>
      <c r="L46" t="s">
        <v>461</v>
      </c>
      <c r="M46" t="s">
        <v>427</v>
      </c>
      <c r="N46" t="s">
        <v>417</v>
      </c>
    </row>
    <row r="47" spans="1:14" ht="13.5" thickTop="1" x14ac:dyDescent="0.2">
      <c r="A47" s="35" t="s">
        <v>86</v>
      </c>
      <c r="B47" s="36"/>
      <c r="C47" s="36"/>
      <c r="D47" s="36"/>
      <c r="E47" s="36"/>
      <c r="F47" s="37"/>
      <c r="H47" s="16" t="s">
        <v>57</v>
      </c>
      <c r="I47" s="16">
        <v>30</v>
      </c>
      <c r="J47" s="16"/>
      <c r="L47" t="s">
        <v>462</v>
      </c>
      <c r="M47">
        <v>2</v>
      </c>
      <c r="N47">
        <v>400</v>
      </c>
    </row>
    <row r="48" spans="1:14" x14ac:dyDescent="0.2">
      <c r="A48" s="38"/>
      <c r="B48" s="39"/>
      <c r="C48" s="39"/>
      <c r="D48" s="39"/>
      <c r="E48" s="39"/>
      <c r="F48" s="40"/>
      <c r="H48" s="16" t="s">
        <v>458</v>
      </c>
      <c r="I48" s="16">
        <v>10</v>
      </c>
      <c r="J48" s="16"/>
      <c r="L48" t="s">
        <v>463</v>
      </c>
      <c r="M48">
        <v>1</v>
      </c>
      <c r="N48">
        <v>165</v>
      </c>
    </row>
    <row r="49" spans="1:14" x14ac:dyDescent="0.2">
      <c r="A49" s="27" t="s">
        <v>56</v>
      </c>
      <c r="B49" s="28">
        <f>B2</f>
        <v>9050500</v>
      </c>
      <c r="C49" s="28"/>
      <c r="D49" s="215">
        <f>$B$49*$C$49</f>
        <v>0</v>
      </c>
      <c r="E49" s="215">
        <f t="shared" ref="E49:F49" si="2">$B$49*$C$49</f>
        <v>0</v>
      </c>
      <c r="F49" s="215">
        <f t="shared" si="2"/>
        <v>0</v>
      </c>
      <c r="H49" s="16" t="s">
        <v>459</v>
      </c>
      <c r="I49" s="16">
        <v>10</v>
      </c>
      <c r="J49" s="16"/>
      <c r="L49" t="s">
        <v>157</v>
      </c>
      <c r="N49">
        <f>M47*N47+N48*M48</f>
        <v>965</v>
      </c>
    </row>
    <row r="50" spans="1:14" x14ac:dyDescent="0.2">
      <c r="A50" s="27" t="s">
        <v>57</v>
      </c>
      <c r="B50" s="28">
        <f>B3</f>
        <v>1037500</v>
      </c>
      <c r="C50" s="216">
        <v>3.3333333333333333E-2</v>
      </c>
      <c r="D50" s="215">
        <f>$B$50*$C$50</f>
        <v>34583.333333333336</v>
      </c>
      <c r="E50" s="215">
        <f t="shared" ref="E50:F50" si="3">$B$50*$C$50</f>
        <v>34583.333333333336</v>
      </c>
      <c r="F50" s="215">
        <f t="shared" si="3"/>
        <v>34583.333333333336</v>
      </c>
      <c r="H50" s="16" t="s">
        <v>64</v>
      </c>
      <c r="I50" s="16">
        <v>5</v>
      </c>
      <c r="J50" s="16"/>
    </row>
    <row r="51" spans="1:14" x14ac:dyDescent="0.2">
      <c r="A51" s="27" t="s">
        <v>58</v>
      </c>
      <c r="B51" s="28">
        <f>B4</f>
        <v>830000</v>
      </c>
      <c r="C51" s="216">
        <v>0.1</v>
      </c>
      <c r="D51" s="215">
        <f>$B$51*$C$51</f>
        <v>83000</v>
      </c>
      <c r="E51" s="215">
        <f t="shared" ref="E51:F51" si="4">$B$51*$C$51</f>
        <v>83000</v>
      </c>
      <c r="F51" s="215">
        <f t="shared" si="4"/>
        <v>83000</v>
      </c>
      <c r="H51" s="16" t="s">
        <v>65</v>
      </c>
      <c r="I51" s="16">
        <v>5</v>
      </c>
      <c r="J51" s="16"/>
    </row>
    <row r="52" spans="1:14" x14ac:dyDescent="0.2">
      <c r="A52" s="29" t="s">
        <v>59</v>
      </c>
      <c r="B52" s="28">
        <f>H9</f>
        <v>29675</v>
      </c>
      <c r="C52" s="216">
        <v>0.1</v>
      </c>
      <c r="D52" s="215">
        <f>$B$52*$C$52</f>
        <v>2967.5</v>
      </c>
      <c r="E52" s="215">
        <f t="shared" ref="E52:F52" si="5">$B$52*$C$52</f>
        <v>2967.5</v>
      </c>
      <c r="F52" s="215">
        <f t="shared" si="5"/>
        <v>2967.5</v>
      </c>
      <c r="H52" s="16" t="s">
        <v>21</v>
      </c>
      <c r="I52" s="16">
        <v>5</v>
      </c>
      <c r="J52" s="16"/>
    </row>
    <row r="53" spans="1:14" x14ac:dyDescent="0.2">
      <c r="A53" s="29" t="s">
        <v>64</v>
      </c>
      <c r="B53" s="28">
        <f>B10</f>
        <v>140000</v>
      </c>
      <c r="C53" s="216">
        <v>0.2</v>
      </c>
      <c r="D53" s="215">
        <f>$B$53*$C$53</f>
        <v>28000</v>
      </c>
      <c r="E53" s="215">
        <f t="shared" ref="E53" si="6">$B$53*$C$53</f>
        <v>28000</v>
      </c>
      <c r="F53" s="215"/>
      <c r="H53" s="16" t="s">
        <v>87</v>
      </c>
      <c r="I53" s="16">
        <v>3</v>
      </c>
      <c r="J53" s="16"/>
    </row>
    <row r="54" spans="1:14" x14ac:dyDescent="0.2">
      <c r="A54" s="29" t="s">
        <v>65</v>
      </c>
      <c r="B54" s="28">
        <f>B11</f>
        <v>143250</v>
      </c>
      <c r="C54" s="216">
        <v>0.2</v>
      </c>
      <c r="D54" s="215">
        <f>$B$54*$C$54</f>
        <v>28650</v>
      </c>
      <c r="E54" s="215">
        <f t="shared" ref="E54" si="7">$B$54*$C$54</f>
        <v>28650</v>
      </c>
      <c r="F54" s="215"/>
    </row>
    <row r="55" spans="1:14" x14ac:dyDescent="0.2">
      <c r="A55" s="29" t="s">
        <v>21</v>
      </c>
      <c r="B55" s="28">
        <f>B13</f>
        <v>91511.2</v>
      </c>
      <c r="C55" s="216">
        <v>0.2</v>
      </c>
      <c r="D55" s="215">
        <f>$B$55*$C$55</f>
        <v>18302.240000000002</v>
      </c>
      <c r="E55" s="215">
        <f>$B$55*$C$55</f>
        <v>18302.240000000002</v>
      </c>
      <c r="F55" s="28">
        <v>0</v>
      </c>
    </row>
    <row r="56" spans="1:14" x14ac:dyDescent="0.2">
      <c r="A56" s="29" t="s">
        <v>87</v>
      </c>
      <c r="B56" s="28">
        <f>N49</f>
        <v>965</v>
      </c>
      <c r="C56" s="216">
        <v>0.33333333333333331</v>
      </c>
      <c r="D56" s="215">
        <f>$B$56*$C$56</f>
        <v>321.66666666666663</v>
      </c>
      <c r="E56" s="28">
        <v>0</v>
      </c>
      <c r="F56" s="28">
        <v>0</v>
      </c>
    </row>
    <row r="57" spans="1:14" x14ac:dyDescent="0.2">
      <c r="A57" s="42" t="s">
        <v>88</v>
      </c>
      <c r="B57" s="28">
        <f>SUM(B49:B56)</f>
        <v>11323401.199999999</v>
      </c>
      <c r="C57" s="216"/>
      <c r="D57" s="28">
        <f>SUM(D49:D56)</f>
        <v>195824.74</v>
      </c>
      <c r="E57" s="28">
        <f>SUM(E49:E56)</f>
        <v>195503.07333333333</v>
      </c>
      <c r="F57" s="28">
        <f>SUM(F49:F56)</f>
        <v>120550.83333333334</v>
      </c>
    </row>
    <row r="58" spans="1:14" x14ac:dyDescent="0.2">
      <c r="A58" s="25"/>
      <c r="B58" s="43"/>
      <c r="C58" s="217"/>
      <c r="D58" s="44"/>
      <c r="E58" s="44"/>
      <c r="F58" s="44"/>
    </row>
    <row r="59" spans="1:14" x14ac:dyDescent="0.2">
      <c r="A59" s="42" t="s">
        <v>89</v>
      </c>
      <c r="B59" s="28">
        <f>D36</f>
        <v>879414.06456000009</v>
      </c>
      <c r="C59" s="216">
        <v>0.2</v>
      </c>
      <c r="D59" s="28">
        <f>$B$59*$C$59</f>
        <v>175882.81291200002</v>
      </c>
      <c r="E59" s="273">
        <f>$B$59*$C$59</f>
        <v>175882.81291200002</v>
      </c>
      <c r="F59" s="28">
        <v>0</v>
      </c>
    </row>
    <row r="60" spans="1:14" x14ac:dyDescent="0.2">
      <c r="A60" s="42"/>
      <c r="B60" s="28"/>
      <c r="C60" s="28"/>
      <c r="D60" s="28"/>
      <c r="E60" s="28"/>
      <c r="F60" s="28"/>
      <c r="H60" s="264"/>
    </row>
    <row r="61" spans="1:14" x14ac:dyDescent="0.2">
      <c r="A61" s="25"/>
      <c r="B61" s="26"/>
      <c r="C61" s="26"/>
      <c r="D61" s="46"/>
      <c r="E61" s="47"/>
      <c r="F61" s="47"/>
    </row>
    <row r="62" spans="1:14" ht="13.5" thickBot="1" x14ac:dyDescent="0.25">
      <c r="A62" s="31" t="s">
        <v>90</v>
      </c>
      <c r="B62" s="32">
        <v>11993688.5</v>
      </c>
      <c r="C62" s="32"/>
      <c r="D62" s="32">
        <f>D57+D59</f>
        <v>371707.55291199998</v>
      </c>
      <c r="E62" s="32">
        <f>E57+E59</f>
        <v>371385.88624533336</v>
      </c>
      <c r="F62" s="32">
        <f>F57+F59</f>
        <v>120550.83333333334</v>
      </c>
    </row>
    <row r="63" spans="1:14" ht="13.5" thickTop="1" x14ac:dyDescent="0.2"/>
    <row r="68" spans="1:9" x14ac:dyDescent="0.2">
      <c r="A68" s="218" t="s">
        <v>428</v>
      </c>
      <c r="B68" s="218" t="s">
        <v>437</v>
      </c>
      <c r="C68" s="16"/>
      <c r="D68" s="16"/>
      <c r="E68" s="218" t="s">
        <v>438</v>
      </c>
      <c r="F68" s="218" t="s">
        <v>437</v>
      </c>
      <c r="G68" s="16"/>
      <c r="H68" s="16"/>
      <c r="I68" s="16"/>
    </row>
    <row r="69" spans="1:9" x14ac:dyDescent="0.2">
      <c r="A69" s="214" t="s">
        <v>429</v>
      </c>
      <c r="B69" s="16">
        <f>46*0.7875</f>
        <v>36.225000000000001</v>
      </c>
      <c r="C69" s="16"/>
      <c r="D69" s="16" t="s">
        <v>439</v>
      </c>
      <c r="E69" s="16">
        <f>61669.8*230/1000</f>
        <v>14184.054</v>
      </c>
      <c r="F69" s="16">
        <f>E69*3</f>
        <v>42552.161999999997</v>
      </c>
      <c r="G69" s="16"/>
      <c r="H69" s="16" t="s">
        <v>485</v>
      </c>
      <c r="I69" s="16">
        <v>1400</v>
      </c>
    </row>
    <row r="70" spans="1:9" x14ac:dyDescent="0.2">
      <c r="A70" s="16" t="s">
        <v>430</v>
      </c>
      <c r="B70" s="16">
        <f>0.2*200/10</f>
        <v>4</v>
      </c>
      <c r="C70" s="16"/>
      <c r="D70" s="16" t="s">
        <v>440</v>
      </c>
      <c r="E70" s="16">
        <f>E69*0.96</f>
        <v>13616.69184</v>
      </c>
      <c r="F70" s="16">
        <f>E70*3</f>
        <v>40850.075519999999</v>
      </c>
      <c r="G70" s="16"/>
      <c r="H70" s="16" t="s">
        <v>442</v>
      </c>
      <c r="I70" s="16">
        <f>I69*F72</f>
        <v>504000</v>
      </c>
    </row>
    <row r="71" spans="1:9" x14ac:dyDescent="0.2">
      <c r="A71" s="16" t="s">
        <v>431</v>
      </c>
      <c r="B71" s="16">
        <f>2*185/50</f>
        <v>7.4</v>
      </c>
      <c r="C71" s="16"/>
      <c r="D71" s="16" t="s">
        <v>441</v>
      </c>
      <c r="E71" s="16">
        <f>E69*0.01</f>
        <v>141.84054</v>
      </c>
      <c r="F71" s="16">
        <f>E71*3</f>
        <v>425.52161999999998</v>
      </c>
      <c r="G71" s="16"/>
      <c r="H71" s="16"/>
      <c r="I71" s="16"/>
    </row>
    <row r="72" spans="1:9" x14ac:dyDescent="0.2">
      <c r="A72" s="16" t="s">
        <v>432</v>
      </c>
      <c r="B72" s="16">
        <f>2*220/22</f>
        <v>20</v>
      </c>
      <c r="C72" s="16"/>
      <c r="D72" s="16" t="s">
        <v>442</v>
      </c>
      <c r="E72" s="16"/>
      <c r="F72" s="232">
        <f>30*12</f>
        <v>360</v>
      </c>
      <c r="G72" s="16"/>
      <c r="H72" s="16"/>
      <c r="I72" s="16"/>
    </row>
    <row r="73" spans="1:9" x14ac:dyDescent="0.2">
      <c r="A73" s="16" t="s">
        <v>433</v>
      </c>
      <c r="B73" s="16">
        <f>3.9*2.52</f>
        <v>9.8279999999999994</v>
      </c>
      <c r="C73" s="16"/>
      <c r="D73" s="16" t="s">
        <v>157</v>
      </c>
      <c r="E73" s="16">
        <f>SUM(E69:E71)</f>
        <v>27942.586380000001</v>
      </c>
      <c r="F73" s="16">
        <f>SUM(F70:F72)</f>
        <v>41635.597139999998</v>
      </c>
      <c r="G73" s="16"/>
      <c r="H73" s="16"/>
      <c r="I73" s="16"/>
    </row>
    <row r="74" spans="1:9" x14ac:dyDescent="0.2">
      <c r="A74" s="16" t="s">
        <v>434</v>
      </c>
      <c r="B74" s="16">
        <f>10*80/4000</f>
        <v>0.2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6" t="s">
        <v>435</v>
      </c>
      <c r="B75" s="16">
        <f>5*600/400</f>
        <v>7.5</v>
      </c>
      <c r="C75" s="16"/>
      <c r="D75" s="218" t="s">
        <v>128</v>
      </c>
      <c r="E75" s="218" t="s">
        <v>443</v>
      </c>
      <c r="F75" s="218" t="s">
        <v>437</v>
      </c>
      <c r="G75" s="16"/>
      <c r="H75" s="16"/>
      <c r="I75" s="16"/>
    </row>
    <row r="76" spans="1:9" x14ac:dyDescent="0.2">
      <c r="A76" s="16" t="s">
        <v>436</v>
      </c>
      <c r="B76" s="16">
        <f>1*1255/1000</f>
        <v>1.2549999999999999</v>
      </c>
      <c r="C76" s="16"/>
      <c r="D76" s="16" t="s">
        <v>487</v>
      </c>
      <c r="E76" s="16">
        <f>80*11.5</f>
        <v>920</v>
      </c>
      <c r="F76" s="16">
        <f>E76*33.23</f>
        <v>30571.599999999999</v>
      </c>
      <c r="G76" s="16" t="s">
        <v>444</v>
      </c>
      <c r="H76" s="16"/>
      <c r="I76" s="16"/>
    </row>
    <row r="77" spans="1:9" x14ac:dyDescent="0.2">
      <c r="A77" s="16" t="s">
        <v>157</v>
      </c>
      <c r="B77" s="218">
        <f>SUM(B69:B76)</f>
        <v>86.408000000000001</v>
      </c>
      <c r="C77" s="16"/>
      <c r="D77" s="16"/>
      <c r="E77" s="16"/>
      <c r="F77" s="16"/>
      <c r="G77" s="16" t="s">
        <v>445</v>
      </c>
      <c r="H77" s="16"/>
      <c r="I77" s="16"/>
    </row>
    <row r="78" spans="1:9" x14ac:dyDescent="0.2">
      <c r="D78" s="16" t="s">
        <v>488</v>
      </c>
      <c r="E78">
        <f>F76/InfoInicial!B19</f>
        <v>0.26386218087034574</v>
      </c>
    </row>
    <row r="79" spans="1:9" x14ac:dyDescent="0.2">
      <c r="D79" s="16" t="s">
        <v>489</v>
      </c>
      <c r="E79">
        <f>(E78*F102)/2</f>
        <v>154.79637735739328</v>
      </c>
    </row>
    <row r="80" spans="1:9" x14ac:dyDescent="0.2">
      <c r="D80" s="16" t="s">
        <v>490</v>
      </c>
      <c r="E80">
        <f>F76*0.95-F104*E78-E79</f>
        <v>5959.3916915521704</v>
      </c>
    </row>
    <row r="81" spans="1:5" x14ac:dyDescent="0.2">
      <c r="A81" t="s">
        <v>467</v>
      </c>
      <c r="B81">
        <v>10700</v>
      </c>
    </row>
    <row r="82" spans="1:5" x14ac:dyDescent="0.2">
      <c r="A82" t="s">
        <v>464</v>
      </c>
      <c r="B82">
        <v>100000</v>
      </c>
    </row>
    <row r="83" spans="1:5" x14ac:dyDescent="0.2">
      <c r="A83" t="s">
        <v>465</v>
      </c>
      <c r="B83">
        <v>80000</v>
      </c>
    </row>
    <row r="84" spans="1:5" x14ac:dyDescent="0.2">
      <c r="A84" t="s">
        <v>466</v>
      </c>
      <c r="B84">
        <v>60000</v>
      </c>
    </row>
    <row r="85" spans="1:5" x14ac:dyDescent="0.2">
      <c r="A85" t="s">
        <v>468</v>
      </c>
      <c r="B85">
        <f>B81+B82+B83+B84*4</f>
        <v>430700</v>
      </c>
    </row>
    <row r="86" spans="1:5" x14ac:dyDescent="0.2">
      <c r="A86" t="s">
        <v>469</v>
      </c>
      <c r="B86">
        <f>B81*5</f>
        <v>53500</v>
      </c>
    </row>
    <row r="89" spans="1:5" x14ac:dyDescent="0.2">
      <c r="B89" t="s">
        <v>470</v>
      </c>
      <c r="C89" t="s">
        <v>475</v>
      </c>
      <c r="D89" t="s">
        <v>157</v>
      </c>
      <c r="E89" t="s">
        <v>471</v>
      </c>
    </row>
    <row r="90" spans="1:5" x14ac:dyDescent="0.2">
      <c r="A90" s="218" t="s">
        <v>472</v>
      </c>
      <c r="B90">
        <v>100000</v>
      </c>
      <c r="C90" s="228">
        <v>0.5</v>
      </c>
      <c r="D90" s="229">
        <v>0.33333333333333331</v>
      </c>
      <c r="E90">
        <f>B90*12*1.5/3</f>
        <v>600000</v>
      </c>
    </row>
    <row r="91" spans="1:5" x14ac:dyDescent="0.2">
      <c r="A91" t="s">
        <v>473</v>
      </c>
      <c r="B91">
        <v>80000</v>
      </c>
      <c r="C91" s="228">
        <v>0.5</v>
      </c>
      <c r="D91">
        <v>1</v>
      </c>
      <c r="E91">
        <f>B91*12*1.5</f>
        <v>1440000</v>
      </c>
    </row>
    <row r="92" spans="1:5" x14ac:dyDescent="0.2">
      <c r="A92" t="s">
        <v>474</v>
      </c>
      <c r="B92">
        <v>240000</v>
      </c>
      <c r="C92" s="228">
        <v>0.5</v>
      </c>
      <c r="D92">
        <v>4</v>
      </c>
      <c r="E92">
        <f>B92*12*1.5*4</f>
        <v>17280000</v>
      </c>
    </row>
    <row r="93" spans="1:5" x14ac:dyDescent="0.2">
      <c r="A93" t="s">
        <v>499</v>
      </c>
      <c r="B93">
        <v>10700</v>
      </c>
      <c r="C93" s="228">
        <v>0.5</v>
      </c>
      <c r="D93">
        <v>1</v>
      </c>
      <c r="E93">
        <f>B93*12*1.5</f>
        <v>192600</v>
      </c>
    </row>
    <row r="94" spans="1:5" x14ac:dyDescent="0.2">
      <c r="A94" t="s">
        <v>157</v>
      </c>
      <c r="E94">
        <f>SUM(E90:E93)</f>
        <v>19512600</v>
      </c>
    </row>
    <row r="96" spans="1:5" x14ac:dyDescent="0.2">
      <c r="A96" s="218" t="s">
        <v>616</v>
      </c>
    </row>
    <row r="97" spans="1:8" ht="14.25" x14ac:dyDescent="0.2">
      <c r="A97" t="s">
        <v>476</v>
      </c>
      <c r="B97">
        <v>11</v>
      </c>
      <c r="E97" s="219"/>
      <c r="F97" s="223"/>
      <c r="G97" s="16"/>
      <c r="H97" s="16"/>
    </row>
    <row r="98" spans="1:8" x14ac:dyDescent="0.2">
      <c r="A98" t="s">
        <v>477</v>
      </c>
      <c r="B98">
        <v>2</v>
      </c>
      <c r="E98" s="16"/>
      <c r="F98" s="16"/>
      <c r="G98" s="16"/>
      <c r="H98" s="16"/>
    </row>
    <row r="99" spans="1:8" x14ac:dyDescent="0.2">
      <c r="A99" t="s">
        <v>478</v>
      </c>
      <c r="B99">
        <v>1</v>
      </c>
      <c r="E99" s="16" t="s">
        <v>532</v>
      </c>
      <c r="F99" s="272">
        <v>14.36</v>
      </c>
      <c r="G99" s="16"/>
      <c r="H99" s="16"/>
    </row>
    <row r="100" spans="1:8" ht="14.25" x14ac:dyDescent="0.2">
      <c r="A100" t="s">
        <v>479</v>
      </c>
      <c r="B100">
        <v>8</v>
      </c>
      <c r="E100" s="16" t="s">
        <v>531</v>
      </c>
      <c r="F100" s="219">
        <v>1341.8</v>
      </c>
      <c r="G100" s="16"/>
      <c r="H100" s="16"/>
    </row>
    <row r="101" spans="1:8" x14ac:dyDescent="0.2">
      <c r="A101" t="s">
        <v>480</v>
      </c>
      <c r="B101" s="226">
        <v>75</v>
      </c>
      <c r="F101" s="16"/>
      <c r="G101" s="16"/>
      <c r="H101" s="16"/>
    </row>
    <row r="102" spans="1:8" x14ac:dyDescent="0.2">
      <c r="A102" t="s">
        <v>157</v>
      </c>
      <c r="B102">
        <f>B97*B98*B100*B101</f>
        <v>13200</v>
      </c>
      <c r="E102" t="s">
        <v>484</v>
      </c>
      <c r="F102">
        <f>1341.8/1.1436</f>
        <v>1173.3123469744667</v>
      </c>
    </row>
    <row r="104" spans="1:8" x14ac:dyDescent="0.2">
      <c r="A104" s="231" t="s">
        <v>481</v>
      </c>
      <c r="B104" s="230">
        <f>(B102+E94)/InfoInicial!B19</f>
        <v>168.52635031330377</v>
      </c>
      <c r="E104" t="s">
        <v>486</v>
      </c>
      <c r="F104">
        <v>86897</v>
      </c>
    </row>
    <row r="105" spans="1:8" x14ac:dyDescent="0.2">
      <c r="A105" s="231" t="s">
        <v>482</v>
      </c>
      <c r="B105" s="230">
        <f>B104*(F102/2)</f>
        <v>98867.0238065718</v>
      </c>
    </row>
    <row r="106" spans="1:8" x14ac:dyDescent="0.2">
      <c r="A106" s="218" t="s">
        <v>483</v>
      </c>
      <c r="B106">
        <f>(((E94+B102)*0.9)/86897)*(F102/2)</f>
        <v>118639.74591814814</v>
      </c>
    </row>
    <row r="107" spans="1:8" x14ac:dyDescent="0.2">
      <c r="E107" t="s">
        <v>535</v>
      </c>
      <c r="F107">
        <v>77366.2</v>
      </c>
    </row>
    <row r="108" spans="1:8" x14ac:dyDescent="0.2">
      <c r="E108" t="s">
        <v>536</v>
      </c>
      <c r="F108">
        <v>127448.2</v>
      </c>
    </row>
    <row r="109" spans="1:8" x14ac:dyDescent="0.2">
      <c r="A109" s="218" t="s">
        <v>491</v>
      </c>
    </row>
    <row r="110" spans="1:8" x14ac:dyDescent="0.2">
      <c r="A110" t="s">
        <v>488</v>
      </c>
      <c r="B110">
        <f>'E-Costos'!C12/115862</f>
        <v>2.346540942707704</v>
      </c>
    </row>
    <row r="111" spans="1:8" x14ac:dyDescent="0.2">
      <c r="A111" t="s">
        <v>492</v>
      </c>
      <c r="B111">
        <f>'E-Costos'!B12</f>
        <v>244687.4340336</v>
      </c>
    </row>
    <row r="112" spans="1:8" x14ac:dyDescent="0.2">
      <c r="A112" t="s">
        <v>493</v>
      </c>
      <c r="B112">
        <f>F104*B110</f>
        <v>203907.36829847135</v>
      </c>
    </row>
    <row r="113" spans="1:7" x14ac:dyDescent="0.2">
      <c r="A113" t="s">
        <v>489</v>
      </c>
      <c r="B113">
        <f>F102*B110/2</f>
        <v>1376.6127303800267</v>
      </c>
    </row>
    <row r="114" spans="1:7" x14ac:dyDescent="0.2">
      <c r="A114" t="s">
        <v>494</v>
      </c>
      <c r="B114">
        <f>B111-B112-B113</f>
        <v>39403.453004748626</v>
      </c>
    </row>
    <row r="116" spans="1:7" x14ac:dyDescent="0.2">
      <c r="A116" s="218" t="s">
        <v>495</v>
      </c>
    </row>
    <row r="117" spans="1:7" x14ac:dyDescent="0.2">
      <c r="A117" t="s">
        <v>496</v>
      </c>
      <c r="B117">
        <f>('E-Costos'!B15/115862)*F102/2</f>
        <v>848.7562192479121</v>
      </c>
    </row>
    <row r="118" spans="1:7" x14ac:dyDescent="0.2">
      <c r="A118" t="s">
        <v>54</v>
      </c>
      <c r="B118">
        <f>'E-Costos'!B15/(F104+F102/2)*F102/2</f>
        <v>1124.0795981307426</v>
      </c>
    </row>
    <row r="122" spans="1:7" x14ac:dyDescent="0.2">
      <c r="A122" s="218" t="s">
        <v>497</v>
      </c>
      <c r="E122" s="218" t="s">
        <v>497</v>
      </c>
    </row>
    <row r="123" spans="1:7" x14ac:dyDescent="0.2">
      <c r="A123" s="218" t="s">
        <v>103</v>
      </c>
      <c r="E123" s="218" t="s">
        <v>103</v>
      </c>
    </row>
    <row r="124" spans="1:7" x14ac:dyDescent="0.2">
      <c r="A124" t="s">
        <v>498</v>
      </c>
      <c r="B124">
        <f>B81*0.1</f>
        <v>1070</v>
      </c>
      <c r="C124" t="s">
        <v>501</v>
      </c>
      <c r="E124" t="s">
        <v>498</v>
      </c>
      <c r="F124">
        <f>B81*0.1</f>
        <v>1070</v>
      </c>
      <c r="G124" t="s">
        <v>501</v>
      </c>
    </row>
    <row r="125" spans="1:7" x14ac:dyDescent="0.2">
      <c r="A125" t="s">
        <v>500</v>
      </c>
      <c r="B125">
        <v>4000</v>
      </c>
      <c r="E125" t="s">
        <v>503</v>
      </c>
      <c r="F125">
        <v>4000</v>
      </c>
    </row>
    <row r="126" spans="1:7" x14ac:dyDescent="0.2">
      <c r="A126" t="s">
        <v>157</v>
      </c>
      <c r="B126">
        <f>SUM(B124:B125)</f>
        <v>5070</v>
      </c>
      <c r="E126" t="s">
        <v>157</v>
      </c>
      <c r="F126">
        <f>SUM(F124:F125)</f>
        <v>5070</v>
      </c>
    </row>
    <row r="127" spans="1:7" x14ac:dyDescent="0.2">
      <c r="A127" s="218" t="s">
        <v>132</v>
      </c>
      <c r="E127" s="218" t="s">
        <v>132</v>
      </c>
    </row>
    <row r="128" spans="1:7" x14ac:dyDescent="0.2">
      <c r="A128" t="s">
        <v>157</v>
      </c>
      <c r="B128">
        <f>F73*0.05</f>
        <v>2081.779857</v>
      </c>
      <c r="E128" t="s">
        <v>157</v>
      </c>
      <c r="F128">
        <f>F73*0.05</f>
        <v>2081.779857</v>
      </c>
    </row>
    <row r="129" spans="1:6" x14ac:dyDescent="0.2">
      <c r="A129" t="s">
        <v>106</v>
      </c>
      <c r="B129" t="s">
        <v>502</v>
      </c>
      <c r="E129" t="s">
        <v>106</v>
      </c>
      <c r="F129" t="s">
        <v>502</v>
      </c>
    </row>
    <row r="132" spans="1:6" x14ac:dyDescent="0.2">
      <c r="A132" t="s">
        <v>504</v>
      </c>
    </row>
    <row r="133" spans="1:6" x14ac:dyDescent="0.2">
      <c r="A133" t="s">
        <v>505</v>
      </c>
    </row>
    <row r="134" spans="1:6" x14ac:dyDescent="0.2">
      <c r="A134" t="s">
        <v>506</v>
      </c>
      <c r="B134">
        <v>88055.5</v>
      </c>
      <c r="C134" t="s">
        <v>507</v>
      </c>
      <c r="E134" s="226"/>
    </row>
    <row r="135" spans="1:6" x14ac:dyDescent="0.2">
      <c r="A135" t="s">
        <v>508</v>
      </c>
      <c r="B135">
        <f>B134-B136-F104</f>
        <v>0.5</v>
      </c>
    </row>
    <row r="136" spans="1:6" x14ac:dyDescent="0.2">
      <c r="A136" t="s">
        <v>528</v>
      </c>
      <c r="B136">
        <v>1158</v>
      </c>
      <c r="C136" t="s">
        <v>529</v>
      </c>
    </row>
    <row r="137" spans="1:6" x14ac:dyDescent="0.2">
      <c r="A137" t="s">
        <v>530</v>
      </c>
      <c r="B137">
        <v>0</v>
      </c>
    </row>
  </sheetData>
  <mergeCells count="1">
    <mergeCell ref="D45:F45"/>
  </mergeCells>
  <hyperlinks>
    <hyperlink ref="J7" r:id="rId1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topLeftCell="C1" zoomScaleNormal="100" workbookViewId="0">
      <selection activeCell="B6" sqref="B6"/>
    </sheetView>
  </sheetViews>
  <sheetFormatPr baseColWidth="10" defaultColWidth="11.28515625" defaultRowHeight="12.75" x14ac:dyDescent="0.2"/>
  <cols>
    <col min="1" max="1" width="27.140625" style="16" customWidth="1"/>
    <col min="2" max="2" width="16" style="16" bestFit="1" customWidth="1"/>
    <col min="3" max="5" width="15" style="16" customWidth="1"/>
    <col min="6" max="6" width="16" style="16" bestFit="1" customWidth="1"/>
    <col min="7" max="7" width="17.5703125" style="16" customWidth="1"/>
    <col min="8" max="9" width="15" style="16" customWidth="1"/>
    <col min="10" max="14" width="11.28515625" style="16"/>
    <col min="15" max="17" width="11.42578125" customWidth="1"/>
    <col min="18" max="18" width="17.42578125" customWidth="1"/>
    <col min="19" max="19" width="17.85546875" bestFit="1" customWidth="1"/>
    <col min="20" max="20" width="15.5703125" bestFit="1" customWidth="1"/>
    <col min="21" max="21" width="12.5703125" customWidth="1"/>
    <col min="22" max="22" width="14.85546875" customWidth="1"/>
    <col min="23" max="23" width="13.5703125" customWidth="1"/>
    <col min="24" max="24" width="15.140625" customWidth="1"/>
    <col min="25" max="25" width="11.42578125" customWidth="1"/>
    <col min="26" max="26" width="14.42578125" customWidth="1"/>
    <col min="27" max="27" width="11.42578125" customWidth="1"/>
    <col min="28" max="28" width="14.85546875" style="16" bestFit="1" customWidth="1"/>
    <col min="29" max="16384" width="11.28515625" style="16"/>
  </cols>
  <sheetData>
    <row r="1" spans="1:25" ht="13.5" thickBot="1" x14ac:dyDescent="0.25">
      <c r="A1" s="1" t="s">
        <v>0</v>
      </c>
      <c r="B1"/>
      <c r="C1"/>
      <c r="D1"/>
      <c r="F1" s="134">
        <f>InfoInicial!E1</f>
        <v>9</v>
      </c>
      <c r="G1" s="2"/>
    </row>
    <row r="2" spans="1:25" ht="17.25" thickTop="1" thickBot="1" x14ac:dyDescent="0.3">
      <c r="A2" s="135" t="s">
        <v>257</v>
      </c>
      <c r="B2" s="82"/>
      <c r="C2" s="82"/>
      <c r="D2" s="82"/>
      <c r="E2" s="82"/>
      <c r="F2" s="82"/>
      <c r="G2" s="83"/>
      <c r="R2" s="315"/>
      <c r="S2" s="315"/>
      <c r="T2" s="315"/>
      <c r="U2" s="315"/>
      <c r="V2" s="315"/>
    </row>
    <row r="3" spans="1:25" ht="13.5" thickBot="1" x14ac:dyDescent="0.25">
      <c r="A3" s="52" t="s">
        <v>93</v>
      </c>
      <c r="B3" s="516" t="s">
        <v>258</v>
      </c>
      <c r="C3" s="516"/>
      <c r="D3" s="516" t="s">
        <v>259</v>
      </c>
      <c r="E3" s="516"/>
      <c r="F3" s="517" t="s">
        <v>260</v>
      </c>
      <c r="G3" s="517"/>
      <c r="P3" s="518" t="s">
        <v>579</v>
      </c>
      <c r="Q3" s="519"/>
      <c r="R3" s="519"/>
      <c r="S3" s="519"/>
      <c r="T3" s="519"/>
      <c r="U3" s="519"/>
      <c r="V3" s="519"/>
      <c r="W3" s="519"/>
      <c r="X3" s="519"/>
      <c r="Y3" s="520"/>
    </row>
    <row r="4" spans="1:25" ht="13.5" thickBot="1" x14ac:dyDescent="0.25">
      <c r="A4" s="52" t="s">
        <v>80</v>
      </c>
      <c r="B4" s="136" t="s">
        <v>261</v>
      </c>
      <c r="C4" s="136" t="s">
        <v>262</v>
      </c>
      <c r="D4" s="136" t="s">
        <v>261</v>
      </c>
      <c r="E4" s="136" t="s">
        <v>262</v>
      </c>
      <c r="F4" s="136" t="s">
        <v>261</v>
      </c>
      <c r="G4" s="137" t="s">
        <v>262</v>
      </c>
    </row>
    <row r="5" spans="1:25" ht="14.25" thickTop="1" thickBot="1" x14ac:dyDescent="0.25">
      <c r="A5" s="29" t="s">
        <v>263</v>
      </c>
      <c r="B5" s="339">
        <f>'E-Cal Inv.'!I8</f>
        <v>12202815.264559999</v>
      </c>
      <c r="C5" s="340">
        <f>B5/$B$8</f>
        <v>0.66642101657466712</v>
      </c>
      <c r="D5" s="312">
        <f>'E-Inv AF y Am'!B7*InfoInicial!B37/100</f>
        <v>5430300</v>
      </c>
      <c r="E5" s="341">
        <f>D5*C5/B5</f>
        <v>0.2965599304625629</v>
      </c>
      <c r="F5" s="339">
        <f>B5-D5</f>
        <v>6772515.2645599991</v>
      </c>
      <c r="G5" s="342">
        <f>F5/$B$8</f>
        <v>0.36986108611210416</v>
      </c>
      <c r="R5" s="521" t="s">
        <v>546</v>
      </c>
      <c r="S5" s="522"/>
      <c r="T5" s="522"/>
      <c r="U5" s="522"/>
      <c r="V5" s="523"/>
    </row>
    <row r="6" spans="1:25" ht="13.5" thickBot="1" x14ac:dyDescent="0.25">
      <c r="A6" s="27" t="s">
        <v>264</v>
      </c>
      <c r="B6" s="339">
        <f>'E-Cal Inv.'!I18</f>
        <v>3216128.6887044543</v>
      </c>
      <c r="C6" s="340">
        <f t="shared" ref="C6:C7" si="0">B6/$B$8</f>
        <v>0.17563944906926812</v>
      </c>
      <c r="D6" s="313">
        <f>U24</f>
        <v>458856.72280000005</v>
      </c>
      <c r="E6" s="341">
        <f>D6*C6/B6</f>
        <v>2.5059116035181763E-2</v>
      </c>
      <c r="F6" s="339">
        <f>B6-D6</f>
        <v>2757271.9659044542</v>
      </c>
      <c r="G6" s="342">
        <f>F6/$B$8</f>
        <v>0.15058033303408636</v>
      </c>
    </row>
    <row r="7" spans="1:25" ht="13.5" thickBot="1" x14ac:dyDescent="0.25">
      <c r="A7" s="27" t="s">
        <v>265</v>
      </c>
      <c r="B7" s="339">
        <f>'E-Cal Inv.'!I23</f>
        <v>2892026.0807857439</v>
      </c>
      <c r="C7" s="340">
        <f t="shared" si="0"/>
        <v>0.15793953435606478</v>
      </c>
      <c r="D7" s="314">
        <v>0</v>
      </c>
      <c r="E7" s="343"/>
      <c r="F7" s="339">
        <f>B7-D7</f>
        <v>2892026.0807857439</v>
      </c>
      <c r="G7" s="342">
        <f>F7/$B$8</f>
        <v>0.15793953435606478</v>
      </c>
      <c r="R7" s="316" t="s">
        <v>547</v>
      </c>
      <c r="S7" s="317" t="s">
        <v>548</v>
      </c>
      <c r="T7" s="317" t="s">
        <v>549</v>
      </c>
      <c r="U7" s="317" t="s">
        <v>550</v>
      </c>
      <c r="V7" s="318" t="s">
        <v>551</v>
      </c>
    </row>
    <row r="8" spans="1:25" ht="14.25" thickTop="1" thickBot="1" x14ac:dyDescent="0.25">
      <c r="A8" s="34" t="s">
        <v>197</v>
      </c>
      <c r="B8" s="339">
        <f>SUM(B5:B7)</f>
        <v>18310970.034050196</v>
      </c>
      <c r="C8" s="344">
        <f>SUM(C5:C7)</f>
        <v>1</v>
      </c>
      <c r="D8" s="345">
        <f>SUM(D5:D7)</f>
        <v>5889156.7227999996</v>
      </c>
      <c r="E8" s="346">
        <f>E5+E6</f>
        <v>0.32161904649774464</v>
      </c>
      <c r="F8" s="339">
        <f>SUM(F5:F7)</f>
        <v>12421813.311250197</v>
      </c>
      <c r="G8" s="342">
        <f>F8/$B$8</f>
        <v>0.67838095350225536</v>
      </c>
      <c r="H8" s="338"/>
      <c r="R8" s="319" t="s">
        <v>552</v>
      </c>
      <c r="S8" s="320">
        <f>10620.7*Auxiliar!B$77</f>
        <v>917713.44560000009</v>
      </c>
      <c r="T8" s="320">
        <f>0.5*S8</f>
        <v>458856.72280000005</v>
      </c>
      <c r="U8" s="320" t="s">
        <v>553</v>
      </c>
      <c r="V8" s="321">
        <f>(0.12/12)*T8</f>
        <v>4588.5672280000008</v>
      </c>
    </row>
    <row r="9" spans="1:25" ht="14.25" thickTop="1" thickBot="1" x14ac:dyDescent="0.25">
      <c r="A9" s="68"/>
      <c r="B9" s="48"/>
      <c r="C9" s="139"/>
      <c r="D9" s="48"/>
      <c r="E9" s="48"/>
      <c r="F9" s="48"/>
      <c r="G9" s="48"/>
      <c r="R9" s="319" t="s">
        <v>553</v>
      </c>
      <c r="S9" s="320">
        <f>10620.7*Auxiliar!B$77</f>
        <v>917713.44560000009</v>
      </c>
      <c r="T9" s="320">
        <f t="shared" ref="T9:T19" si="1">0.5*S9</f>
        <v>458856.72280000005</v>
      </c>
      <c r="U9" s="320" t="s">
        <v>554</v>
      </c>
      <c r="V9" s="321">
        <f t="shared" ref="V9:V19" si="2">(0.12/12)*T9</f>
        <v>4588.5672280000008</v>
      </c>
    </row>
    <row r="10" spans="1:25" ht="15.75" x14ac:dyDescent="0.25">
      <c r="A10" s="406" t="s">
        <v>266</v>
      </c>
      <c r="B10" s="407"/>
      <c r="C10" s="407"/>
      <c r="D10" s="407"/>
      <c r="E10" s="407"/>
      <c r="F10" s="407"/>
      <c r="G10" s="407"/>
      <c r="H10" s="408"/>
      <c r="I10" s="405"/>
      <c r="R10" s="319" t="s">
        <v>554</v>
      </c>
      <c r="S10" s="320">
        <f>10620.7*Auxiliar!B$77</f>
        <v>917713.44560000009</v>
      </c>
      <c r="T10" s="320">
        <f t="shared" si="1"/>
        <v>458856.72280000005</v>
      </c>
      <c r="U10" s="320" t="s">
        <v>555</v>
      </c>
      <c r="V10" s="321">
        <f t="shared" si="2"/>
        <v>4588.5672280000008</v>
      </c>
    </row>
    <row r="11" spans="1:25" x14ac:dyDescent="0.2">
      <c r="A11" s="409" t="s">
        <v>267</v>
      </c>
      <c r="B11" s="140" t="s">
        <v>268</v>
      </c>
      <c r="C11" s="140" t="s">
        <v>270</v>
      </c>
      <c r="D11" s="140" t="s">
        <v>269</v>
      </c>
      <c r="E11" s="140" t="s">
        <v>271</v>
      </c>
      <c r="F11" s="140" t="s">
        <v>270</v>
      </c>
      <c r="G11" s="140"/>
      <c r="H11" s="410" t="s">
        <v>272</v>
      </c>
      <c r="I11" s="211"/>
      <c r="R11" s="319" t="s">
        <v>555</v>
      </c>
      <c r="S11" s="320">
        <f>10620.7*Auxiliar!B$77</f>
        <v>917713.44560000009</v>
      </c>
      <c r="T11" s="320">
        <f t="shared" si="1"/>
        <v>458856.72280000005</v>
      </c>
      <c r="U11" s="320" t="s">
        <v>556</v>
      </c>
      <c r="V11" s="321">
        <f t="shared" si="2"/>
        <v>4588.5672280000008</v>
      </c>
    </row>
    <row r="12" spans="1:25" ht="13.5" thickBot="1" x14ac:dyDescent="0.25">
      <c r="A12" s="411"/>
      <c r="B12" s="412"/>
      <c r="C12" s="412" t="s">
        <v>273</v>
      </c>
      <c r="D12" s="412" t="s">
        <v>41</v>
      </c>
      <c r="E12" s="412" t="s">
        <v>274</v>
      </c>
      <c r="F12" s="412" t="s">
        <v>41</v>
      </c>
      <c r="G12" s="412" t="s">
        <v>275</v>
      </c>
      <c r="H12" s="413" t="s">
        <v>276</v>
      </c>
      <c r="I12" s="211"/>
      <c r="R12" s="319" t="s">
        <v>556</v>
      </c>
      <c r="S12" s="320">
        <f>10620.7*Auxiliar!B$77</f>
        <v>917713.44560000009</v>
      </c>
      <c r="T12" s="320">
        <f t="shared" si="1"/>
        <v>458856.72280000005</v>
      </c>
      <c r="U12" s="320" t="s">
        <v>557</v>
      </c>
      <c r="V12" s="321">
        <f t="shared" si="2"/>
        <v>4588.5672280000008</v>
      </c>
    </row>
    <row r="13" spans="1:25" x14ac:dyDescent="0.2">
      <c r="A13" s="328" t="s">
        <v>570</v>
      </c>
      <c r="B13" s="403">
        <f>R33</f>
        <v>5430300</v>
      </c>
      <c r="C13" s="390"/>
      <c r="D13" s="390"/>
      <c r="E13" s="391"/>
      <c r="F13" s="390"/>
      <c r="G13" s="392"/>
      <c r="H13" s="393">
        <f>V33</f>
        <v>54303</v>
      </c>
      <c r="R13" s="319" t="s">
        <v>557</v>
      </c>
      <c r="S13" s="320">
        <f>10620.7*Auxiliar!B$77</f>
        <v>917713.44560000009</v>
      </c>
      <c r="T13" s="320">
        <f t="shared" si="1"/>
        <v>458856.72280000005</v>
      </c>
      <c r="U13" s="320" t="s">
        <v>558</v>
      </c>
      <c r="V13" s="321">
        <f t="shared" si="2"/>
        <v>4588.5672280000008</v>
      </c>
    </row>
    <row r="14" spans="1:25" x14ac:dyDescent="0.2">
      <c r="A14" s="330" t="s">
        <v>571</v>
      </c>
      <c r="B14" s="404">
        <f>R34</f>
        <v>5430300</v>
      </c>
      <c r="C14" s="383">
        <f>T34</f>
        <v>271515</v>
      </c>
      <c r="D14" s="383"/>
      <c r="E14" s="384"/>
      <c r="F14" s="383">
        <f>C14</f>
        <v>271515</v>
      </c>
      <c r="G14" s="385"/>
      <c r="H14" s="394">
        <f>V34</f>
        <v>54303</v>
      </c>
      <c r="R14" s="319" t="s">
        <v>558</v>
      </c>
      <c r="S14" s="320">
        <f>10620.7*Auxiliar!B$77</f>
        <v>917713.44560000009</v>
      </c>
      <c r="T14" s="320">
        <f t="shared" si="1"/>
        <v>458856.72280000005</v>
      </c>
      <c r="U14" s="320" t="s">
        <v>559</v>
      </c>
      <c r="V14" s="321">
        <f t="shared" si="2"/>
        <v>4588.5672280000008</v>
      </c>
    </row>
    <row r="15" spans="1:25" x14ac:dyDescent="0.2">
      <c r="A15" s="512" t="s">
        <v>277</v>
      </c>
      <c r="B15" s="513"/>
      <c r="C15" s="399">
        <f>C14</f>
        <v>271515</v>
      </c>
      <c r="D15" s="398"/>
      <c r="E15" s="400"/>
      <c r="F15" s="399">
        <f>F14</f>
        <v>271515</v>
      </c>
      <c r="G15" s="401"/>
      <c r="H15" s="402">
        <f>SUM(H13:H14)</f>
        <v>108606</v>
      </c>
      <c r="J15" s="211"/>
      <c r="R15" s="319" t="s">
        <v>559</v>
      </c>
      <c r="S15" s="320">
        <f>10620.7*Auxiliar!B$77</f>
        <v>917713.44560000009</v>
      </c>
      <c r="T15" s="320">
        <f t="shared" si="1"/>
        <v>458856.72280000005</v>
      </c>
      <c r="U15" s="320" t="s">
        <v>560</v>
      </c>
      <c r="V15" s="321">
        <f t="shared" si="2"/>
        <v>4588.5672280000008</v>
      </c>
    </row>
    <row r="16" spans="1:25" x14ac:dyDescent="0.2">
      <c r="A16" s="336" t="s">
        <v>572</v>
      </c>
      <c r="B16" s="404">
        <f>R36</f>
        <v>5430300</v>
      </c>
      <c r="C16" s="386">
        <v>0</v>
      </c>
      <c r="D16" s="386">
        <v>0</v>
      </c>
      <c r="E16" s="387"/>
      <c r="F16" s="386">
        <v>0</v>
      </c>
      <c r="G16" s="388"/>
      <c r="H16" s="395"/>
      <c r="J16" s="211"/>
      <c r="R16" s="319" t="s">
        <v>560</v>
      </c>
      <c r="S16" s="320">
        <f>10620.7*Auxiliar!B$77</f>
        <v>917713.44560000009</v>
      </c>
      <c r="T16" s="320">
        <f t="shared" si="1"/>
        <v>458856.72280000005</v>
      </c>
      <c r="U16" s="320" t="s">
        <v>561</v>
      </c>
      <c r="V16" s="321">
        <f t="shared" si="2"/>
        <v>4588.5672280000008</v>
      </c>
    </row>
    <row r="17" spans="1:26" x14ac:dyDescent="0.2">
      <c r="A17" s="336" t="s">
        <v>599</v>
      </c>
      <c r="B17" s="404">
        <f>R54</f>
        <v>458856.72280000005</v>
      </c>
      <c r="C17" s="386">
        <f>S54</f>
        <v>27531.403368000003</v>
      </c>
      <c r="D17" s="251">
        <v>0</v>
      </c>
      <c r="E17" s="387"/>
      <c r="F17" s="386">
        <v>0</v>
      </c>
      <c r="G17" s="389"/>
      <c r="H17" s="395"/>
      <c r="J17" s="211"/>
      <c r="R17" s="319" t="s">
        <v>561</v>
      </c>
      <c r="S17" s="320">
        <f>10620.7*Auxiliar!B$77</f>
        <v>917713.44560000009</v>
      </c>
      <c r="T17" s="320">
        <f t="shared" si="1"/>
        <v>458856.72280000005</v>
      </c>
      <c r="U17" s="320" t="s">
        <v>562</v>
      </c>
      <c r="V17" s="321">
        <f t="shared" si="2"/>
        <v>4588.5672280000008</v>
      </c>
    </row>
    <row r="18" spans="1:26" x14ac:dyDescent="0.2">
      <c r="A18" s="336" t="s">
        <v>573</v>
      </c>
      <c r="B18" s="404">
        <f>R37+R55</f>
        <v>4803096.7227999996</v>
      </c>
      <c r="C18" s="386">
        <f>S55+T37</f>
        <v>679167.40336800006</v>
      </c>
      <c r="D18" s="386">
        <f>S37</f>
        <v>1086060</v>
      </c>
      <c r="E18" s="386">
        <f>AVERAGE(B16:B18)</f>
        <v>3564084.4818666666</v>
      </c>
      <c r="F18" s="386">
        <f>SUM(C17:C18)</f>
        <v>706698.80673600012</v>
      </c>
      <c r="G18" s="389">
        <f>(F18/E18)</f>
        <v>0.19828340498984781</v>
      </c>
      <c r="H18" s="395"/>
      <c r="J18" s="211"/>
      <c r="R18" s="319" t="s">
        <v>562</v>
      </c>
      <c r="S18" s="320">
        <f>10620.7*Auxiliar!B$77</f>
        <v>917713.44560000009</v>
      </c>
      <c r="T18" s="320">
        <f t="shared" si="1"/>
        <v>458856.72280000005</v>
      </c>
      <c r="U18" s="320" t="s">
        <v>563</v>
      </c>
      <c r="V18" s="321">
        <f t="shared" si="2"/>
        <v>4588.5672280000008</v>
      </c>
    </row>
    <row r="19" spans="1:26" x14ac:dyDescent="0.2">
      <c r="A19" s="336" t="s">
        <v>600</v>
      </c>
      <c r="B19" s="404">
        <f>R56</f>
        <v>458856.72280000005</v>
      </c>
      <c r="C19" s="386">
        <f t="shared" ref="C19:C25" si="3">S56</f>
        <v>27531.403368000003</v>
      </c>
      <c r="D19" s="386">
        <v>0</v>
      </c>
      <c r="E19" s="386"/>
      <c r="F19" s="386">
        <v>0</v>
      </c>
      <c r="G19" s="389"/>
      <c r="H19" s="395"/>
      <c r="J19" s="211"/>
      <c r="R19" s="319" t="s">
        <v>563</v>
      </c>
      <c r="S19" s="320">
        <f>10620.7*Auxiliar!B$77</f>
        <v>917713.44560000009</v>
      </c>
      <c r="T19" s="320">
        <f t="shared" si="1"/>
        <v>458856.72280000005</v>
      </c>
      <c r="U19" s="320" t="s">
        <v>552</v>
      </c>
      <c r="V19" s="321">
        <f t="shared" si="2"/>
        <v>4588.5672280000008</v>
      </c>
    </row>
    <row r="20" spans="1:26" x14ac:dyDescent="0.2">
      <c r="A20" s="336" t="s">
        <v>574</v>
      </c>
      <c r="B20" s="404">
        <f>R57+R38</f>
        <v>3717036.7228000001</v>
      </c>
      <c r="C20" s="386">
        <f>S57+T38</f>
        <v>548840.20336799999</v>
      </c>
      <c r="D20" s="386">
        <f>S38</f>
        <v>1086060</v>
      </c>
      <c r="E20" s="386">
        <f>AVERAGE(B17:B20)</f>
        <v>2359461.7227999996</v>
      </c>
      <c r="F20" s="386">
        <f>SUM(C19:C20)</f>
        <v>576371.60673600005</v>
      </c>
      <c r="G20" s="389">
        <f t="shared" ref="G20:G26" si="4">(F20/E20)</f>
        <v>0.24428097356545095</v>
      </c>
      <c r="H20" s="395"/>
      <c r="J20" s="211"/>
      <c r="R20" s="319"/>
      <c r="S20" s="320"/>
      <c r="T20" s="320"/>
      <c r="U20" s="320"/>
      <c r="V20" s="321"/>
    </row>
    <row r="21" spans="1:26" ht="13.5" thickBot="1" x14ac:dyDescent="0.25">
      <c r="A21" s="336" t="s">
        <v>601</v>
      </c>
      <c r="B21" s="404">
        <f>R58</f>
        <v>458856.72280000005</v>
      </c>
      <c r="C21" s="386">
        <f t="shared" si="3"/>
        <v>27531.403368000003</v>
      </c>
      <c r="D21" s="386">
        <v>0</v>
      </c>
      <c r="E21" s="386"/>
      <c r="F21" s="386">
        <v>0</v>
      </c>
      <c r="G21" s="389"/>
      <c r="H21" s="395"/>
      <c r="J21" s="211"/>
      <c r="R21" s="322" t="s">
        <v>157</v>
      </c>
      <c r="S21" s="323">
        <f>SUM(S8:S19)</f>
        <v>11012561.347199999</v>
      </c>
      <c r="T21" s="323">
        <f>SUM(T8:T19)</f>
        <v>5506280.6735999994</v>
      </c>
      <c r="U21" s="323" t="s">
        <v>545</v>
      </c>
      <c r="V21" s="324">
        <f>SUM(V8:V19)</f>
        <v>55062.806736000006</v>
      </c>
    </row>
    <row r="22" spans="1:26" x14ac:dyDescent="0.2">
      <c r="A22" s="336" t="s">
        <v>575</v>
      </c>
      <c r="B22" s="404">
        <f>R39+R59</f>
        <v>2630976.7228000001</v>
      </c>
      <c r="C22" s="386">
        <f>S59+T39</f>
        <v>418513.00336799998</v>
      </c>
      <c r="D22" s="386">
        <f>S39</f>
        <v>1086060</v>
      </c>
      <c r="E22" s="383">
        <f>AVERAGE(B19:B22)</f>
        <v>1816431.7228000001</v>
      </c>
      <c r="F22" s="383">
        <f>SUM(C21:C22)</f>
        <v>446044.40673599998</v>
      </c>
      <c r="G22" s="389">
        <f t="shared" si="4"/>
        <v>0.2455607888461834</v>
      </c>
      <c r="H22" s="394"/>
      <c r="J22" s="211"/>
    </row>
    <row r="23" spans="1:26" ht="13.5" thickBot="1" x14ac:dyDescent="0.25">
      <c r="A23" s="336" t="s">
        <v>602</v>
      </c>
      <c r="B23" s="404">
        <f>R60</f>
        <v>458856.72280000005</v>
      </c>
      <c r="C23" s="386">
        <f t="shared" si="3"/>
        <v>27531.403368000003</v>
      </c>
      <c r="D23" s="386">
        <v>0</v>
      </c>
      <c r="E23" s="383"/>
      <c r="F23" s="383">
        <v>0</v>
      </c>
      <c r="G23" s="389"/>
      <c r="H23" s="394"/>
      <c r="J23" s="211"/>
    </row>
    <row r="24" spans="1:26" ht="13.5" thickBot="1" x14ac:dyDescent="0.25">
      <c r="A24" s="336" t="s">
        <v>576</v>
      </c>
      <c r="B24" s="297">
        <f>R61+R40</f>
        <v>1544916.7228000001</v>
      </c>
      <c r="C24" s="386">
        <f>S61+T40</f>
        <v>288185.80336800002</v>
      </c>
      <c r="D24" s="386">
        <f>S40</f>
        <v>1086060</v>
      </c>
      <c r="E24" s="293">
        <f>AVERAGE(B21:B24)</f>
        <v>1273401.7228000001</v>
      </c>
      <c r="F24" s="293">
        <f>SUM(C23:C24)</f>
        <v>315717.20673600002</v>
      </c>
      <c r="G24" s="389">
        <f t="shared" si="4"/>
        <v>0.24793213412794041</v>
      </c>
      <c r="H24" s="396"/>
      <c r="J24" s="211"/>
      <c r="R24" s="325" t="s">
        <v>564</v>
      </c>
      <c r="S24" s="326"/>
      <c r="T24" s="326"/>
      <c r="U24" s="326">
        <f>V21/0.12</f>
        <v>458856.72280000005</v>
      </c>
      <c r="V24" s="327"/>
    </row>
    <row r="25" spans="1:26" x14ac:dyDescent="0.2">
      <c r="A25" s="336" t="s">
        <v>603</v>
      </c>
      <c r="B25" s="297">
        <f>R62</f>
        <v>458856.72280000005</v>
      </c>
      <c r="C25" s="386">
        <f t="shared" si="3"/>
        <v>27531.403368000003</v>
      </c>
      <c r="D25" s="386">
        <v>0</v>
      </c>
      <c r="E25" s="292"/>
      <c r="F25" s="292">
        <v>0</v>
      </c>
      <c r="G25" s="389"/>
      <c r="H25" s="396"/>
    </row>
    <row r="26" spans="1:26" ht="13.5" thickBot="1" x14ac:dyDescent="0.25">
      <c r="A26" s="336" t="s">
        <v>577</v>
      </c>
      <c r="B26" s="297">
        <f>R41+R63</f>
        <v>458856.72280000005</v>
      </c>
      <c r="C26" s="386">
        <f>S63+T41</f>
        <v>157858.60336800001</v>
      </c>
      <c r="D26" s="386">
        <f>S41</f>
        <v>1086060</v>
      </c>
      <c r="E26" s="293">
        <f>AVERAGE(B23:B26)</f>
        <v>730371.72280000011</v>
      </c>
      <c r="F26" s="293">
        <f>SUM(C25:C26)</f>
        <v>185390.00673600001</v>
      </c>
      <c r="G26" s="389">
        <f t="shared" si="4"/>
        <v>0.25382966090921061</v>
      </c>
      <c r="H26" s="396"/>
      <c r="J26" s="211"/>
    </row>
    <row r="27" spans="1:26" ht="13.5" thickBot="1" x14ac:dyDescent="0.25">
      <c r="A27" s="514" t="s">
        <v>608</v>
      </c>
      <c r="B27" s="515"/>
      <c r="C27" s="414">
        <f>SUM(C15:C26)</f>
        <v>2501737.0336799999</v>
      </c>
      <c r="D27" s="414">
        <f>SUM(D16:D26)</f>
        <v>5430300</v>
      </c>
      <c r="E27" s="414"/>
      <c r="F27" s="415">
        <f>SUM(F15:F26)</f>
        <v>2501737.0336800003</v>
      </c>
      <c r="G27" s="414"/>
      <c r="H27" s="416"/>
      <c r="J27" s="211"/>
      <c r="R27" s="524" t="s">
        <v>565</v>
      </c>
      <c r="S27" s="525"/>
      <c r="T27" s="525"/>
      <c r="U27" s="525"/>
      <c r="V27" s="526"/>
    </row>
    <row r="28" spans="1:26" x14ac:dyDescent="0.2">
      <c r="A28" s="364"/>
      <c r="B28" s="251"/>
      <c r="C28" s="371"/>
      <c r="D28" s="371"/>
      <c r="E28" s="198"/>
      <c r="F28" s="198"/>
      <c r="G28" s="372"/>
      <c r="H28" s="211"/>
      <c r="I28" s="211"/>
      <c r="J28" s="211"/>
    </row>
    <row r="29" spans="1:26" x14ac:dyDescent="0.2">
      <c r="A29" s="364"/>
      <c r="B29" s="251"/>
      <c r="C29" s="371"/>
      <c r="D29" s="371"/>
      <c r="E29" s="211"/>
      <c r="F29" s="211"/>
      <c r="G29" s="372"/>
      <c r="H29" s="211"/>
      <c r="I29" s="211"/>
      <c r="J29" s="211"/>
    </row>
    <row r="30" spans="1:26" x14ac:dyDescent="0.2">
      <c r="A30" s="364"/>
      <c r="B30" s="422"/>
      <c r="C30" s="371"/>
      <c r="D30" s="371"/>
      <c r="E30" s="373"/>
      <c r="F30" s="373"/>
      <c r="G30" s="372"/>
      <c r="H30" s="373"/>
      <c r="I30" s="211"/>
      <c r="J30" s="211"/>
      <c r="P30" t="s">
        <v>589</v>
      </c>
    </row>
    <row r="31" spans="1:26" ht="13.5" thickBot="1" x14ac:dyDescent="0.25">
      <c r="A31" s="364"/>
      <c r="B31" s="422"/>
      <c r="C31" s="371"/>
      <c r="D31" s="371"/>
      <c r="E31" s="373"/>
      <c r="F31" s="373"/>
      <c r="G31" s="372"/>
      <c r="H31" s="373"/>
      <c r="I31" s="211"/>
      <c r="J31" s="211"/>
      <c r="Z31" t="s">
        <v>580</v>
      </c>
    </row>
    <row r="32" spans="1:26" x14ac:dyDescent="0.2">
      <c r="A32" s="364"/>
      <c r="B32" s="422"/>
      <c r="C32" s="371"/>
      <c r="D32" s="371"/>
      <c r="E32" s="373"/>
      <c r="F32" s="373"/>
      <c r="G32" s="372"/>
      <c r="H32" s="373"/>
      <c r="I32" s="211"/>
      <c r="J32" s="211"/>
      <c r="Q32" s="328" t="s">
        <v>566</v>
      </c>
      <c r="R32" s="329" t="s">
        <v>268</v>
      </c>
      <c r="S32" s="329" t="s">
        <v>567</v>
      </c>
      <c r="T32" s="348" t="s">
        <v>568</v>
      </c>
      <c r="U32" s="348"/>
      <c r="V32" s="502" t="s">
        <v>569</v>
      </c>
      <c r="W32" s="503"/>
      <c r="X32" s="349" t="s">
        <v>591</v>
      </c>
    </row>
    <row r="33" spans="1:29" x14ac:dyDescent="0.2">
      <c r="A33" s="364"/>
      <c r="B33" s="422"/>
      <c r="C33" s="371"/>
      <c r="D33" s="371"/>
      <c r="E33" s="373"/>
      <c r="F33" s="373"/>
      <c r="G33" s="372"/>
      <c r="H33" s="373"/>
      <c r="I33" s="211"/>
      <c r="J33" s="211"/>
      <c r="Q33" s="330" t="s">
        <v>570</v>
      </c>
      <c r="R33" s="347">
        <f>AB36</f>
        <v>5430300</v>
      </c>
      <c r="S33" s="311" t="s">
        <v>588</v>
      </c>
      <c r="T33" s="431"/>
      <c r="U33" s="431"/>
      <c r="V33" s="504">
        <f>AB$36*AB$39/100</f>
        <v>54303</v>
      </c>
      <c r="W33" s="505"/>
      <c r="X33" s="350"/>
      <c r="Z33" t="s">
        <v>581</v>
      </c>
    </row>
    <row r="34" spans="1:29" ht="13.5" thickBot="1" x14ac:dyDescent="0.25">
      <c r="A34" s="364"/>
      <c r="B34" s="422"/>
      <c r="C34" s="371"/>
      <c r="D34" s="371"/>
      <c r="E34" s="373"/>
      <c r="F34" s="373"/>
      <c r="G34" s="372"/>
      <c r="H34" s="373"/>
      <c r="I34" s="211"/>
      <c r="J34" s="211"/>
      <c r="Q34" s="331" t="s">
        <v>571</v>
      </c>
      <c r="R34" s="352">
        <f>AB36</f>
        <v>5430300</v>
      </c>
      <c r="S34" s="332" t="s">
        <v>588</v>
      </c>
      <c r="T34" s="508">
        <f>R34*(0.12/12)*5</f>
        <v>271515</v>
      </c>
      <c r="U34" s="509"/>
      <c r="V34" s="508">
        <f>AB$36*AB$39/100</f>
        <v>54303</v>
      </c>
      <c r="W34" s="509"/>
      <c r="X34" s="351"/>
      <c r="Z34" t="s">
        <v>582</v>
      </c>
    </row>
    <row r="35" spans="1:29" ht="13.5" thickBot="1" x14ac:dyDescent="0.25">
      <c r="A35" s="364"/>
      <c r="B35" s="422"/>
      <c r="C35" s="371"/>
      <c r="D35" s="371"/>
      <c r="E35" s="377"/>
      <c r="F35" s="373"/>
      <c r="G35" s="372"/>
      <c r="H35" s="373"/>
      <c r="I35" s="211"/>
      <c r="J35" s="211"/>
      <c r="Q35" s="527" t="s">
        <v>592</v>
      </c>
      <c r="R35" s="528"/>
      <c r="S35" s="529"/>
      <c r="T35" s="530">
        <f>T34</f>
        <v>271515</v>
      </c>
      <c r="U35" s="507"/>
      <c r="V35" s="506">
        <f>SUM(V33:W34)</f>
        <v>108606</v>
      </c>
      <c r="W35" s="507"/>
      <c r="X35" s="354">
        <f>SUM(T35:W35)</f>
        <v>380121</v>
      </c>
      <c r="Z35" t="s">
        <v>583</v>
      </c>
      <c r="AB35" s="16">
        <f>'E-Inv AF y Am'!B7</f>
        <v>9050500</v>
      </c>
    </row>
    <row r="36" spans="1:29" x14ac:dyDescent="0.2">
      <c r="A36" s="364"/>
      <c r="B36" s="422"/>
      <c r="C36" s="371"/>
      <c r="D36" s="371"/>
      <c r="E36" s="373"/>
      <c r="F36" s="373"/>
      <c r="G36" s="372"/>
      <c r="H36" s="373"/>
      <c r="I36" s="211"/>
      <c r="J36" s="211"/>
      <c r="Q36" s="333" t="s">
        <v>572</v>
      </c>
      <c r="R36" s="355">
        <f>R34</f>
        <v>5430300</v>
      </c>
      <c r="S36" s="334"/>
      <c r="T36" s="432"/>
      <c r="U36" s="432"/>
      <c r="V36" s="502"/>
      <c r="W36" s="503"/>
      <c r="X36" s="353"/>
      <c r="Z36" t="s">
        <v>584</v>
      </c>
      <c r="AB36" s="269">
        <f>D5</f>
        <v>5430300</v>
      </c>
    </row>
    <row r="37" spans="1:29" x14ac:dyDescent="0.2">
      <c r="A37" s="211"/>
      <c r="B37" s="211"/>
      <c r="C37" s="211"/>
      <c r="D37" s="211"/>
      <c r="E37" s="211"/>
      <c r="F37" s="211"/>
      <c r="G37" s="211"/>
      <c r="H37" s="211"/>
      <c r="I37" s="373"/>
      <c r="J37" s="211"/>
      <c r="Q37" s="335" t="s">
        <v>573</v>
      </c>
      <c r="R37" s="347">
        <f>R36-S37</f>
        <v>4344240</v>
      </c>
      <c r="S37" s="347">
        <f>R$33/5</f>
        <v>1086060</v>
      </c>
      <c r="T37" s="431">
        <f>R36*AA$38/100</f>
        <v>651636</v>
      </c>
      <c r="U37" s="431"/>
      <c r="V37" s="504">
        <v>0</v>
      </c>
      <c r="W37" s="505"/>
      <c r="X37" s="356">
        <f t="shared" ref="X37:X42" si="5">S37+T37</f>
        <v>1737696</v>
      </c>
      <c r="Z37" t="s">
        <v>609</v>
      </c>
    </row>
    <row r="38" spans="1:29" x14ac:dyDescent="0.2">
      <c r="A38" s="376"/>
      <c r="B38" s="373"/>
      <c r="C38" s="373"/>
      <c r="D38" s="373"/>
      <c r="E38" s="373"/>
      <c r="F38" s="373"/>
      <c r="G38" s="373"/>
      <c r="H38" s="374"/>
      <c r="I38" s="373"/>
      <c r="J38" s="211"/>
      <c r="Q38" s="335" t="s">
        <v>574</v>
      </c>
      <c r="R38" s="347">
        <f t="shared" ref="R38:R41" si="6">R37-S38</f>
        <v>3258180</v>
      </c>
      <c r="S38" s="347">
        <f t="shared" ref="S38:S41" si="7">R$33/5</f>
        <v>1086060</v>
      </c>
      <c r="T38" s="431">
        <f t="shared" ref="T38:T41" si="8">R37*AA$38/100</f>
        <v>521308.8</v>
      </c>
      <c r="U38" s="431"/>
      <c r="V38" s="504">
        <v>0</v>
      </c>
      <c r="W38" s="505"/>
      <c r="X38" s="356">
        <f t="shared" si="5"/>
        <v>1607368.8</v>
      </c>
      <c r="Z38" t="s">
        <v>585</v>
      </c>
      <c r="AA38">
        <v>12</v>
      </c>
      <c r="AB38" s="16" t="s">
        <v>590</v>
      </c>
    </row>
    <row r="39" spans="1:29" x14ac:dyDescent="0.2">
      <c r="A39" s="376"/>
      <c r="B39" s="373"/>
      <c r="C39" s="373"/>
      <c r="D39" s="373"/>
      <c r="E39" s="373"/>
      <c r="F39" s="377"/>
      <c r="G39" s="373"/>
      <c r="H39" s="378"/>
      <c r="I39" s="373"/>
      <c r="J39" s="211"/>
      <c r="Q39" s="336" t="s">
        <v>575</v>
      </c>
      <c r="R39" s="347">
        <f t="shared" si="6"/>
        <v>2172120</v>
      </c>
      <c r="S39" s="347">
        <f t="shared" si="7"/>
        <v>1086060</v>
      </c>
      <c r="T39" s="431">
        <f t="shared" si="8"/>
        <v>390981.6</v>
      </c>
      <c r="U39" s="431"/>
      <c r="V39" s="504">
        <v>0</v>
      </c>
      <c r="W39" s="505"/>
      <c r="X39" s="356">
        <f t="shared" si="5"/>
        <v>1477041.6</v>
      </c>
      <c r="Z39" t="s">
        <v>586</v>
      </c>
      <c r="AB39" s="16">
        <v>1</v>
      </c>
      <c r="AC39" s="16" t="s">
        <v>587</v>
      </c>
    </row>
    <row r="40" spans="1:29" x14ac:dyDescent="0.2">
      <c r="A40" s="376"/>
      <c r="B40" s="373"/>
      <c r="C40" s="373"/>
      <c r="D40" s="373"/>
      <c r="E40" s="373"/>
      <c r="F40" s="373"/>
      <c r="G40" s="373"/>
      <c r="H40" s="374"/>
      <c r="I40" s="373"/>
      <c r="J40" s="211"/>
      <c r="Q40" s="330" t="s">
        <v>576</v>
      </c>
      <c r="R40" s="347">
        <f t="shared" si="6"/>
        <v>1086060</v>
      </c>
      <c r="S40" s="347">
        <f t="shared" si="7"/>
        <v>1086060</v>
      </c>
      <c r="T40" s="431">
        <f t="shared" si="8"/>
        <v>260654.4</v>
      </c>
      <c r="U40" s="431"/>
      <c r="V40" s="504">
        <v>0</v>
      </c>
      <c r="W40" s="505"/>
      <c r="X40" s="356">
        <f t="shared" si="5"/>
        <v>1346714.4</v>
      </c>
    </row>
    <row r="41" spans="1:29" ht="13.5" thickBot="1" x14ac:dyDescent="0.25">
      <c r="A41" s="376"/>
      <c r="B41" s="373"/>
      <c r="C41" s="373"/>
      <c r="D41" s="373"/>
      <c r="E41" s="373"/>
      <c r="F41" s="377"/>
      <c r="G41" s="373"/>
      <c r="H41" s="378"/>
      <c r="I41" s="373"/>
      <c r="J41" s="211"/>
      <c r="Q41" s="330" t="s">
        <v>577</v>
      </c>
      <c r="R41" s="347">
        <f t="shared" si="6"/>
        <v>0</v>
      </c>
      <c r="S41" s="347">
        <f t="shared" si="7"/>
        <v>1086060</v>
      </c>
      <c r="T41" s="431">
        <f t="shared" si="8"/>
        <v>130327.2</v>
      </c>
      <c r="U41" s="431"/>
      <c r="V41" s="508">
        <v>0</v>
      </c>
      <c r="W41" s="509"/>
      <c r="X41" s="356">
        <f t="shared" si="5"/>
        <v>1216387.2</v>
      </c>
    </row>
    <row r="42" spans="1:29" ht="13.5" thickBot="1" x14ac:dyDescent="0.25">
      <c r="A42" s="376"/>
      <c r="B42" s="373"/>
      <c r="C42" s="373"/>
      <c r="D42" s="373"/>
      <c r="E42" s="373"/>
      <c r="F42" s="373"/>
      <c r="G42" s="373"/>
      <c r="H42" s="374"/>
      <c r="I42" s="373"/>
      <c r="J42" s="211"/>
      <c r="Q42" s="510" t="s">
        <v>593</v>
      </c>
      <c r="R42" s="511"/>
      <c r="S42" s="358">
        <f ca="1">SUM(S37:S44)</f>
        <v>5430300</v>
      </c>
      <c r="T42" s="433">
        <f>SUM(T35:U41)</f>
        <v>2226423</v>
      </c>
      <c r="U42" s="359"/>
      <c r="V42" s="533">
        <f>V35</f>
        <v>108606</v>
      </c>
      <c r="W42" s="533"/>
      <c r="X42" s="360">
        <f t="shared" ca="1" si="5"/>
        <v>1216387.2</v>
      </c>
    </row>
    <row r="43" spans="1:29" x14ac:dyDescent="0.2">
      <c r="A43" s="376"/>
      <c r="B43" s="373"/>
      <c r="C43" s="373"/>
      <c r="D43" s="373"/>
      <c r="E43" s="373"/>
      <c r="F43" s="377"/>
      <c r="G43" s="373"/>
      <c r="H43" s="378"/>
      <c r="I43" s="373"/>
      <c r="J43" s="211"/>
      <c r="P43" s="95"/>
      <c r="Q43" s="363"/>
      <c r="R43" s="421"/>
      <c r="S43" s="421"/>
      <c r="T43" s="532"/>
      <c r="U43" s="532"/>
      <c r="V43" s="532"/>
      <c r="W43" s="532"/>
      <c r="X43" s="418"/>
      <c r="Y43" s="95"/>
    </row>
    <row r="44" spans="1:29" x14ac:dyDescent="0.2">
      <c r="A44" s="376"/>
      <c r="B44" s="373"/>
      <c r="C44" s="373"/>
      <c r="D44" s="373"/>
      <c r="E44" s="373"/>
      <c r="F44" s="373"/>
      <c r="G44" s="373"/>
      <c r="H44" s="374"/>
      <c r="I44" s="373"/>
      <c r="J44" s="211"/>
      <c r="P44" s="95"/>
      <c r="Q44" s="363"/>
      <c r="R44" s="421"/>
      <c r="S44" s="421"/>
      <c r="T44" s="532"/>
      <c r="U44" s="532"/>
      <c r="V44" s="532"/>
      <c r="W44" s="532"/>
      <c r="X44" s="418"/>
      <c r="Y44" s="95"/>
    </row>
    <row r="45" spans="1:29" x14ac:dyDescent="0.2">
      <c r="A45" s="376"/>
      <c r="B45" s="373"/>
      <c r="C45" s="373"/>
      <c r="D45" s="373"/>
      <c r="E45" s="373"/>
      <c r="F45" s="377"/>
      <c r="G45" s="373"/>
      <c r="H45" s="378"/>
      <c r="I45" s="373"/>
      <c r="J45" s="211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29" x14ac:dyDescent="0.2">
      <c r="A46" s="376"/>
      <c r="B46" s="373"/>
      <c r="C46" s="373"/>
      <c r="D46" s="373"/>
      <c r="E46" s="373"/>
      <c r="F46" s="373"/>
      <c r="G46" s="373"/>
      <c r="H46" s="374"/>
      <c r="I46" s="373"/>
      <c r="J46" s="211"/>
      <c r="P46" s="95"/>
      <c r="Q46" s="95"/>
      <c r="R46" s="95"/>
      <c r="S46" s="95"/>
      <c r="T46" s="531"/>
      <c r="U46" s="531"/>
      <c r="V46" s="531"/>
      <c r="W46" s="531"/>
      <c r="X46" s="531"/>
      <c r="Y46" s="95"/>
    </row>
    <row r="47" spans="1:29" x14ac:dyDescent="0.2">
      <c r="A47" s="376"/>
      <c r="B47" s="373"/>
      <c r="C47" s="373"/>
      <c r="D47" s="373"/>
      <c r="E47" s="373"/>
      <c r="F47" s="377"/>
      <c r="G47" s="373"/>
      <c r="H47" s="378"/>
      <c r="I47" s="373"/>
      <c r="J47" s="211"/>
      <c r="P47" s="95"/>
      <c r="Q47" s="357"/>
      <c r="R47" s="357"/>
      <c r="S47" s="357"/>
      <c r="T47" s="357"/>
      <c r="U47" s="357"/>
      <c r="V47" s="357"/>
      <c r="W47" s="357"/>
      <c r="X47" s="357"/>
      <c r="Y47" s="357"/>
      <c r="Z47" s="357"/>
    </row>
    <row r="48" spans="1:29" x14ac:dyDescent="0.2">
      <c r="A48" s="376"/>
      <c r="B48" s="373"/>
      <c r="C48" s="373"/>
      <c r="D48" s="373"/>
      <c r="E48" s="373"/>
      <c r="F48" s="373"/>
      <c r="G48" s="373"/>
      <c r="H48" s="374"/>
      <c r="I48" s="373"/>
      <c r="J48" s="211"/>
      <c r="P48" s="95"/>
      <c r="Q48" s="357"/>
      <c r="R48" s="357"/>
      <c r="S48" s="357"/>
      <c r="T48" s="357"/>
      <c r="U48" s="357"/>
      <c r="V48" s="357"/>
      <c r="W48" s="357"/>
      <c r="X48" s="357"/>
      <c r="Y48" s="357"/>
      <c r="Z48" s="357"/>
    </row>
    <row r="49" spans="1:26" x14ac:dyDescent="0.2">
      <c r="A49" s="376"/>
      <c r="B49" s="373"/>
      <c r="C49" s="373"/>
      <c r="D49" s="373"/>
      <c r="E49" s="373"/>
      <c r="F49" s="377"/>
      <c r="G49" s="373"/>
      <c r="H49" s="378"/>
      <c r="I49" s="373"/>
      <c r="J49" s="211"/>
      <c r="T49" s="357"/>
      <c r="U49" s="357"/>
      <c r="V49" s="357"/>
      <c r="W49" s="357"/>
      <c r="X49" s="357"/>
      <c r="Y49" s="357"/>
      <c r="Z49" s="357"/>
    </row>
    <row r="50" spans="1:26" x14ac:dyDescent="0.2">
      <c r="A50" s="376"/>
      <c r="B50" s="373"/>
      <c r="C50" s="373"/>
      <c r="D50" s="373"/>
      <c r="E50" s="373"/>
      <c r="F50" s="373"/>
      <c r="G50" s="373"/>
      <c r="H50" s="374"/>
      <c r="I50" s="373"/>
      <c r="J50" s="211"/>
      <c r="P50" t="s">
        <v>594</v>
      </c>
      <c r="T50" s="357"/>
      <c r="U50" s="357"/>
      <c r="V50" s="357"/>
      <c r="W50" s="357"/>
      <c r="X50" s="357"/>
      <c r="Y50" s="357"/>
      <c r="Z50" s="357"/>
    </row>
    <row r="51" spans="1:26" x14ac:dyDescent="0.2">
      <c r="A51" s="376"/>
      <c r="B51" s="373"/>
      <c r="C51" s="373"/>
      <c r="D51" s="373"/>
      <c r="E51" s="373"/>
      <c r="F51" s="377"/>
      <c r="G51" s="373"/>
      <c r="H51" s="378"/>
      <c r="I51" s="373"/>
      <c r="J51" s="211"/>
      <c r="T51" s="357"/>
      <c r="U51" s="357"/>
      <c r="V51" s="357"/>
      <c r="W51" s="357"/>
      <c r="X51" s="357"/>
      <c r="Y51" s="357"/>
      <c r="Z51" s="357"/>
    </row>
    <row r="52" spans="1:26" ht="13.5" thickBot="1" x14ac:dyDescent="0.25">
      <c r="A52" s="376"/>
      <c r="B52" s="373"/>
      <c r="C52" s="373"/>
      <c r="D52" s="373"/>
      <c r="E52" s="373"/>
      <c r="F52" s="373"/>
      <c r="G52" s="373"/>
      <c r="H52" s="374"/>
      <c r="I52" s="373"/>
      <c r="J52" s="211"/>
      <c r="T52" s="357"/>
      <c r="U52" s="357"/>
      <c r="V52" s="357"/>
      <c r="W52" s="357"/>
      <c r="X52" s="357"/>
      <c r="Y52" s="357"/>
      <c r="Z52" s="357"/>
    </row>
    <row r="53" spans="1:26" x14ac:dyDescent="0.2">
      <c r="A53" s="379"/>
      <c r="B53" s="373"/>
      <c r="C53" s="373"/>
      <c r="D53" s="373"/>
      <c r="E53" s="373"/>
      <c r="F53" s="377"/>
      <c r="G53" s="373"/>
      <c r="H53" s="378"/>
      <c r="I53" s="373"/>
      <c r="J53" s="211"/>
      <c r="Q53" s="328" t="s">
        <v>566</v>
      </c>
      <c r="R53" s="366" t="s">
        <v>578</v>
      </c>
      <c r="S53" s="329" t="s">
        <v>604</v>
      </c>
      <c r="T53" s="368" t="s">
        <v>605</v>
      </c>
      <c r="X53" s="357"/>
      <c r="Y53" s="357"/>
      <c r="Z53" s="357"/>
    </row>
    <row r="54" spans="1:26" x14ac:dyDescent="0.2">
      <c r="A54" s="380"/>
      <c r="B54" s="375"/>
      <c r="C54" s="375"/>
      <c r="D54" s="375"/>
      <c r="E54" s="375"/>
      <c r="F54" s="381"/>
      <c r="G54" s="375"/>
      <c r="H54" s="382"/>
      <c r="I54" s="375"/>
      <c r="J54" s="211"/>
      <c r="Q54" s="336" t="s">
        <v>599</v>
      </c>
      <c r="R54" s="367">
        <f t="shared" ref="R54:R63" si="9">W$58</f>
        <v>458856.72280000005</v>
      </c>
      <c r="S54" s="370">
        <f>R54*X$59/(100*2)</f>
        <v>27531.403368000003</v>
      </c>
      <c r="T54" s="350"/>
      <c r="X54" s="357"/>
      <c r="Y54" s="357"/>
      <c r="Z54" s="357"/>
    </row>
    <row r="55" spans="1:26" x14ac:dyDescent="0.2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Q55" s="336" t="s">
        <v>573</v>
      </c>
      <c r="R55" s="367">
        <f t="shared" si="9"/>
        <v>458856.72280000005</v>
      </c>
      <c r="S55" s="370">
        <f t="shared" ref="S55:S63" si="10">R55*X$59/(100*2)</f>
        <v>27531.403368000003</v>
      </c>
      <c r="T55" s="356">
        <f>SUM(S54:S55)</f>
        <v>55062.806736000006</v>
      </c>
      <c r="X55" s="357"/>
      <c r="Y55" s="357"/>
      <c r="Z55" s="357"/>
    </row>
    <row r="56" spans="1:26" x14ac:dyDescent="0.2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Q56" s="336" t="s">
        <v>600</v>
      </c>
      <c r="R56" s="367">
        <f t="shared" si="9"/>
        <v>458856.72280000005</v>
      </c>
      <c r="S56" s="370">
        <f t="shared" si="10"/>
        <v>27531.403368000003</v>
      </c>
      <c r="T56" s="350"/>
      <c r="U56" s="357"/>
      <c r="V56" s="357"/>
      <c r="W56" s="357"/>
      <c r="X56" s="357"/>
      <c r="Y56" s="357"/>
      <c r="Z56" s="357"/>
    </row>
    <row r="57" spans="1:26" x14ac:dyDescent="0.2">
      <c r="Q57" s="336" t="s">
        <v>574</v>
      </c>
      <c r="R57" s="367">
        <f t="shared" si="9"/>
        <v>458856.72280000005</v>
      </c>
      <c r="S57" s="370">
        <f t="shared" si="10"/>
        <v>27531.403368000003</v>
      </c>
      <c r="T57" s="356">
        <f t="shared" ref="T57" si="11">SUM(S56:S57)</f>
        <v>55062.806736000006</v>
      </c>
      <c r="U57" s="357"/>
      <c r="V57" s="357"/>
      <c r="W57" s="357"/>
      <c r="X57" s="357"/>
      <c r="Y57" s="357"/>
      <c r="Z57" s="357"/>
    </row>
    <row r="58" spans="1:26" x14ac:dyDescent="0.2">
      <c r="Q58" s="336" t="s">
        <v>601</v>
      </c>
      <c r="R58" s="367">
        <f t="shared" si="9"/>
        <v>458856.72280000005</v>
      </c>
      <c r="S58" s="370">
        <f t="shared" si="10"/>
        <v>27531.403368000003</v>
      </c>
      <c r="T58" s="350"/>
      <c r="V58" s="361" t="s">
        <v>595</v>
      </c>
      <c r="W58" s="362">
        <f>D6</f>
        <v>458856.72280000005</v>
      </c>
      <c r="X58" s="357" t="s">
        <v>607</v>
      </c>
    </row>
    <row r="59" spans="1:26" x14ac:dyDescent="0.2">
      <c r="Q59" s="336" t="s">
        <v>575</v>
      </c>
      <c r="R59" s="367">
        <f t="shared" si="9"/>
        <v>458856.72280000005</v>
      </c>
      <c r="S59" s="370">
        <f t="shared" si="10"/>
        <v>27531.403368000003</v>
      </c>
      <c r="T59" s="356">
        <f t="shared" ref="T59" si="12">SUM(S58:S59)</f>
        <v>55062.806736000006</v>
      </c>
      <c r="V59" s="357" t="s">
        <v>596</v>
      </c>
      <c r="W59" s="357"/>
      <c r="X59" s="357">
        <v>12</v>
      </c>
      <c r="Y59" t="s">
        <v>606</v>
      </c>
    </row>
    <row r="60" spans="1:26" x14ac:dyDescent="0.2">
      <c r="Q60" s="336" t="s">
        <v>602</v>
      </c>
      <c r="R60" s="367">
        <f t="shared" si="9"/>
        <v>458856.72280000005</v>
      </c>
      <c r="S60" s="370">
        <f t="shared" si="10"/>
        <v>27531.403368000003</v>
      </c>
      <c r="T60" s="350"/>
      <c r="V60" s="357" t="s">
        <v>597</v>
      </c>
      <c r="W60" s="357" t="s">
        <v>598</v>
      </c>
      <c r="X60" s="357"/>
    </row>
    <row r="61" spans="1:26" x14ac:dyDescent="0.2">
      <c r="Q61" s="336" t="s">
        <v>576</v>
      </c>
      <c r="R61" s="367">
        <f t="shared" si="9"/>
        <v>458856.72280000005</v>
      </c>
      <c r="S61" s="370">
        <f t="shared" si="10"/>
        <v>27531.403368000003</v>
      </c>
      <c r="T61" s="356">
        <f t="shared" ref="T61" si="13">SUM(S60:S61)</f>
        <v>55062.806736000006</v>
      </c>
    </row>
    <row r="62" spans="1:26" x14ac:dyDescent="0.2">
      <c r="Q62" s="336" t="s">
        <v>603</v>
      </c>
      <c r="R62" s="367">
        <f t="shared" si="9"/>
        <v>458856.72280000005</v>
      </c>
      <c r="S62" s="370">
        <f t="shared" si="10"/>
        <v>27531.403368000003</v>
      </c>
      <c r="T62" s="350"/>
    </row>
    <row r="63" spans="1:26" ht="13.5" thickBot="1" x14ac:dyDescent="0.25">
      <c r="Q63" s="337" t="s">
        <v>577</v>
      </c>
      <c r="R63" s="369">
        <f t="shared" si="9"/>
        <v>458856.72280000005</v>
      </c>
      <c r="S63" s="419">
        <f t="shared" si="10"/>
        <v>27531.403368000003</v>
      </c>
      <c r="T63" s="420">
        <f t="shared" ref="T63" si="14">SUM(S62:S63)</f>
        <v>55062.806736000006</v>
      </c>
    </row>
    <row r="64" spans="1:26" x14ac:dyDescent="0.2">
      <c r="P64" s="95"/>
      <c r="Q64" s="364"/>
      <c r="R64" s="365"/>
      <c r="S64" s="417"/>
      <c r="T64" s="357"/>
      <c r="U64" s="95"/>
    </row>
    <row r="65" spans="16:21" x14ac:dyDescent="0.2">
      <c r="P65" s="95"/>
      <c r="Q65" s="364"/>
      <c r="R65" s="365"/>
      <c r="S65" s="417"/>
      <c r="T65" s="418"/>
      <c r="U65" s="95"/>
    </row>
    <row r="66" spans="16:21" x14ac:dyDescent="0.2">
      <c r="P66" s="95"/>
      <c r="Q66" s="364"/>
      <c r="R66" s="365"/>
      <c r="S66" s="417"/>
      <c r="T66" s="357"/>
      <c r="U66" s="95"/>
    </row>
    <row r="67" spans="16:21" x14ac:dyDescent="0.2">
      <c r="P67" s="95"/>
      <c r="Q67" s="364"/>
      <c r="R67" s="365"/>
      <c r="S67" s="417"/>
      <c r="T67" s="418"/>
      <c r="U67" s="95"/>
    </row>
    <row r="68" spans="16:21" x14ac:dyDescent="0.2">
      <c r="P68" s="95"/>
      <c r="Q68" s="364"/>
      <c r="R68" s="365"/>
      <c r="S68" s="417"/>
      <c r="T68" s="357"/>
      <c r="U68" s="95"/>
    </row>
    <row r="69" spans="16:21" x14ac:dyDescent="0.2">
      <c r="P69" s="95"/>
      <c r="Q69" s="364"/>
      <c r="R69" s="365"/>
      <c r="S69" s="417"/>
      <c r="T69" s="418"/>
      <c r="U69" s="95"/>
    </row>
    <row r="70" spans="16:21" x14ac:dyDescent="0.2">
      <c r="P70" s="95"/>
      <c r="Q70" s="364"/>
      <c r="R70" s="365"/>
      <c r="S70" s="417"/>
      <c r="T70" s="357"/>
      <c r="U70" s="95"/>
    </row>
    <row r="71" spans="16:21" x14ac:dyDescent="0.2">
      <c r="P71" s="95"/>
      <c r="Q71" s="364"/>
      <c r="R71" s="365"/>
      <c r="S71" s="417"/>
      <c r="T71" s="418"/>
      <c r="U71" s="95"/>
    </row>
    <row r="72" spans="16:21" x14ac:dyDescent="0.2">
      <c r="P72" s="95"/>
      <c r="Q72" s="364"/>
      <c r="R72" s="365"/>
      <c r="S72" s="417"/>
      <c r="T72" s="357"/>
      <c r="U72" s="95"/>
    </row>
    <row r="73" spans="16:21" x14ac:dyDescent="0.2">
      <c r="P73" s="95"/>
      <c r="Q73" s="364"/>
      <c r="R73" s="365"/>
      <c r="S73" s="417"/>
      <c r="T73" s="418"/>
      <c r="U73" s="95"/>
    </row>
    <row r="74" spans="16:21" x14ac:dyDescent="0.2">
      <c r="P74" s="95"/>
      <c r="Q74" s="95"/>
      <c r="R74" s="95"/>
      <c r="S74" s="95"/>
      <c r="T74" s="95"/>
      <c r="U74" s="95"/>
    </row>
    <row r="75" spans="16:21" x14ac:dyDescent="0.2">
      <c r="P75" s="95"/>
      <c r="Q75" s="95"/>
      <c r="R75" s="95"/>
      <c r="S75" s="95"/>
      <c r="T75" s="95"/>
      <c r="U75" s="95"/>
    </row>
    <row r="76" spans="16:21" x14ac:dyDescent="0.2">
      <c r="P76" s="95"/>
      <c r="Q76" s="95"/>
      <c r="R76" s="95"/>
      <c r="S76" s="95"/>
      <c r="T76" s="95"/>
      <c r="U76" s="95"/>
    </row>
    <row r="77" spans="16:21" x14ac:dyDescent="0.2">
      <c r="P77" s="95"/>
      <c r="Q77" s="95"/>
      <c r="R77" s="95"/>
      <c r="S77" s="95"/>
      <c r="T77" s="95"/>
      <c r="U77" s="95"/>
    </row>
    <row r="78" spans="16:21" x14ac:dyDescent="0.2">
      <c r="P78" s="95"/>
      <c r="Q78" s="95"/>
      <c r="R78" s="95"/>
      <c r="S78" s="95"/>
      <c r="T78" s="95"/>
      <c r="U78" s="95"/>
    </row>
  </sheetData>
  <sheetProtection selectLockedCells="1" selectUnlockedCells="1"/>
  <mergeCells count="29">
    <mergeCell ref="T46:U46"/>
    <mergeCell ref="V46:X46"/>
    <mergeCell ref="T43:U43"/>
    <mergeCell ref="T44:U44"/>
    <mergeCell ref="V42:W42"/>
    <mergeCell ref="V43:W43"/>
    <mergeCell ref="V44:W44"/>
    <mergeCell ref="Q42:R42"/>
    <mergeCell ref="A15:B15"/>
    <mergeCell ref="A27:B27"/>
    <mergeCell ref="B3:C3"/>
    <mergeCell ref="D3:E3"/>
    <mergeCell ref="F3:G3"/>
    <mergeCell ref="P3:Y3"/>
    <mergeCell ref="R5:V5"/>
    <mergeCell ref="R27:V27"/>
    <mergeCell ref="T34:U34"/>
    <mergeCell ref="Q35:S35"/>
    <mergeCell ref="T35:U35"/>
    <mergeCell ref="V41:W41"/>
    <mergeCell ref="V40:W40"/>
    <mergeCell ref="V39:W39"/>
    <mergeCell ref="V38:W38"/>
    <mergeCell ref="V32:W32"/>
    <mergeCell ref="V37:W37"/>
    <mergeCell ref="V36:W36"/>
    <mergeCell ref="V35:W35"/>
    <mergeCell ref="V34:W34"/>
    <mergeCell ref="V33:W3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InfoInicial</vt:lpstr>
      <vt:lpstr>E-Inv AF y Am</vt:lpstr>
      <vt:lpstr>E-Costos</vt:lpstr>
      <vt:lpstr>E-InvAT</vt:lpstr>
      <vt:lpstr>E-Cal Inv.</vt:lpstr>
      <vt:lpstr>E-IVA </vt:lpstr>
      <vt:lpstr>E-Form</vt:lpstr>
      <vt:lpstr>Auxiliar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2018-09-19T21:34:04Z</dcterms:created>
  <dcterms:modified xsi:type="dcterms:W3CDTF">2018-11-03T02:20:58Z</dcterms:modified>
</cp:coreProperties>
</file>