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gnaciocostales/Desktop/"/>
    </mc:Choice>
  </mc:AlternateContent>
  <xr:revisionPtr revIDLastSave="0" documentId="13_ncr:1_{9F53BDAF-706C-D544-A4D4-8FF6CC048AE1}" xr6:coauthVersionLast="36" xr6:coauthVersionMax="36" xr10:uidLastSave="{00000000-0000-0000-0000-000000000000}"/>
  <bookViews>
    <workbookView xWindow="0" yWindow="460" windowWidth="16380" windowHeight="15920" tabRatio="500" firstSheet="10" activeTab="17" xr2:uid="{00000000-000D-0000-FFFF-FFFF00000000}"/>
  </bookViews>
  <sheets>
    <sheet name="InfoInicial" sheetId="1" r:id="rId1"/>
    <sheet name="E-Inv AF y Am" sheetId="2" r:id="rId2"/>
    <sheet name="E-Inv AF y Am Datos y links" sheetId="3" r:id="rId3"/>
    <sheet name="E-Costos" sheetId="4" r:id="rId4"/>
    <sheet name="E-Costos Datos y links" sheetId="5" r:id="rId5"/>
    <sheet name="E-InvAT" sheetId="6" r:id="rId6"/>
    <sheet name="E-InvAT Datos y links" sheetId="7" r:id="rId7"/>
    <sheet name="E-Cal Inv." sheetId="8" r:id="rId8"/>
    <sheet name="E-IVA " sheetId="9" r:id="rId9"/>
    <sheet name="E-Form" sheetId="10" r:id="rId10"/>
    <sheet name="F-Cred" sheetId="11" r:id="rId11"/>
    <sheet name="FCred AD" sheetId="12" r:id="rId12"/>
    <sheet name="F-CRes" sheetId="13" r:id="rId13"/>
    <sheet name="F-2 Estructura" sheetId="14" r:id="rId14"/>
    <sheet name="F-IVA" sheetId="15" r:id="rId15"/>
    <sheet name="F- CFyU" sheetId="16" r:id="rId16"/>
    <sheet name="F-Balance" sheetId="17" r:id="rId17"/>
    <sheet name="F- Form" sheetId="18" r:id="rId18"/>
  </sheets>
  <definedNames>
    <definedName name="_xlnm.Print_Area" localSheetId="15">'F- CFyU'!$A$3:$H$28</definedName>
    <definedName name="_xlnm.Print_Area" localSheetId="16">'F-Balance'!$A$3:$G$35</definedName>
    <definedName name="_xlnm.Print_Area" localSheetId="10">'F-Cred'!$A$1:$I$34</definedName>
    <definedName name="Excel_BuiltIn_Print_Area" localSheetId="15">('F- CFyU'!#REF!,'F- CFyU'!#REF!,'F- CFyU'!$A$3:$H$28)</definedName>
    <definedName name="Excel_BuiltIn_Print_Area" localSheetId="16">('F-Balance'!#REF!,'F-Balance'!#REF!,'F-Balance'!$A$3:$G$35)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2" i="7" l="1"/>
  <c r="D31" i="18"/>
  <c r="C28" i="18"/>
  <c r="B28" i="18"/>
  <c r="B27" i="18"/>
  <c r="C27" i="18" s="1"/>
  <c r="B26" i="18"/>
  <c r="C26" i="18" s="1"/>
  <c r="E24" i="18"/>
  <c r="F24" i="18" s="1"/>
  <c r="B9" i="18"/>
  <c r="B8" i="18"/>
  <c r="B7" i="18"/>
  <c r="J5" i="18"/>
  <c r="F5" i="18"/>
  <c r="E5" i="18"/>
  <c r="G1" i="18"/>
  <c r="B34" i="17"/>
  <c r="C34" i="17" s="1"/>
  <c r="G28" i="17"/>
  <c r="G11" i="17"/>
  <c r="B9" i="17"/>
  <c r="E1" i="17"/>
  <c r="H22" i="16"/>
  <c r="H20" i="16"/>
  <c r="C9" i="16"/>
  <c r="B8" i="16"/>
  <c r="E1" i="16"/>
  <c r="B10" i="15"/>
  <c r="B12" i="15" s="1"/>
  <c r="E1" i="15"/>
  <c r="G52" i="14"/>
  <c r="A52" i="14"/>
  <c r="B17" i="14"/>
  <c r="B13" i="14"/>
  <c r="C6" i="14"/>
  <c r="D1" i="14"/>
  <c r="G7" i="13"/>
  <c r="F1" i="13"/>
  <c r="C10" i="12"/>
  <c r="D10" i="12" s="1"/>
  <c r="F10" i="12" s="1"/>
  <c r="C6" i="12"/>
  <c r="D6" i="12" s="1"/>
  <c r="F6" i="12" s="1"/>
  <c r="C2" i="12"/>
  <c r="D2" i="12" s="1"/>
  <c r="F2" i="12" s="1"/>
  <c r="F1" i="11"/>
  <c r="B8" i="10"/>
  <c r="B7" i="10"/>
  <c r="B6" i="10"/>
  <c r="G1" i="10"/>
  <c r="G25" i="9"/>
  <c r="F25" i="9"/>
  <c r="E25" i="9"/>
  <c r="B22" i="8"/>
  <c r="B18" i="8"/>
  <c r="F17" i="8"/>
  <c r="E16" i="8"/>
  <c r="I12" i="8"/>
  <c r="G1" i="8"/>
  <c r="D12" i="7"/>
  <c r="C13" i="12" s="1"/>
  <c r="D13" i="12" s="1"/>
  <c r="F13" i="12" s="1"/>
  <c r="G13" i="6"/>
  <c r="H17" i="8" s="1"/>
  <c r="F13" i="6"/>
  <c r="G17" i="8" s="1"/>
  <c r="E13" i="6"/>
  <c r="D13" i="6"/>
  <c r="E17" i="8" s="1"/>
  <c r="C13" i="6"/>
  <c r="D17" i="8" s="1"/>
  <c r="B13" i="6"/>
  <c r="C17" i="8" s="1"/>
  <c r="G12" i="6"/>
  <c r="H16" i="8" s="1"/>
  <c r="F12" i="6"/>
  <c r="G16" i="8" s="1"/>
  <c r="E12" i="6"/>
  <c r="F16" i="8" s="1"/>
  <c r="D12" i="6"/>
  <c r="C12" i="6"/>
  <c r="D16" i="8" s="1"/>
  <c r="B12" i="6"/>
  <c r="C16" i="8" s="1"/>
  <c r="I16" i="8" s="1"/>
  <c r="G10" i="6"/>
  <c r="F10" i="6"/>
  <c r="E10" i="6"/>
  <c r="D10" i="6"/>
  <c r="C10" i="6"/>
  <c r="B10" i="6"/>
  <c r="G7" i="6"/>
  <c r="G9" i="17" s="1"/>
  <c r="F7" i="6"/>
  <c r="F9" i="17" s="1"/>
  <c r="E7" i="6"/>
  <c r="E9" i="17" s="1"/>
  <c r="D7" i="6"/>
  <c r="C7" i="6"/>
  <c r="G6" i="6"/>
  <c r="G7" i="17" s="1"/>
  <c r="F6" i="6"/>
  <c r="F7" i="17" s="1"/>
  <c r="E6" i="6"/>
  <c r="G11" i="8" s="1"/>
  <c r="D6" i="6"/>
  <c r="D7" i="17" s="1"/>
  <c r="C6" i="6"/>
  <c r="C7" i="17" s="1"/>
  <c r="G152" i="5"/>
  <c r="F152" i="5"/>
  <c r="N150" i="5"/>
  <c r="N154" i="5" s="1"/>
  <c r="D125" i="5"/>
  <c r="N110" i="5"/>
  <c r="N104" i="5"/>
  <c r="N107" i="5" s="1"/>
  <c r="N111" i="5" s="1"/>
  <c r="N97" i="5"/>
  <c r="N98" i="5" s="1"/>
  <c r="N96" i="5"/>
  <c r="N105" i="5" s="1"/>
  <c r="B89" i="5"/>
  <c r="G84" i="5"/>
  <c r="G85" i="5" s="1"/>
  <c r="B81" i="5"/>
  <c r="G80" i="5"/>
  <c r="G79" i="5"/>
  <c r="G78" i="5"/>
  <c r="G77" i="5"/>
  <c r="C72" i="5"/>
  <c r="B72" i="5"/>
  <c r="B66" i="5"/>
  <c r="C66" i="5" s="1"/>
  <c r="B53" i="5"/>
  <c r="F55" i="5" s="1"/>
  <c r="B51" i="5"/>
  <c r="H42" i="5"/>
  <c r="H41" i="5"/>
  <c r="H40" i="5"/>
  <c r="E36" i="5"/>
  <c r="E35" i="5"/>
  <c r="E37" i="5" s="1"/>
  <c r="E28" i="5"/>
  <c r="E27" i="5"/>
  <c r="E26" i="5"/>
  <c r="E25" i="5"/>
  <c r="E24" i="5"/>
  <c r="E29" i="5" s="1"/>
  <c r="J20" i="5"/>
  <c r="J19" i="5"/>
  <c r="E19" i="5"/>
  <c r="E20" i="5" s="1"/>
  <c r="D11" i="4" s="1"/>
  <c r="F15" i="5"/>
  <c r="F14" i="5"/>
  <c r="F16" i="5" s="1"/>
  <c r="F13" i="5"/>
  <c r="F12" i="5"/>
  <c r="J11" i="5"/>
  <c r="F11" i="5"/>
  <c r="J10" i="5"/>
  <c r="H143" i="4"/>
  <c r="A143" i="4"/>
  <c r="D90" i="4"/>
  <c r="E88" i="4"/>
  <c r="D88" i="4"/>
  <c r="E22" i="9" s="1"/>
  <c r="F87" i="4"/>
  <c r="F88" i="4" s="1"/>
  <c r="E87" i="4"/>
  <c r="D87" i="4"/>
  <c r="C87" i="4"/>
  <c r="C88" i="4" s="1"/>
  <c r="B87" i="4"/>
  <c r="B88" i="4" s="1"/>
  <c r="F75" i="4"/>
  <c r="E75" i="4"/>
  <c r="D75" i="4"/>
  <c r="C75" i="4"/>
  <c r="B75" i="4"/>
  <c r="D69" i="4"/>
  <c r="F58" i="4"/>
  <c r="E58" i="4"/>
  <c r="D58" i="4"/>
  <c r="C58" i="4"/>
  <c r="B58" i="4"/>
  <c r="F57" i="4"/>
  <c r="E57" i="4"/>
  <c r="D57" i="4"/>
  <c r="C57" i="4"/>
  <c r="B57" i="4"/>
  <c r="D52" i="4"/>
  <c r="B32" i="4"/>
  <c r="G25" i="4"/>
  <c r="F25" i="4"/>
  <c r="E25" i="4"/>
  <c r="D25" i="4"/>
  <c r="C25" i="4"/>
  <c r="B25" i="4"/>
  <c r="F14" i="4"/>
  <c r="E14" i="4"/>
  <c r="D14" i="4"/>
  <c r="E9" i="9" s="1"/>
  <c r="C14" i="4"/>
  <c r="B14" i="4"/>
  <c r="F7" i="4"/>
  <c r="G34" i="7" s="1"/>
  <c r="E7" i="4"/>
  <c r="E90" i="4" s="1"/>
  <c r="D7" i="4"/>
  <c r="C7" i="4"/>
  <c r="D34" i="7" s="1"/>
  <c r="B7" i="4"/>
  <c r="C6" i="9" s="1"/>
  <c r="E3" i="4"/>
  <c r="B86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B16" i="2" s="1"/>
  <c r="B48" i="2" s="1"/>
  <c r="I35" i="3"/>
  <c r="I34" i="3"/>
  <c r="I33" i="3"/>
  <c r="I31" i="3"/>
  <c r="C53" i="2"/>
  <c r="C50" i="2"/>
  <c r="B50" i="2"/>
  <c r="C49" i="2"/>
  <c r="C48" i="2"/>
  <c r="C47" i="2"/>
  <c r="C46" i="2"/>
  <c r="B46" i="2"/>
  <c r="C45" i="2"/>
  <c r="C44" i="2"/>
  <c r="B28" i="2"/>
  <c r="B27" i="2"/>
  <c r="C26" i="2"/>
  <c r="C29" i="2" s="1"/>
  <c r="C31" i="2" s="1"/>
  <c r="B25" i="2"/>
  <c r="B24" i="2"/>
  <c r="B23" i="2"/>
  <c r="D18" i="2"/>
  <c r="B17" i="2"/>
  <c r="B15" i="2"/>
  <c r="B47" i="2" s="1"/>
  <c r="B13" i="2"/>
  <c r="B12" i="2"/>
  <c r="B14" i="2" s="1"/>
  <c r="D11" i="2"/>
  <c r="D14" i="2" s="1"/>
  <c r="B8" i="2"/>
  <c r="B9" i="2" s="1"/>
  <c r="B45" i="2" s="1"/>
  <c r="B7" i="2"/>
  <c r="E1" i="2"/>
  <c r="D7" i="8" l="1"/>
  <c r="D8" i="8" s="1"/>
  <c r="C7" i="14"/>
  <c r="C15" i="17" s="1"/>
  <c r="C33" i="2"/>
  <c r="E46" i="2"/>
  <c r="D46" i="2"/>
  <c r="E8" i="4"/>
  <c r="E91" i="4" s="1"/>
  <c r="I10" i="5"/>
  <c r="K10" i="5" s="1"/>
  <c r="D8" i="4"/>
  <c r="C8" i="4"/>
  <c r="C91" i="4" s="1"/>
  <c r="C74" i="4"/>
  <c r="F74" i="4"/>
  <c r="B74" i="4"/>
  <c r="E74" i="4"/>
  <c r="D20" i="2"/>
  <c r="E52" i="14"/>
  <c r="B4" i="13"/>
  <c r="F4" i="13"/>
  <c r="G22" i="9"/>
  <c r="L143" i="4"/>
  <c r="C52" i="4"/>
  <c r="E30" i="5"/>
  <c r="B52" i="4" s="1"/>
  <c r="F52" i="4"/>
  <c r="B67" i="5"/>
  <c r="C67" i="5" s="1"/>
  <c r="E52" i="4"/>
  <c r="D47" i="2"/>
  <c r="D50" i="2"/>
  <c r="G50" i="2" s="1"/>
  <c r="F9" i="9"/>
  <c r="C11" i="4"/>
  <c r="I19" i="5"/>
  <c r="K19" i="5" s="1"/>
  <c r="I23" i="5" s="1"/>
  <c r="F11" i="4"/>
  <c r="E21" i="5"/>
  <c r="E11" i="4"/>
  <c r="E48" i="2"/>
  <c r="D74" i="4"/>
  <c r="C4" i="13"/>
  <c r="K52" i="14"/>
  <c r="D22" i="9"/>
  <c r="E143" i="4"/>
  <c r="B73" i="5"/>
  <c r="C73" i="5" s="1"/>
  <c r="C69" i="4"/>
  <c r="E38" i="5"/>
  <c r="B69" i="4" s="1"/>
  <c r="F69" i="4"/>
  <c r="E69" i="4"/>
  <c r="E7" i="17"/>
  <c r="F11" i="8"/>
  <c r="D9" i="17"/>
  <c r="C14" i="8"/>
  <c r="B30" i="6"/>
  <c r="G14" i="8"/>
  <c r="F30" i="6"/>
  <c r="E45" i="2"/>
  <c r="G45" i="2" s="1"/>
  <c r="D45" i="2"/>
  <c r="C7" i="8"/>
  <c r="B29" i="2"/>
  <c r="B31" i="2" s="1"/>
  <c r="E47" i="2"/>
  <c r="G47" i="2" s="1"/>
  <c r="B59" i="5"/>
  <c r="C55" i="5"/>
  <c r="C56" i="5"/>
  <c r="C54" i="5"/>
  <c r="G46" i="2"/>
  <c r="D48" i="2"/>
  <c r="G48" i="2" s="1"/>
  <c r="D6" i="9"/>
  <c r="C90" i="4"/>
  <c r="B178" i="5"/>
  <c r="B18" i="2"/>
  <c r="B49" i="2" s="1"/>
  <c r="B43" i="2"/>
  <c r="B20" i="2"/>
  <c r="F8" i="4"/>
  <c r="F22" i="9"/>
  <c r="E4" i="13"/>
  <c r="F17" i="5"/>
  <c r="F54" i="5"/>
  <c r="C22" i="9"/>
  <c r="N126" i="5"/>
  <c r="N125" i="5"/>
  <c r="E6" i="9"/>
  <c r="E34" i="7"/>
  <c r="C9" i="9"/>
  <c r="G9" i="9"/>
  <c r="I17" i="8"/>
  <c r="B7" i="8"/>
  <c r="B44" i="2"/>
  <c r="F6" i="9"/>
  <c r="F34" i="7"/>
  <c r="H126" i="5"/>
  <c r="B90" i="4"/>
  <c r="F90" i="4"/>
  <c r="D9" i="9"/>
  <c r="D4" i="13"/>
  <c r="C34" i="7"/>
  <c r="E13" i="15"/>
  <c r="G6" i="9"/>
  <c r="N153" i="5"/>
  <c r="N155" i="5" s="1"/>
  <c r="G32" i="4" s="1"/>
  <c r="C37" i="7" s="1"/>
  <c r="B6" i="6"/>
  <c r="C30" i="6"/>
  <c r="G30" i="6"/>
  <c r="H11" i="8"/>
  <c r="D14" i="8"/>
  <c r="H14" i="8"/>
  <c r="C5" i="12"/>
  <c r="D5" i="12" s="1"/>
  <c r="F5" i="12" s="1"/>
  <c r="C9" i="12"/>
  <c r="D9" i="12" s="1"/>
  <c r="F9" i="12" s="1"/>
  <c r="C12" i="12"/>
  <c r="D12" i="12" s="1"/>
  <c r="F12" i="12" s="1"/>
  <c r="N151" i="5"/>
  <c r="D30" i="6"/>
  <c r="E11" i="8"/>
  <c r="E14" i="8"/>
  <c r="C4" i="12"/>
  <c r="D4" i="12" s="1"/>
  <c r="F4" i="12" s="1"/>
  <c r="C8" i="12"/>
  <c r="D8" i="12" s="1"/>
  <c r="F8" i="12" s="1"/>
  <c r="C9" i="17"/>
  <c r="C13" i="14"/>
  <c r="D13" i="14" s="1"/>
  <c r="E30" i="6"/>
  <c r="F14" i="8"/>
  <c r="C3" i="12"/>
  <c r="D3" i="12" s="1"/>
  <c r="F3" i="12" s="1"/>
  <c r="F14" i="12" s="1"/>
  <c r="E16" i="12" s="1"/>
  <c r="D6" i="11" s="1"/>
  <c r="C7" i="12"/>
  <c r="D7" i="12" s="1"/>
  <c r="F7" i="12" s="1"/>
  <c r="C11" i="12"/>
  <c r="D11" i="12" s="1"/>
  <c r="F11" i="12" s="1"/>
  <c r="C8" i="14"/>
  <c r="C12" i="14"/>
  <c r="C26" i="17" l="1"/>
  <c r="C29" i="14"/>
  <c r="I24" i="12"/>
  <c r="J24" i="12" s="1"/>
  <c r="D32" i="11"/>
  <c r="A24" i="12"/>
  <c r="B53" i="2"/>
  <c r="D32" i="4"/>
  <c r="E37" i="7" s="1"/>
  <c r="C32" i="4"/>
  <c r="D37" i="7" s="1"/>
  <c r="F32" i="4"/>
  <c r="G37" i="7" s="1"/>
  <c r="E32" i="4"/>
  <c r="F37" i="7" s="1"/>
  <c r="B7" i="17"/>
  <c r="B12" i="14"/>
  <c r="C11" i="8"/>
  <c r="G44" i="2"/>
  <c r="E44" i="2"/>
  <c r="D44" i="2"/>
  <c r="I7" i="8"/>
  <c r="B8" i="8"/>
  <c r="B6" i="14"/>
  <c r="C6" i="8"/>
  <c r="B65" i="5"/>
  <c r="B71" i="5"/>
  <c r="B33" i="2"/>
  <c r="D55" i="4"/>
  <c r="C55" i="4"/>
  <c r="F55" i="4"/>
  <c r="E55" i="4"/>
  <c r="D10" i="16"/>
  <c r="H124" i="5"/>
  <c r="D33" i="2"/>
  <c r="C14" i="16"/>
  <c r="C9" i="14"/>
  <c r="C10" i="14"/>
  <c r="C25" i="14" s="1"/>
  <c r="E10" i="16"/>
  <c r="H125" i="5"/>
  <c r="I125" i="5"/>
  <c r="F10" i="16"/>
  <c r="D43" i="2"/>
  <c r="D51" i="2" s="1"/>
  <c r="B51" i="2"/>
  <c r="B56" i="2" s="1"/>
  <c r="E43" i="2"/>
  <c r="D72" i="4"/>
  <c r="C72" i="4"/>
  <c r="F72" i="4"/>
  <c r="E72" i="4"/>
  <c r="I20" i="5"/>
  <c r="K20" i="5" s="1"/>
  <c r="I22" i="5" s="1"/>
  <c r="B29" i="4" s="1"/>
  <c r="B11" i="4"/>
  <c r="G10" i="16"/>
  <c r="C34" i="2"/>
  <c r="C36" i="2"/>
  <c r="I11" i="5"/>
  <c r="I15" i="5" s="1"/>
  <c r="G26" i="4" s="1"/>
  <c r="B8" i="4"/>
  <c r="F13" i="15"/>
  <c r="F91" i="4"/>
  <c r="H127" i="5"/>
  <c r="E49" i="2"/>
  <c r="G49" i="2" s="1"/>
  <c r="D49" i="2"/>
  <c r="B62" i="5"/>
  <c r="B55" i="4" s="1"/>
  <c r="B61" i="5"/>
  <c r="B72" i="4" s="1"/>
  <c r="B60" i="5"/>
  <c r="B13" i="4" s="1"/>
  <c r="C8" i="9" s="1"/>
  <c r="I14" i="8"/>
  <c r="D13" i="15"/>
  <c r="D91" i="4"/>
  <c r="D11" i="8"/>
  <c r="C13" i="15"/>
  <c r="G174" i="5"/>
  <c r="F174" i="5"/>
  <c r="G175" i="5"/>
  <c r="F175" i="5"/>
  <c r="E13" i="4"/>
  <c r="F8" i="9" s="1"/>
  <c r="N58" i="5"/>
  <c r="D13" i="4"/>
  <c r="E8" i="9" s="1"/>
  <c r="C13" i="4"/>
  <c r="D8" i="9" s="1"/>
  <c r="F13" i="4"/>
  <c r="G8" i="9" s="1"/>
  <c r="E29" i="4"/>
  <c r="D29" i="4"/>
  <c r="C29" i="4"/>
  <c r="F29" i="4"/>
  <c r="G13" i="15"/>
  <c r="C10" i="16"/>
  <c r="G4" i="13"/>
  <c r="I14" i="5"/>
  <c r="M11" i="5"/>
  <c r="B5" i="10"/>
  <c r="D21" i="8"/>
  <c r="D26" i="4" l="1"/>
  <c r="C26" i="4"/>
  <c r="F26" i="4"/>
  <c r="B26" i="4"/>
  <c r="E26" i="4"/>
  <c r="G176" i="5"/>
  <c r="B91" i="4"/>
  <c r="G43" i="2"/>
  <c r="G51" i="2" s="1"/>
  <c r="G56" i="2" s="1"/>
  <c r="B6" i="18"/>
  <c r="B74" i="5"/>
  <c r="C71" i="5"/>
  <c r="C74" i="5" s="1"/>
  <c r="B71" i="4" s="1"/>
  <c r="C19" i="9" s="1"/>
  <c r="C8" i="15" s="1"/>
  <c r="E51" i="2"/>
  <c r="D34" i="2"/>
  <c r="D36" i="2" s="1"/>
  <c r="I6" i="8"/>
  <c r="C8" i="8"/>
  <c r="D12" i="14"/>
  <c r="E53" i="2"/>
  <c r="D53" i="2"/>
  <c r="C8" i="16"/>
  <c r="H8" i="16" s="1"/>
  <c r="D29" i="14"/>
  <c r="C21" i="17"/>
  <c r="D21" i="17" s="1"/>
  <c r="E21" i="17" s="1"/>
  <c r="D56" i="2"/>
  <c r="B68" i="5"/>
  <c r="C65" i="5"/>
  <c r="C68" i="5" s="1"/>
  <c r="B54" i="4" s="1"/>
  <c r="C18" i="9" s="1"/>
  <c r="C7" i="15" s="1"/>
  <c r="I8" i="8"/>
  <c r="B5" i="11"/>
  <c r="B21" i="8"/>
  <c r="B4" i="10"/>
  <c r="I11" i="8"/>
  <c r="N66" i="5"/>
  <c r="B31" i="4" s="1"/>
  <c r="N60" i="5"/>
  <c r="N65" i="5"/>
  <c r="H10" i="16"/>
  <c r="F176" i="5"/>
  <c r="H128" i="5"/>
  <c r="B34" i="2"/>
  <c r="B36" i="2" s="1"/>
  <c r="B19" i="17"/>
  <c r="B22" i="17" s="1"/>
  <c r="C19" i="17" s="1"/>
  <c r="D6" i="14"/>
  <c r="D26" i="17"/>
  <c r="B10" i="18" l="1"/>
  <c r="B9" i="10"/>
  <c r="F31" i="4"/>
  <c r="G36" i="7" s="1"/>
  <c r="E31" i="4"/>
  <c r="F36" i="7" s="1"/>
  <c r="D31" i="4"/>
  <c r="E36" i="7" s="1"/>
  <c r="C31" i="4"/>
  <c r="D36" i="7" s="1"/>
  <c r="N172" i="5"/>
  <c r="N173" i="5" s="1"/>
  <c r="B15" i="4"/>
  <c r="B11" i="10"/>
  <c r="C21" i="8"/>
  <c r="E71" i="4"/>
  <c r="F19" i="9" s="1"/>
  <c r="F8" i="15" s="1"/>
  <c r="D71" i="4"/>
  <c r="E19" i="9" s="1"/>
  <c r="E8" i="15" s="1"/>
  <c r="C71" i="4"/>
  <c r="D19" i="9" s="1"/>
  <c r="D8" i="15" s="1"/>
  <c r="F71" i="4"/>
  <c r="G19" i="9" s="1"/>
  <c r="G8" i="15" s="1"/>
  <c r="C15" i="4"/>
  <c r="F15" i="4"/>
  <c r="E15" i="4"/>
  <c r="N177" i="5"/>
  <c r="N178" i="5" s="1"/>
  <c r="B33" i="4" s="1"/>
  <c r="D15" i="4"/>
  <c r="I21" i="8"/>
  <c r="B23" i="8"/>
  <c r="F16" i="17"/>
  <c r="G16" i="17"/>
  <c r="F21" i="17"/>
  <c r="G21" i="17" s="1"/>
  <c r="E56" i="2"/>
  <c r="G128" i="5"/>
  <c r="F12" i="4"/>
  <c r="E12" i="4"/>
  <c r="N130" i="5"/>
  <c r="E54" i="4"/>
  <c r="F18" i="9" s="1"/>
  <c r="F7" i="15" s="1"/>
  <c r="D54" i="4"/>
  <c r="E18" i="9" s="1"/>
  <c r="E7" i="15" s="1"/>
  <c r="C54" i="4"/>
  <c r="D18" i="9" s="1"/>
  <c r="D7" i="15" s="1"/>
  <c r="F54" i="4"/>
  <c r="G18" i="9" s="1"/>
  <c r="G7" i="15" s="1"/>
  <c r="E26" i="17"/>
  <c r="C22" i="17"/>
  <c r="D19" i="17" s="1"/>
  <c r="D22" i="17" s="1"/>
  <c r="E19" i="17" s="1"/>
  <c r="E22" i="17" s="1"/>
  <c r="F19" i="17" s="1"/>
  <c r="F22" i="17" s="1"/>
  <c r="G19" i="17" s="1"/>
  <c r="G22" i="17" s="1"/>
  <c r="N67" i="5"/>
  <c r="G31" i="4" s="1"/>
  <c r="C36" i="7" s="1"/>
  <c r="D5" i="11"/>
  <c r="F5" i="11"/>
  <c r="I7" i="10"/>
  <c r="I6" i="10"/>
  <c r="I5" i="10"/>
  <c r="F70" i="4"/>
  <c r="B70" i="4"/>
  <c r="F53" i="4"/>
  <c r="B53" i="4"/>
  <c r="D10" i="4"/>
  <c r="E70" i="4"/>
  <c r="E53" i="4"/>
  <c r="C10" i="4"/>
  <c r="D70" i="4"/>
  <c r="D53" i="4"/>
  <c r="B10" i="4"/>
  <c r="C70" i="4"/>
  <c r="C53" i="4"/>
  <c r="G40" i="5" l="1"/>
  <c r="I40" i="5" s="1"/>
  <c r="K40" i="5" s="1"/>
  <c r="B28" i="4" s="1"/>
  <c r="B125" i="4"/>
  <c r="F11" i="6"/>
  <c r="F7" i="9"/>
  <c r="F12" i="9" s="1"/>
  <c r="E59" i="4"/>
  <c r="E61" i="4" s="1"/>
  <c r="F61" i="4"/>
  <c r="F59" i="4"/>
  <c r="D59" i="4"/>
  <c r="D61" i="4" s="1"/>
  <c r="E76" i="4"/>
  <c r="B78" i="4"/>
  <c r="B80" i="4" s="1"/>
  <c r="B41" i="14" s="1"/>
  <c r="B76" i="4"/>
  <c r="G11" i="6"/>
  <c r="G7" i="9"/>
  <c r="G12" i="9" s="1"/>
  <c r="F25" i="16"/>
  <c r="I9" i="10"/>
  <c r="I8" i="10"/>
  <c r="I11" i="10" s="1"/>
  <c r="M18" i="10" s="1"/>
  <c r="F10" i="4"/>
  <c r="E10" i="4"/>
  <c r="C59" i="4"/>
  <c r="C61" i="4" s="1"/>
  <c r="D78" i="4"/>
  <c r="D76" i="4"/>
  <c r="D125" i="4"/>
  <c r="F78" i="4"/>
  <c r="F80" i="4"/>
  <c r="F41" i="14" s="1"/>
  <c r="F76" i="4"/>
  <c r="B30" i="14"/>
  <c r="A21" i="12"/>
  <c r="C31" i="11"/>
  <c r="E32" i="11" s="1"/>
  <c r="C27" i="11"/>
  <c r="B16" i="11"/>
  <c r="D16" i="11" s="1"/>
  <c r="B13" i="11"/>
  <c r="D8" i="11"/>
  <c r="C28" i="11"/>
  <c r="C24" i="11"/>
  <c r="E24" i="11" s="1"/>
  <c r="B22" i="11"/>
  <c r="C29" i="11"/>
  <c r="C25" i="11"/>
  <c r="B14" i="11"/>
  <c r="D14" i="11" s="1"/>
  <c r="D21" i="11" s="1"/>
  <c r="G21" i="11" s="1"/>
  <c r="B15" i="11"/>
  <c r="D15" i="11" s="1"/>
  <c r="C30" i="11"/>
  <c r="C26" i="11"/>
  <c r="D24" i="11"/>
  <c r="D25" i="11"/>
  <c r="B23" i="11"/>
  <c r="B24" i="11" s="1"/>
  <c r="D31" i="11"/>
  <c r="G32" i="11" s="1"/>
  <c r="D29" i="11"/>
  <c r="D23" i="11"/>
  <c r="F26" i="17"/>
  <c r="F128" i="5"/>
  <c r="D12" i="4"/>
  <c r="C12" i="4"/>
  <c r="B25" i="8"/>
  <c r="C76" i="4"/>
  <c r="G41" i="5"/>
  <c r="I41" i="5" s="1"/>
  <c r="K41" i="5" s="1"/>
  <c r="C125" i="4"/>
  <c r="F189" i="5"/>
  <c r="F190" i="5" s="1"/>
  <c r="B61" i="4"/>
  <c r="B59" i="4"/>
  <c r="N138" i="5"/>
  <c r="B30" i="4" s="1"/>
  <c r="C32" i="6" s="1"/>
  <c r="C15" i="9" s="1"/>
  <c r="N137" i="5"/>
  <c r="N132" i="5"/>
  <c r="F33" i="4"/>
  <c r="E33" i="4"/>
  <c r="D33" i="4"/>
  <c r="C33" i="4"/>
  <c r="D39" i="14" l="1"/>
  <c r="D38" i="14"/>
  <c r="D109" i="4"/>
  <c r="D8" i="13" s="1"/>
  <c r="D131" i="4"/>
  <c r="D130" i="4"/>
  <c r="C38" i="14"/>
  <c r="C39" i="14"/>
  <c r="C130" i="4"/>
  <c r="C109" i="4"/>
  <c r="C8" i="13" s="1"/>
  <c r="C131" i="4"/>
  <c r="E39" i="14"/>
  <c r="E38" i="14"/>
  <c r="E109" i="4"/>
  <c r="E8" i="13" s="1"/>
  <c r="E131" i="4"/>
  <c r="E130" i="4"/>
  <c r="F16" i="4"/>
  <c r="E16" i="4"/>
  <c r="D16" i="4"/>
  <c r="D20" i="4" s="1"/>
  <c r="D36" i="14" s="1"/>
  <c r="C16" i="4"/>
  <c r="E7" i="9"/>
  <c r="E12" i="9" s="1"/>
  <c r="E35" i="7"/>
  <c r="E38" i="7" s="1"/>
  <c r="E11" i="6"/>
  <c r="I10" i="18"/>
  <c r="G9" i="15"/>
  <c r="D42" i="11"/>
  <c r="E42" i="11" s="1"/>
  <c r="F10" i="13" s="1"/>
  <c r="E30" i="11"/>
  <c r="F27" i="17"/>
  <c r="G18" i="16"/>
  <c r="D92" i="4"/>
  <c r="D110" i="4"/>
  <c r="D9" i="13" s="1"/>
  <c r="G42" i="5"/>
  <c r="I42" i="5" s="1"/>
  <c r="K42" i="5" s="1"/>
  <c r="E92" i="4"/>
  <c r="E125" i="4"/>
  <c r="E19" i="4"/>
  <c r="E37" i="14" s="1"/>
  <c r="E17" i="4"/>
  <c r="D30" i="4"/>
  <c r="C30" i="4"/>
  <c r="D32" i="6" s="1"/>
  <c r="D15" i="9" s="1"/>
  <c r="F30" i="4"/>
  <c r="E30" i="4"/>
  <c r="D28" i="4"/>
  <c r="C28" i="4"/>
  <c r="B12" i="4"/>
  <c r="N139" i="5"/>
  <c r="G30" i="4" s="1"/>
  <c r="G35" i="4" s="1"/>
  <c r="D26" i="11"/>
  <c r="D34" i="11" s="1"/>
  <c r="D30" i="11"/>
  <c r="G24" i="11"/>
  <c r="I14" i="11"/>
  <c r="I15" i="11"/>
  <c r="I16" i="11"/>
  <c r="I13" i="11"/>
  <c r="F110" i="4"/>
  <c r="F9" i="13" s="1"/>
  <c r="F132" i="4"/>
  <c r="D80" i="4"/>
  <c r="D41" i="14" s="1"/>
  <c r="F125" i="4"/>
  <c r="F19" i="4"/>
  <c r="F37" i="14" s="1"/>
  <c r="F92" i="4"/>
  <c r="F17" i="4"/>
  <c r="B81" i="4"/>
  <c r="B40" i="14" s="1"/>
  <c r="B39" i="14"/>
  <c r="B38" i="14"/>
  <c r="B131" i="4"/>
  <c r="B130" i="4"/>
  <c r="B109" i="4"/>
  <c r="B8" i="13" s="1"/>
  <c r="G26" i="17"/>
  <c r="G25" i="17" s="1"/>
  <c r="G30" i="17" s="1"/>
  <c r="F25" i="17"/>
  <c r="B29" i="17"/>
  <c r="B28" i="17" s="1"/>
  <c r="F24" i="11"/>
  <c r="B25" i="11"/>
  <c r="B26" i="11" s="1"/>
  <c r="F26" i="11" s="1"/>
  <c r="B27" i="17"/>
  <c r="B25" i="17" s="1"/>
  <c r="C18" i="16"/>
  <c r="B9" i="16"/>
  <c r="H9" i="16" s="1"/>
  <c r="D30" i="14"/>
  <c r="D17" i="4"/>
  <c r="B110" i="4"/>
  <c r="B9" i="13" s="1"/>
  <c r="B132" i="4"/>
  <c r="F39" i="14"/>
  <c r="F38" i="14"/>
  <c r="F131" i="4"/>
  <c r="F130" i="4"/>
  <c r="F109" i="4"/>
  <c r="F8" i="13" s="1"/>
  <c r="C17" i="6"/>
  <c r="B34" i="4"/>
  <c r="B35" i="4" s="1"/>
  <c r="B42" i="4" s="1"/>
  <c r="B98" i="4" s="1"/>
  <c r="G30" i="11"/>
  <c r="C78" i="4"/>
  <c r="D7" i="9"/>
  <c r="D12" i="9" s="1"/>
  <c r="D35" i="7"/>
  <c r="D38" i="7" s="1"/>
  <c r="D11" i="6"/>
  <c r="D28" i="11"/>
  <c r="D27" i="11"/>
  <c r="C34" i="11"/>
  <c r="E26" i="11"/>
  <c r="E28" i="11"/>
  <c r="F81" i="4"/>
  <c r="F40" i="14" s="1"/>
  <c r="D81" i="4"/>
  <c r="D40" i="14" s="1"/>
  <c r="J9" i="18"/>
  <c r="G25" i="16"/>
  <c r="J10" i="18" s="1"/>
  <c r="G31" i="6"/>
  <c r="H15" i="8"/>
  <c r="H18" i="8" s="1"/>
  <c r="G15" i="6"/>
  <c r="G10" i="17"/>
  <c r="E78" i="4"/>
  <c r="G15" i="8"/>
  <c r="G18" i="8" s="1"/>
  <c r="F31" i="6"/>
  <c r="F15" i="6"/>
  <c r="F10" i="17"/>
  <c r="E110" i="4" l="1"/>
  <c r="E9" i="13" s="1"/>
  <c r="C10" i="18"/>
  <c r="G24" i="6"/>
  <c r="G15" i="16" s="1"/>
  <c r="C27" i="17"/>
  <c r="C25" i="17" s="1"/>
  <c r="D18" i="16"/>
  <c r="E34" i="11"/>
  <c r="D129" i="4"/>
  <c r="D94" i="4"/>
  <c r="D39" i="4"/>
  <c r="E17" i="6"/>
  <c r="D34" i="4"/>
  <c r="D35" i="4"/>
  <c r="D42" i="4" s="1"/>
  <c r="D98" i="4" s="1"/>
  <c r="G26" i="11"/>
  <c r="F20" i="4"/>
  <c r="F36" i="14" s="1"/>
  <c r="H52" i="14" s="1"/>
  <c r="C8" i="10"/>
  <c r="G22" i="8"/>
  <c r="G23" i="8" s="1"/>
  <c r="F26" i="9" s="1"/>
  <c r="H22" i="8"/>
  <c r="H23" i="8" s="1"/>
  <c r="G26" i="9" s="1"/>
  <c r="D10" i="17"/>
  <c r="D15" i="6"/>
  <c r="C110" i="4"/>
  <c r="C9" i="13" s="1"/>
  <c r="C80" i="4"/>
  <c r="C41" i="14" s="1"/>
  <c r="C20" i="6"/>
  <c r="C18" i="6"/>
  <c r="C17" i="14" s="1"/>
  <c r="D17" i="14" s="1"/>
  <c r="G9" i="13"/>
  <c r="B30" i="17"/>
  <c r="C81" i="4"/>
  <c r="C40" i="14" s="1"/>
  <c r="F39" i="4"/>
  <c r="F129" i="4"/>
  <c r="F94" i="4"/>
  <c r="F128" i="4"/>
  <c r="F133" i="4"/>
  <c r="C13" i="9"/>
  <c r="B97" i="4"/>
  <c r="B41" i="4"/>
  <c r="E32" i="6"/>
  <c r="E15" i="9" s="1"/>
  <c r="E17" i="9" s="1"/>
  <c r="D132" i="4"/>
  <c r="C17" i="4"/>
  <c r="C19" i="4"/>
  <c r="C37" i="14" s="1"/>
  <c r="C92" i="4"/>
  <c r="G28" i="11"/>
  <c r="I9" i="18"/>
  <c r="F9" i="15"/>
  <c r="D41" i="11"/>
  <c r="E41" i="11" s="1"/>
  <c r="E10" i="13" s="1"/>
  <c r="E42" i="14" s="1"/>
  <c r="B133" i="4"/>
  <c r="G8" i="13"/>
  <c r="I21" i="11"/>
  <c r="I6" i="18"/>
  <c r="C9" i="15"/>
  <c r="H24" i="11"/>
  <c r="G34" i="11"/>
  <c r="D38" i="11"/>
  <c r="C11" i="6"/>
  <c r="E15" i="8" s="1"/>
  <c r="E18" i="8" s="1"/>
  <c r="C7" i="9"/>
  <c r="C12" i="9" s="1"/>
  <c r="C35" i="7"/>
  <c r="C38" i="7" s="1"/>
  <c r="C39" i="7" s="1"/>
  <c r="C33" i="6" s="1"/>
  <c r="C16" i="9" s="1"/>
  <c r="E189" i="5"/>
  <c r="E190" i="5" s="1"/>
  <c r="B16" i="4" s="1"/>
  <c r="F32" i="6"/>
  <c r="F15" i="9" s="1"/>
  <c r="F35" i="7"/>
  <c r="F38" i="7" s="1"/>
  <c r="F39" i="7" s="1"/>
  <c r="F33" i="6" s="1"/>
  <c r="F16" i="9" s="1"/>
  <c r="E81" i="4"/>
  <c r="E40" i="14" s="1"/>
  <c r="F15" i="8"/>
  <c r="F18" i="8" s="1"/>
  <c r="E31" i="6"/>
  <c r="E15" i="6"/>
  <c r="E10" i="17"/>
  <c r="D19" i="4"/>
  <c r="D37" i="14" s="1"/>
  <c r="D27" i="17"/>
  <c r="D25" i="17" s="1"/>
  <c r="E18" i="16"/>
  <c r="H18" i="16" s="1"/>
  <c r="C29" i="17"/>
  <c r="C28" i="17" s="1"/>
  <c r="B27" i="11"/>
  <c r="B28" i="11" s="1"/>
  <c r="F28" i="11"/>
  <c r="E80" i="4"/>
  <c r="E41" i="14" s="1"/>
  <c r="D17" i="6"/>
  <c r="C34" i="4"/>
  <c r="C35" i="4"/>
  <c r="C42" i="4" s="1"/>
  <c r="C98" i="4" s="1"/>
  <c r="G32" i="6"/>
  <c r="G15" i="9" s="1"/>
  <c r="G35" i="7"/>
  <c r="G38" i="7" s="1"/>
  <c r="G39" i="7" s="1"/>
  <c r="G33" i="6" s="1"/>
  <c r="G16" i="9" s="1"/>
  <c r="E128" i="4"/>
  <c r="E39" i="4"/>
  <c r="E94" i="4"/>
  <c r="E129" i="4"/>
  <c r="F28" i="4"/>
  <c r="E28" i="4"/>
  <c r="D133" i="4"/>
  <c r="F18" i="16"/>
  <c r="E27" i="17"/>
  <c r="E25" i="17" s="1"/>
  <c r="E39" i="7"/>
  <c r="E33" i="6" s="1"/>
  <c r="E16" i="9" s="1"/>
  <c r="E20" i="4"/>
  <c r="E36" i="14" s="1"/>
  <c r="C6" i="10" l="1"/>
  <c r="E25" i="8"/>
  <c r="E22" i="8"/>
  <c r="E23" i="8" s="1"/>
  <c r="D26" i="9" s="1"/>
  <c r="E6" i="15"/>
  <c r="E10" i="15" s="1"/>
  <c r="E12" i="15" s="1"/>
  <c r="E14" i="15" s="1"/>
  <c r="E21" i="9"/>
  <c r="E23" i="9" s="1"/>
  <c r="D18" i="6"/>
  <c r="E20" i="6" s="1"/>
  <c r="I34" i="11"/>
  <c r="J21" i="11"/>
  <c r="D39" i="7"/>
  <c r="D33" i="6" s="1"/>
  <c r="D16" i="9" s="1"/>
  <c r="D17" i="9" s="1"/>
  <c r="J143" i="4"/>
  <c r="J142" i="4"/>
  <c r="K142" i="4" s="1"/>
  <c r="D31" i="6"/>
  <c r="F17" i="15"/>
  <c r="F28" i="9"/>
  <c r="J8" i="10" s="1"/>
  <c r="D8" i="10"/>
  <c r="D128" i="4"/>
  <c r="B29" i="18"/>
  <c r="C29" i="18" s="1"/>
  <c r="C7" i="10"/>
  <c r="F22" i="8"/>
  <c r="F23" i="8" s="1"/>
  <c r="E26" i="9" s="1"/>
  <c r="B19" i="4"/>
  <c r="B37" i="14" s="1"/>
  <c r="G17" i="9"/>
  <c r="B17" i="4"/>
  <c r="C17" i="9"/>
  <c r="I8" i="18"/>
  <c r="E9" i="15"/>
  <c r="D40" i="11"/>
  <c r="H28" i="11"/>
  <c r="C94" i="4"/>
  <c r="C128" i="4"/>
  <c r="C39" i="4"/>
  <c r="C20" i="4"/>
  <c r="C36" i="14" s="1"/>
  <c r="C133" i="4"/>
  <c r="G25" i="8"/>
  <c r="F34" i="6"/>
  <c r="C30" i="17"/>
  <c r="F17" i="6"/>
  <c r="E34" i="4"/>
  <c r="E35" i="4" s="1"/>
  <c r="E42" i="4" s="1"/>
  <c r="E24" i="6"/>
  <c r="E15" i="16" s="1"/>
  <c r="B92" i="4"/>
  <c r="C31" i="6"/>
  <c r="C34" i="6" s="1"/>
  <c r="C21" i="14" s="1"/>
  <c r="C17" i="15" s="1"/>
  <c r="B11" i="6"/>
  <c r="D15" i="8"/>
  <c r="D18" i="8" s="1"/>
  <c r="C15" i="6"/>
  <c r="C10" i="17"/>
  <c r="C14" i="14"/>
  <c r="C15" i="14" s="1"/>
  <c r="G34" i="6"/>
  <c r="I143" i="4"/>
  <c r="K143" i="4" s="1"/>
  <c r="F134" i="4"/>
  <c r="F43" i="14" s="1"/>
  <c r="G17" i="15"/>
  <c r="D9" i="10"/>
  <c r="G28" i="9"/>
  <c r="J9" i="10" s="1"/>
  <c r="F24" i="6"/>
  <c r="F15" i="16" s="1"/>
  <c r="I7" i="18"/>
  <c r="H26" i="11"/>
  <c r="D39" i="11"/>
  <c r="D9" i="15"/>
  <c r="E18" i="6"/>
  <c r="D134" i="4"/>
  <c r="D43" i="14" s="1"/>
  <c r="E133" i="4"/>
  <c r="E134" i="4" s="1"/>
  <c r="G17" i="6"/>
  <c r="F34" i="4"/>
  <c r="D29" i="17"/>
  <c r="D28" i="17" s="1"/>
  <c r="B29" i="11"/>
  <c r="B30" i="11" s="1"/>
  <c r="D30" i="17"/>
  <c r="E34" i="6"/>
  <c r="F17" i="9"/>
  <c r="B20" i="4"/>
  <c r="B36" i="14" s="1"/>
  <c r="B52" i="14" s="1"/>
  <c r="D43" i="11"/>
  <c r="C132" i="4"/>
  <c r="H25" i="8"/>
  <c r="D46" i="4"/>
  <c r="D43" i="4"/>
  <c r="D47" i="4" s="1"/>
  <c r="E132" i="4"/>
  <c r="E43" i="14" l="1"/>
  <c r="E44" i="14" s="1"/>
  <c r="E135" i="4"/>
  <c r="E98" i="4"/>
  <c r="E43" i="4"/>
  <c r="F6" i="15"/>
  <c r="F10" i="15" s="1"/>
  <c r="F12" i="15" s="1"/>
  <c r="F14" i="15" s="1"/>
  <c r="F21" i="9"/>
  <c r="F23" i="9" s="1"/>
  <c r="F30" i="9" s="1"/>
  <c r="F35" i="4"/>
  <c r="F42" i="4" s="1"/>
  <c r="C5" i="10"/>
  <c r="D22" i="8"/>
  <c r="D23" i="8" s="1"/>
  <c r="C26" i="9" s="1"/>
  <c r="D5" i="10" s="1"/>
  <c r="F20" i="6"/>
  <c r="F18" i="6"/>
  <c r="C43" i="4"/>
  <c r="C47" i="4"/>
  <c r="C46" i="4"/>
  <c r="C21" i="9"/>
  <c r="C23" i="9" s="1"/>
  <c r="C6" i="15"/>
  <c r="C10" i="15" s="1"/>
  <c r="C12" i="15" s="1"/>
  <c r="C14" i="15" s="1"/>
  <c r="E17" i="15"/>
  <c r="D7" i="10"/>
  <c r="E28" i="9"/>
  <c r="J7" i="10" s="1"/>
  <c r="F135" i="4"/>
  <c r="I5" i="18"/>
  <c r="C39" i="11"/>
  <c r="C40" i="11"/>
  <c r="C38" i="11"/>
  <c r="B7" i="14"/>
  <c r="D25" i="16"/>
  <c r="C25" i="16"/>
  <c r="D20" i="6"/>
  <c r="D17" i="15"/>
  <c r="D6" i="10"/>
  <c r="E29" i="17"/>
  <c r="E28" i="17" s="1"/>
  <c r="E30" i="17" s="1"/>
  <c r="B31" i="11"/>
  <c r="B32" i="11" s="1"/>
  <c r="F29" i="17" s="1"/>
  <c r="F28" i="17" s="1"/>
  <c r="F30" i="17" s="1"/>
  <c r="F32" i="11"/>
  <c r="H32" i="11" s="1"/>
  <c r="C9" i="18"/>
  <c r="C129" i="4"/>
  <c r="C134" i="4" s="1"/>
  <c r="C43" i="14" s="1"/>
  <c r="D6" i="15"/>
  <c r="D10" i="15" s="1"/>
  <c r="D12" i="15" s="1"/>
  <c r="D14" i="15" s="1"/>
  <c r="D21" i="9"/>
  <c r="D23" i="9" s="1"/>
  <c r="F30" i="11"/>
  <c r="H30" i="11" s="1"/>
  <c r="G18" i="6"/>
  <c r="G20" i="6" s="1"/>
  <c r="E46" i="4"/>
  <c r="D24" i="6"/>
  <c r="D15" i="16" s="1"/>
  <c r="C22" i="14"/>
  <c r="C15" i="8"/>
  <c r="B31" i="6"/>
  <c r="B34" i="6" s="1"/>
  <c r="B21" i="14" s="1"/>
  <c r="D21" i="14" s="1"/>
  <c r="B14" i="14"/>
  <c r="B10" i="17"/>
  <c r="B15" i="6"/>
  <c r="B22" i="6" s="1"/>
  <c r="C8" i="18"/>
  <c r="C135" i="4"/>
  <c r="B39" i="4"/>
  <c r="B129" i="4"/>
  <c r="B94" i="4"/>
  <c r="B128" i="4"/>
  <c r="F25" i="8"/>
  <c r="D135" i="4"/>
  <c r="F21" i="16"/>
  <c r="D9" i="18" s="1"/>
  <c r="G21" i="16"/>
  <c r="D10" i="18" s="1"/>
  <c r="D100" i="4"/>
  <c r="D44" i="4"/>
  <c r="D102" i="4" s="1"/>
  <c r="D200" i="5" s="1"/>
  <c r="C21" i="16"/>
  <c r="D6" i="18" s="1"/>
  <c r="G21" i="9"/>
  <c r="G23" i="9" s="1"/>
  <c r="G30" i="9" s="1"/>
  <c r="G6" i="15"/>
  <c r="G10" i="15" s="1"/>
  <c r="G12" i="15" s="1"/>
  <c r="G14" i="15" s="1"/>
  <c r="D34" i="6"/>
  <c r="E30" i="9"/>
  <c r="B43" i="4" l="1"/>
  <c r="B47" i="4"/>
  <c r="B46" i="4"/>
  <c r="B25" i="6"/>
  <c r="B36" i="6" s="1"/>
  <c r="B24" i="6"/>
  <c r="B15" i="16" s="1"/>
  <c r="I15" i="8"/>
  <c r="C18" i="8"/>
  <c r="C24" i="6"/>
  <c r="C15" i="16" s="1"/>
  <c r="D21" i="16"/>
  <c r="D7" i="18" s="1"/>
  <c r="B14" i="17"/>
  <c r="B17" i="17" s="1"/>
  <c r="D7" i="14"/>
  <c r="B8" i="14"/>
  <c r="I12" i="18"/>
  <c r="E21" i="16"/>
  <c r="D8" i="18" s="1"/>
  <c r="E201" i="5"/>
  <c r="C143" i="4"/>
  <c r="C142" i="4"/>
  <c r="D142" i="4" s="1"/>
  <c r="E38" i="11"/>
  <c r="C43" i="11"/>
  <c r="C16" i="17"/>
  <c r="C18" i="14"/>
  <c r="C100" i="4"/>
  <c r="C44" i="4"/>
  <c r="C102" i="4" s="1"/>
  <c r="C200" i="5" s="1"/>
  <c r="D25" i="8"/>
  <c r="F98" i="4"/>
  <c r="F43" i="4"/>
  <c r="E100" i="4"/>
  <c r="E44" i="4"/>
  <c r="E102" i="4" s="1"/>
  <c r="E200" i="5" s="1"/>
  <c r="E47" i="4"/>
  <c r="D14" i="14"/>
  <c r="B15" i="14"/>
  <c r="J6" i="18"/>
  <c r="E40" i="11"/>
  <c r="D10" i="13" s="1"/>
  <c r="D42" i="14" s="1"/>
  <c r="D44" i="14" s="1"/>
  <c r="E16" i="17"/>
  <c r="B143" i="4"/>
  <c r="D143" i="4" s="1"/>
  <c r="B134" i="4"/>
  <c r="B43" i="14" s="1"/>
  <c r="C7" i="18"/>
  <c r="J7" i="18"/>
  <c r="E25" i="16"/>
  <c r="J8" i="18" s="1"/>
  <c r="E39" i="11"/>
  <c r="C10" i="13" s="1"/>
  <c r="C42" i="14" s="1"/>
  <c r="C44" i="14" s="1"/>
  <c r="D16" i="17"/>
  <c r="F44" i="4" l="1"/>
  <c r="F102" i="4" s="1"/>
  <c r="F200" i="5" s="1"/>
  <c r="F100" i="4"/>
  <c r="F46" i="4"/>
  <c r="F47" i="4"/>
  <c r="C14" i="17"/>
  <c r="C17" i="17" s="1"/>
  <c r="C22" i="8"/>
  <c r="B6" i="11"/>
  <c r="I18" i="8"/>
  <c r="C9" i="10" s="1"/>
  <c r="C4" i="10"/>
  <c r="J12" i="18"/>
  <c r="B10" i="13"/>
  <c r="E43" i="11"/>
  <c r="H25" i="16"/>
  <c r="B20" i="14"/>
  <c r="D15" i="14"/>
  <c r="B22" i="14"/>
  <c r="D22" i="14" s="1"/>
  <c r="E202" i="5"/>
  <c r="E105" i="4" s="1"/>
  <c r="E107" i="4" s="1"/>
  <c r="F201" i="5"/>
  <c r="D18" i="14"/>
  <c r="B14" i="16"/>
  <c r="B9" i="14"/>
  <c r="B10" i="14"/>
  <c r="D8" i="14"/>
  <c r="C5" i="18"/>
  <c r="C12" i="18" s="1"/>
  <c r="L27" i="18" s="1"/>
  <c r="H15" i="16"/>
  <c r="B44" i="4"/>
  <c r="B102" i="4" s="1"/>
  <c r="B200" i="5" s="1"/>
  <c r="B100" i="4"/>
  <c r="D201" i="5"/>
  <c r="D202" i="5" s="1"/>
  <c r="D105" i="4" s="1"/>
  <c r="D107" i="4" s="1"/>
  <c r="B135" i="4"/>
  <c r="C6" i="18"/>
  <c r="E5" i="13" l="1"/>
  <c r="E112" i="4"/>
  <c r="I22" i="8"/>
  <c r="C23" i="8"/>
  <c r="D5" i="13"/>
  <c r="D112" i="4"/>
  <c r="B25" i="14"/>
  <c r="D10" i="14"/>
  <c r="C11" i="10"/>
  <c r="M20" i="10" s="1"/>
  <c r="D14" i="17"/>
  <c r="D17" i="17" s="1"/>
  <c r="B5" i="18"/>
  <c r="H14" i="16"/>
  <c r="C201" i="5"/>
  <c r="C202" i="5" s="1"/>
  <c r="C105" i="4" s="1"/>
  <c r="C107" i="4" s="1"/>
  <c r="B202" i="5"/>
  <c r="B105" i="4" s="1"/>
  <c r="B107" i="4" s="1"/>
  <c r="D9" i="14"/>
  <c r="B17" i="15"/>
  <c r="B23" i="14"/>
  <c r="B42" i="14"/>
  <c r="G10" i="13"/>
  <c r="F6" i="11"/>
  <c r="F202" i="5"/>
  <c r="F105" i="4" s="1"/>
  <c r="F107" i="4" s="1"/>
  <c r="B5" i="13" l="1"/>
  <c r="B112" i="4"/>
  <c r="F5" i="13"/>
  <c r="F112" i="4"/>
  <c r="F42" i="14"/>
  <c r="C52" i="14"/>
  <c r="D52" i="14" s="1"/>
  <c r="C51" i="14"/>
  <c r="D51" i="14" s="1"/>
  <c r="B44" i="14"/>
  <c r="B12" i="18"/>
  <c r="L25" i="18" s="1"/>
  <c r="E14" i="17"/>
  <c r="E17" i="17" s="1"/>
  <c r="D12" i="17"/>
  <c r="D25" i="14"/>
  <c r="D114" i="4"/>
  <c r="D116" i="4"/>
  <c r="B26" i="14"/>
  <c r="C5" i="13"/>
  <c r="C112" i="4"/>
  <c r="E16" i="16"/>
  <c r="D6" i="13"/>
  <c r="D11" i="13" s="1"/>
  <c r="E114" i="4"/>
  <c r="E116" i="4"/>
  <c r="B21" i="16"/>
  <c r="B18" i="15"/>
  <c r="B19" i="15"/>
  <c r="B26" i="9"/>
  <c r="I23" i="8"/>
  <c r="B7" i="11"/>
  <c r="C25" i="8"/>
  <c r="I25" i="8" s="1"/>
  <c r="F16" i="16"/>
  <c r="E6" i="13"/>
  <c r="E11" i="13" s="1"/>
  <c r="D16" i="16" l="1"/>
  <c r="C6" i="13"/>
  <c r="C11" i="13" s="1"/>
  <c r="C16" i="15"/>
  <c r="H8" i="18"/>
  <c r="F114" i="4"/>
  <c r="F116" i="4"/>
  <c r="F7" i="11"/>
  <c r="B8" i="11"/>
  <c r="B27" i="14"/>
  <c r="I51" i="14"/>
  <c r="J51" i="14" s="1"/>
  <c r="I52" i="14"/>
  <c r="J52" i="14" s="1"/>
  <c r="F44" i="14"/>
  <c r="G16" i="16"/>
  <c r="F6" i="13"/>
  <c r="F11" i="13" s="1"/>
  <c r="B21" i="15"/>
  <c r="B11" i="16"/>
  <c r="H9" i="18"/>
  <c r="D5" i="18"/>
  <c r="H21" i="16"/>
  <c r="B13" i="16"/>
  <c r="D4" i="10"/>
  <c r="B27" i="9"/>
  <c r="C25" i="9" s="1"/>
  <c r="H8" i="10"/>
  <c r="E118" i="4"/>
  <c r="E117" i="4"/>
  <c r="C114" i="4"/>
  <c r="C116" i="4"/>
  <c r="H7" i="10"/>
  <c r="D117" i="4"/>
  <c r="D118" i="4"/>
  <c r="B114" i="4"/>
  <c r="B116" i="4"/>
  <c r="E12" i="17"/>
  <c r="F14" i="17"/>
  <c r="F17" i="17" s="1"/>
  <c r="C16" i="16"/>
  <c r="G5" i="13"/>
  <c r="B6" i="13"/>
  <c r="E12" i="13" l="1"/>
  <c r="E8" i="10"/>
  <c r="H10" i="18"/>
  <c r="C5" i="11"/>
  <c r="C6" i="11"/>
  <c r="C19" i="15"/>
  <c r="C18" i="15"/>
  <c r="D16" i="15" s="1"/>
  <c r="H5" i="10"/>
  <c r="B118" i="4"/>
  <c r="B120" i="4" s="1"/>
  <c r="B117" i="4"/>
  <c r="C27" i="9"/>
  <c r="D25" i="9" s="1"/>
  <c r="D28" i="9" s="1"/>
  <c r="C28" i="9"/>
  <c r="H16" i="16"/>
  <c r="K7" i="10"/>
  <c r="D11" i="10"/>
  <c r="G4" i="10"/>
  <c r="B31" i="14"/>
  <c r="C7" i="11"/>
  <c r="G7" i="11" s="1"/>
  <c r="F12" i="17"/>
  <c r="G14" i="17"/>
  <c r="G17" i="17" s="1"/>
  <c r="G12" i="17" s="1"/>
  <c r="H6" i="10"/>
  <c r="C118" i="4"/>
  <c r="C117" i="4"/>
  <c r="E120" i="4"/>
  <c r="B28" i="9"/>
  <c r="B30" i="9" s="1"/>
  <c r="D12" i="18"/>
  <c r="G5" i="18"/>
  <c r="K5" i="18"/>
  <c r="F8" i="11"/>
  <c r="H7" i="18"/>
  <c r="D12" i="13"/>
  <c r="E7" i="10"/>
  <c r="F7" i="10" s="1"/>
  <c r="B11" i="13"/>
  <c r="G6" i="13"/>
  <c r="D120" i="4"/>
  <c r="K8" i="10"/>
  <c r="F8" i="10"/>
  <c r="F120" i="4"/>
  <c r="H9" i="10"/>
  <c r="F118" i="4"/>
  <c r="F117" i="4"/>
  <c r="B124" i="4" l="1"/>
  <c r="B126" i="4" s="1"/>
  <c r="B121" i="4"/>
  <c r="C19" i="6" s="1"/>
  <c r="C22" i="6" s="1"/>
  <c r="C25" i="6" s="1"/>
  <c r="C36" i="6" s="1"/>
  <c r="F124" i="4"/>
  <c r="F126" i="4" s="1"/>
  <c r="F121" i="4"/>
  <c r="G19" i="6" s="1"/>
  <c r="G22" i="6" s="1"/>
  <c r="C12" i="13"/>
  <c r="E6" i="10"/>
  <c r="B11" i="17"/>
  <c r="C11" i="16"/>
  <c r="C21" i="15"/>
  <c r="B23" i="17"/>
  <c r="B12" i="17" s="1"/>
  <c r="H6" i="18"/>
  <c r="G11" i="13"/>
  <c r="J5" i="10"/>
  <c r="C30" i="9"/>
  <c r="E6" i="11"/>
  <c r="G6" i="11"/>
  <c r="G7" i="10"/>
  <c r="E121" i="4"/>
  <c r="F19" i="6" s="1"/>
  <c r="F22" i="6" s="1"/>
  <c r="F25" i="6" s="1"/>
  <c r="F36" i="6" s="1"/>
  <c r="E124" i="4"/>
  <c r="E126" i="4" s="1"/>
  <c r="L7" i="10"/>
  <c r="H11" i="10"/>
  <c r="G8" i="10"/>
  <c r="L8" i="10" s="1"/>
  <c r="F12" i="13"/>
  <c r="E9" i="10"/>
  <c r="F9" i="10" s="1"/>
  <c r="L5" i="18"/>
  <c r="F6" i="10"/>
  <c r="J6" i="10"/>
  <c r="K6" i="10" s="1"/>
  <c r="D30" i="9"/>
  <c r="C8" i="11"/>
  <c r="E5" i="11"/>
  <c r="E8" i="11" s="1"/>
  <c r="G5" i="11"/>
  <c r="G8" i="11" s="1"/>
  <c r="K9" i="10"/>
  <c r="D124" i="4"/>
  <c r="D126" i="4" s="1"/>
  <c r="D121" i="4"/>
  <c r="E19" i="6" s="1"/>
  <c r="E22" i="6" s="1"/>
  <c r="E19" i="16"/>
  <c r="E8" i="18" s="1"/>
  <c r="D13" i="13"/>
  <c r="E17" i="16" s="1"/>
  <c r="C120" i="4"/>
  <c r="B32" i="17"/>
  <c r="B31" i="17" s="1"/>
  <c r="B35" i="17" s="1"/>
  <c r="B7" i="16"/>
  <c r="B32" i="14"/>
  <c r="L4" i="10"/>
  <c r="B12" i="13"/>
  <c r="E5" i="10"/>
  <c r="D18" i="15"/>
  <c r="F19" i="16"/>
  <c r="E9" i="18" s="1"/>
  <c r="E14" i="13"/>
  <c r="F33" i="17" s="1"/>
  <c r="E13" i="13"/>
  <c r="F17" i="16" s="1"/>
  <c r="J11" i="10" l="1"/>
  <c r="M19" i="10" s="1"/>
  <c r="E11" i="10"/>
  <c r="M4" i="10"/>
  <c r="H12" i="18"/>
  <c r="G25" i="6"/>
  <c r="G36" i="6" s="1"/>
  <c r="E16" i="15"/>
  <c r="C23" i="17"/>
  <c r="C12" i="17" s="1"/>
  <c r="F8" i="18"/>
  <c r="G8" i="18" s="1"/>
  <c r="E13" i="16"/>
  <c r="F9" i="18"/>
  <c r="F13" i="16"/>
  <c r="D19" i="15"/>
  <c r="D14" i="13"/>
  <c r="E33" i="17" s="1"/>
  <c r="L6" i="10"/>
  <c r="G6" i="10"/>
  <c r="C124" i="4"/>
  <c r="C126" i="4" s="1"/>
  <c r="C121" i="4"/>
  <c r="D19" i="6" s="1"/>
  <c r="D22" i="6" s="1"/>
  <c r="D25" i="6" s="1"/>
  <c r="D36" i="6" s="1"/>
  <c r="M5" i="18"/>
  <c r="G9" i="10"/>
  <c r="L9" i="10" s="1"/>
  <c r="F5" i="10"/>
  <c r="F11" i="10" s="1"/>
  <c r="D19" i="16"/>
  <c r="E7" i="18" s="1"/>
  <c r="C13" i="13"/>
  <c r="D17" i="16" s="1"/>
  <c r="G9" i="18"/>
  <c r="C19" i="16"/>
  <c r="G12" i="13"/>
  <c r="B24" i="18"/>
  <c r="B5" i="16"/>
  <c r="B24" i="16" s="1"/>
  <c r="E25" i="6"/>
  <c r="E36" i="6" s="1"/>
  <c r="G19" i="16"/>
  <c r="E10" i="18" s="1"/>
  <c r="F13" i="13"/>
  <c r="G17" i="16" s="1"/>
  <c r="K5" i="10"/>
  <c r="B13" i="13"/>
  <c r="K6" i="18"/>
  <c r="F10" i="18" l="1"/>
  <c r="G13" i="16"/>
  <c r="K11" i="10"/>
  <c r="B27" i="16"/>
  <c r="H19" i="16"/>
  <c r="E6" i="18"/>
  <c r="F7" i="18"/>
  <c r="D13" i="16"/>
  <c r="C11" i="17"/>
  <c r="D11" i="16"/>
  <c r="D21" i="15"/>
  <c r="G5" i="10"/>
  <c r="G11" i="10" s="1"/>
  <c r="F14" i="13"/>
  <c r="G33" i="17" s="1"/>
  <c r="C14" i="13"/>
  <c r="D33" i="17" s="1"/>
  <c r="L6" i="18"/>
  <c r="C17" i="16"/>
  <c r="G13" i="13"/>
  <c r="B14" i="13"/>
  <c r="G10" i="18"/>
  <c r="C24" i="18"/>
  <c r="G7" i="18"/>
  <c r="N5" i="18"/>
  <c r="E18" i="15"/>
  <c r="F16" i="15" s="1"/>
  <c r="E19" i="15" l="1"/>
  <c r="F18" i="15"/>
  <c r="G16" i="15" s="1"/>
  <c r="G24" i="18"/>
  <c r="H17" i="16"/>
  <c r="F6" i="18"/>
  <c r="F12" i="18" s="1"/>
  <c r="C13" i="16"/>
  <c r="H13" i="16" s="1"/>
  <c r="B8" i="17"/>
  <c r="B5" i="17" s="1"/>
  <c r="B24" i="17" s="1"/>
  <c r="B38" i="17" s="1"/>
  <c r="C6" i="16"/>
  <c r="D11" i="17"/>
  <c r="E11" i="16"/>
  <c r="K8" i="18" s="1"/>
  <c r="L8" i="18" s="1"/>
  <c r="M8" i="18" s="1"/>
  <c r="E21" i="15"/>
  <c r="K7" i="18"/>
  <c r="E12" i="18"/>
  <c r="G6" i="18"/>
  <c r="G12" i="18" s="1"/>
  <c r="C33" i="17"/>
  <c r="D34" i="17" s="1"/>
  <c r="E34" i="17" s="1"/>
  <c r="F34" i="17" s="1"/>
  <c r="G34" i="17" s="1"/>
  <c r="G14" i="13"/>
  <c r="C19" i="14"/>
  <c r="J34" i="18"/>
  <c r="L5" i="10"/>
  <c r="F19" i="15" l="1"/>
  <c r="L11" i="10"/>
  <c r="D15" i="10"/>
  <c r="M5" i="10"/>
  <c r="M6" i="10" s="1"/>
  <c r="M7" i="10" s="1"/>
  <c r="D19" i="14"/>
  <c r="C20" i="14"/>
  <c r="M6" i="18"/>
  <c r="G18" i="15"/>
  <c r="G19" i="15" s="1"/>
  <c r="E11" i="17"/>
  <c r="F11" i="16"/>
  <c r="F21" i="15"/>
  <c r="L7" i="18"/>
  <c r="H24" i="18"/>
  <c r="F11" i="17" l="1"/>
  <c r="G11" i="16"/>
  <c r="K10" i="18" s="1"/>
  <c r="L10" i="18" s="1"/>
  <c r="M10" i="18" s="1"/>
  <c r="G21" i="15"/>
  <c r="D14" i="10"/>
  <c r="M8" i="10"/>
  <c r="M9" i="10" s="1"/>
  <c r="D13" i="10" s="1"/>
  <c r="K9" i="18"/>
  <c r="C23" i="14"/>
  <c r="D20" i="14"/>
  <c r="M21" i="10"/>
  <c r="N6" i="18"/>
  <c r="M7" i="18"/>
  <c r="N7" i="18" l="1"/>
  <c r="N8" i="18" s="1"/>
  <c r="C26" i="14"/>
  <c r="D23" i="14"/>
  <c r="L9" i="18"/>
  <c r="K12" i="18"/>
  <c r="L26" i="18" s="1"/>
  <c r="H11" i="16"/>
  <c r="C27" i="14" l="1"/>
  <c r="D26" i="14"/>
  <c r="M9" i="18"/>
  <c r="L12" i="18"/>
  <c r="N9" i="18" l="1"/>
  <c r="N10" i="18" s="1"/>
  <c r="D16" i="18"/>
  <c r="M12" i="18"/>
  <c r="D15" i="18"/>
  <c r="C31" i="14"/>
  <c r="D27" i="14"/>
  <c r="D14" i="18" l="1"/>
  <c r="L28" i="18"/>
  <c r="C7" i="16"/>
  <c r="C32" i="14"/>
  <c r="D32" i="14" s="1"/>
  <c r="D31" i="14"/>
  <c r="B25" i="18" l="1"/>
  <c r="H7" i="16"/>
  <c r="C5" i="16"/>
  <c r="C24" i="16" s="1"/>
  <c r="E29" i="14"/>
  <c r="E30" i="14"/>
  <c r="F32" i="17"/>
  <c r="F31" i="17" s="1"/>
  <c r="F35" i="17" s="1"/>
  <c r="C32" i="17"/>
  <c r="C31" i="17" s="1"/>
  <c r="C35" i="17" s="1"/>
  <c r="G32" i="17"/>
  <c r="G31" i="17" s="1"/>
  <c r="G35" i="17" s="1"/>
  <c r="E32" i="17"/>
  <c r="E31" i="17" s="1"/>
  <c r="E35" i="17" s="1"/>
  <c r="D32" i="17"/>
  <c r="D31" i="17" s="1"/>
  <c r="D35" i="17" s="1"/>
  <c r="E31" i="14"/>
  <c r="C27" i="16" l="1"/>
  <c r="C25" i="18"/>
  <c r="C31" i="18" s="1"/>
  <c r="B31" i="18"/>
  <c r="C28" i="16" l="1"/>
  <c r="C8" i="17"/>
  <c r="C5" i="17" s="1"/>
  <c r="C24" i="17" s="1"/>
  <c r="D6" i="16"/>
  <c r="D5" i="16" s="1"/>
  <c r="D24" i="16" s="1"/>
  <c r="D27" i="16" l="1"/>
  <c r="C38" i="17"/>
  <c r="E25" i="18"/>
  <c r="F25" i="18" l="1"/>
  <c r="E6" i="16"/>
  <c r="E5" i="16" s="1"/>
  <c r="E24" i="16" s="1"/>
  <c r="D28" i="16"/>
  <c r="D8" i="17"/>
  <c r="D5" i="17" s="1"/>
  <c r="D24" i="17" s="1"/>
  <c r="D38" i="17" s="1"/>
  <c r="E26" i="18" l="1"/>
  <c r="E27" i="16"/>
  <c r="G25" i="18"/>
  <c r="H25" i="18" l="1"/>
  <c r="F6" i="16"/>
  <c r="F5" i="16" s="1"/>
  <c r="F24" i="16" s="1"/>
  <c r="E8" i="17"/>
  <c r="E5" i="17" s="1"/>
  <c r="E24" i="17" s="1"/>
  <c r="E38" i="17" s="1"/>
  <c r="E28" i="16"/>
  <c r="F26" i="18"/>
  <c r="G26" i="18" l="1"/>
  <c r="F27" i="16"/>
  <c r="E27" i="18"/>
  <c r="F8" i="17" l="1"/>
  <c r="F5" i="17" s="1"/>
  <c r="F24" i="17" s="1"/>
  <c r="F38" i="17" s="1"/>
  <c r="F28" i="16"/>
  <c r="G6" i="16"/>
  <c r="G5" i="16" s="1"/>
  <c r="G24" i="16" s="1"/>
  <c r="F27" i="18"/>
  <c r="H26" i="18"/>
  <c r="G27" i="18" l="1"/>
  <c r="G27" i="16"/>
  <c r="H24" i="16"/>
  <c r="E28" i="18"/>
  <c r="F28" i="18" l="1"/>
  <c r="G28" i="18" s="1"/>
  <c r="G28" i="16"/>
  <c r="G8" i="17"/>
  <c r="G5" i="17" s="1"/>
  <c r="G24" i="17" s="1"/>
  <c r="H27" i="16"/>
  <c r="H27" i="18"/>
  <c r="G38" i="17" l="1"/>
  <c r="L36" i="18"/>
  <c r="E29" i="18"/>
  <c r="H28" i="16"/>
  <c r="H28" i="18"/>
  <c r="J31" i="18" l="1"/>
  <c r="F29" i="18"/>
  <c r="E31" i="18"/>
  <c r="G29" i="18" l="1"/>
  <c r="F31" i="18"/>
  <c r="H29" i="18" l="1"/>
  <c r="D36" i="18"/>
  <c r="G31" i="18"/>
  <c r="D35" i="18"/>
  <c r="M34" i="18" l="1"/>
  <c r="D34" i="18"/>
  <c r="M31" i="18"/>
  <c r="L34" i="18"/>
  <c r="L33" i="18"/>
  <c r="L32" i="18"/>
  <c r="L30" i="18"/>
  <c r="L31" i="18"/>
</calcChain>
</file>

<file path=xl/sharedStrings.xml><?xml version="1.0" encoding="utf-8"?>
<sst xmlns="http://schemas.openxmlformats.org/spreadsheetml/2006/main" count="1353" uniqueCount="797">
  <si>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</si>
  <si>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</si>
  <si>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</si>
  <si>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rgb="FFFFFFFF"/>
        <rFont val="Arial"/>
        <family val="2"/>
        <charset val="1"/>
      </rPr>
      <t xml:space="preserve">1. TODAS las celdas que tomen datos de otra parte del archivo deben estar referenciadas con una </t>
    </r>
    <r>
      <rPr>
        <b/>
        <sz val="10"/>
        <color rgb="FFFFFFFF"/>
        <rFont val="Arial"/>
        <family val="2"/>
        <charset val="1"/>
      </rPr>
      <t>FÓRMULA</t>
    </r>
    <r>
      <rPr>
        <sz val="10"/>
        <color rgb="FFFFFFFF"/>
        <rFont val="Arial"/>
        <family val="2"/>
        <charset val="1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</si>
  <si>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</si>
  <si>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</si>
  <si>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</si>
  <si>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</si>
  <si>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</si>
  <si>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rgb="FFFFFFFF"/>
        <rFont val="Arial"/>
        <family val="2"/>
        <charset val="1"/>
      </rPr>
      <t>2. TODOS</t>
    </r>
    <r>
      <rPr>
        <sz val="10"/>
        <color rgb="FFFFFFFF"/>
        <rFont val="Arial"/>
        <family val="2"/>
        <charset val="1"/>
      </rPr>
      <t xml:space="preserve"> los valores que se ingresen al archivo por primera vez deben tener su respectiva referencia o </t>
    </r>
    <r>
      <rPr>
        <b/>
        <sz val="10"/>
        <color rgb="FFFFFFFF"/>
        <rFont val="Arial"/>
        <family val="2"/>
        <charset val="1"/>
      </rPr>
      <t>FUENTE</t>
    </r>
    <r>
      <rPr>
        <sz val="10"/>
        <color rgb="FFFFFFFF"/>
        <rFont val="Arial"/>
        <family val="2"/>
        <charset val="1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</si>
  <si>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</si>
  <si>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</si>
  <si>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</si>
  <si>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rgb="FFFFFFFF"/>
        <rFont val="Arial"/>
        <family val="2"/>
        <charset val="1"/>
      </rPr>
      <t>3.</t>
    </r>
    <r>
      <rPr>
        <sz val="10"/>
        <color rgb="FFFFFFFF"/>
        <rFont val="Arial"/>
        <family val="2"/>
        <charset val="1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</si>
  <si>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</si>
  <si>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rgb="FFFFFFFF"/>
        <rFont val="Arial"/>
        <family val="2"/>
        <charset val="1"/>
      </rPr>
      <t>4.</t>
    </r>
    <r>
      <rPr>
        <sz val="10"/>
        <color rgb="FFFFFFFF"/>
        <rFont val="Arial"/>
        <family val="2"/>
        <charset val="1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</si>
  <si>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</si>
  <si>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</si>
  <si>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rgb="FFFFFFFF"/>
        <rFont val="Arial"/>
        <family val="2"/>
        <charset val="1"/>
      </rPr>
      <t xml:space="preserve">5. </t>
    </r>
    <r>
      <rPr>
        <sz val="10"/>
        <color rgb="FFFFFFFF"/>
        <rFont val="Arial"/>
        <family val="2"/>
        <charset val="1"/>
      </rPr>
      <t>El SET "A", “B” y “C” de verificaciones en la hoja “F-Form” debe estar OK antes de la entrega final</t>
    </r>
  </si>
  <si>
    <t xml:space="preserve">    repuestos iniciales</t>
  </si>
  <si>
    <t>Otros Activos y Cargos Diferidos</t>
  </si>
  <si>
    <t>Imprevistos</t>
  </si>
  <si>
    <t>Nombre del Producto</t>
  </si>
  <si>
    <t>TERMOS GABC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</si>
  <si>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</si>
  <si>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</si>
  <si>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</si>
  <si>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</si>
  <si>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</si>
  <si>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</si>
  <si>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</si>
  <si>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</si>
  <si>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</si>
  <si>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</si>
  <si>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</si>
  <si>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</si>
  <si>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</si>
  <si>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</si>
  <si>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</si>
  <si>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</si>
  <si>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</si>
  <si>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</si>
  <si>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</si>
  <si>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</si>
  <si>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</si>
  <si>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Edificios y obras complementarias</t>
  </si>
  <si>
    <t>% sobre el total del Rubro</t>
  </si>
  <si>
    <t>Dias de Financiación de Proveedores</t>
  </si>
  <si>
    <t>% sobre Compras</t>
  </si>
  <si>
    <t>Tasa de financiación</t>
  </si>
  <si>
    <t>BaseDeDatos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</si>
  <si>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</si>
  <si>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</si>
  <si>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</si>
  <si>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</si>
  <si>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</si>
  <si>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</si>
  <si>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</si>
  <si>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</si>
  <si>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</si>
  <si>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</si>
  <si>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</si>
  <si>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</si>
  <si>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</si>
  <si>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</si>
  <si>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>Transporte y montaje de la maquinaria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</si>
  <si>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</si>
  <si>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</si>
  <si>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</si>
  <si>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</si>
  <si>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</si>
  <si>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</si>
  <si>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</si>
  <si>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</si>
  <si>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</si>
  <si>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</si>
  <si>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</si>
  <si>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</si>
  <si>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</si>
  <si>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</si>
  <si>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</si>
  <si>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</si>
  <si>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</si>
  <si>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</si>
  <si>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</si>
  <si>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</si>
  <si>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</si>
  <si>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</si>
  <si>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</si>
  <si>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</si>
  <si>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</si>
  <si>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</si>
  <si>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</si>
  <si>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</si>
  <si>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REFERENCIAS</t>
  </si>
  <si>
    <t>PRECIO m2 EN DÓLARES</t>
  </si>
  <si>
    <t>https://www.argenprop.com/Propiedades/Detalles/9541073--Terreno-en-Venta-en-Pdo.-de-General-San-Martin</t>
  </si>
  <si>
    <t>https://martinbonari.com/costo-de-la-construccion-en-2018/</t>
  </si>
  <si>
    <t>% DEL EDIFICIO Y OBRAS</t>
  </si>
  <si>
    <t>Está así en la guía</t>
  </si>
  <si>
    <t>Bomba a pistón</t>
  </si>
  <si>
    <t>Euros</t>
  </si>
  <si>
    <t>Euros/peso</t>
  </si>
  <si>
    <t>http://www.hidric.fr/productdisplay/dr-18x3038-72lh-pompe-doseuse-%C3%A0-piston-72-144lh</t>
  </si>
  <si>
    <t>Serigrafiadora</t>
  </si>
  <si>
    <t>Dólares</t>
  </si>
  <si>
    <t>https://www.alibaba.com/product-detail/alibaba-china-dongguan-glass-plastic-bottle_60527410094.html?spm=a2700.7724857.normalList.105.3fd22e80Ryf0qP</t>
  </si>
  <si>
    <t>Quemadores</t>
  </si>
  <si>
    <t>Pesos</t>
  </si>
  <si>
    <t>https://articulo.mercadolibre.com.ar/MLA-614145145-quemador-para-calderas-industriales-_JM</t>
  </si>
  <si>
    <t>Transportadora</t>
  </si>
  <si>
    <t>https://articulo.mercadolibre.com.ar/MLA-742377548-cinta-transportadora-a-rodillos-motorizada-americana-_JM</t>
  </si>
  <si>
    <t>Bomba de vacío</t>
  </si>
  <si>
    <t>https://articulo.mercadolibre.com.ar/MLA-633298014-bomba-vacio-dosivac-dvp-1-alto-vacio-60-lmin-2-etapas-_JM</t>
  </si>
  <si>
    <t>% DE LA MAQ IMPORTADA</t>
  </si>
  <si>
    <t>MONTAJE</t>
  </si>
  <si>
    <t>Nacional</t>
  </si>
  <si>
    <t>% Interno</t>
  </si>
  <si>
    <t>% Externo</t>
  </si>
  <si>
    <t>Importado</t>
  </si>
  <si>
    <t>TRANSPORTE</t>
  </si>
  <si>
    <t>Fletes/maquina (salvo quemadores que vienen todos juntos)</t>
  </si>
  <si>
    <t>Precio</t>
  </si>
  <si>
    <t>http://www.mitrexpress.com.ar/tarifas.html</t>
  </si>
  <si>
    <t>Zorra hidráulica</t>
  </si>
  <si>
    <t>Cantidad</t>
  </si>
  <si>
    <t>Total</t>
  </si>
  <si>
    <t>https://articulo.mercadolibre.com.ar/MLA-603877434-zorra-hidraulica-p-palets-3000-kg-ancha-nueva-reforzada-_JM</t>
  </si>
  <si>
    <t>Computadora</t>
  </si>
  <si>
    <t>https://articulo.mercadolibre.com.ar/MLA-737841356-notebook-hp-156-core-i5-ram-4gb-15-da0060la-_JM</t>
  </si>
  <si>
    <t>Impresora</t>
  </si>
  <si>
    <t>https://articulo.mercadolibre.com.ar/MLA-652607111-impresora-multifuncion-epson-xp241-inalambrica-wifi-_JM</t>
  </si>
  <si>
    <t>Hojas A4</t>
  </si>
  <si>
    <t>https://articulo.mercadolibre.com.ar/MLA-606369218-resma-papel-multifuncion-staples-a4-75-grs-250-hojas-mate-_JM</t>
  </si>
  <si>
    <t>Hojas Oficio</t>
  </si>
  <si>
    <t>https://articulo.mercadolibre.com.ar/MLA-685446602-resmas-oficio-75-gr-ledesma-autor-500-hojas-_JM</t>
  </si>
  <si>
    <t>Kit de utiles</t>
  </si>
  <si>
    <t>https://articulo.mercadolibre.com.ar/MLA-656039046-kit-set-utiles-escolares-secundaria-18-productos-excelente-_JM</t>
  </si>
  <si>
    <t>Escritorio</t>
  </si>
  <si>
    <t>https://articulo.mercadolibre.com.ar/MLA-617582701-escritorio-mesa-pc-2-cajones-ccerradura-melamina-envio-sc-_JM</t>
  </si>
  <si>
    <t>Silla ergonómica</t>
  </si>
  <si>
    <t>https://articulo.mercadolibre.com.ar/MLA-731557927-silla-de-oficina-comfortable-espalda-ergonomico-pc-sillon-_JM</t>
  </si>
  <si>
    <t>Sillas comunes</t>
  </si>
  <si>
    <t>https://articulo.mercadolibre.com.ar/MLA-619710770-promo-silla-directo-de-fabrica-cano-apilable-la-mejor-_JM</t>
  </si>
  <si>
    <t>Mesa de reuniones</t>
  </si>
  <si>
    <t>https://articulo.mercadolibre.com.ar/MLA-666718099-mesa-de-reunion-bote-de-200x100x74-de-altura-_JM</t>
  </si>
  <si>
    <t>Cortinas</t>
  </si>
  <si>
    <t>https://articulo.mercadolibre.com.ar/MLA-719683889-cortina-americana-veneciana-ideal-oficina-casa-departamento-_JM</t>
  </si>
  <si>
    <t>Teléfono</t>
  </si>
  <si>
    <t>https://articulo.mercadolibre.com.ar/MLA-696821102-telefono-philips-crd150b77-_JM</t>
  </si>
  <si>
    <t>Celular</t>
  </si>
  <si>
    <t>https://articulo.mercadolibre.com.ar/MLA-688107539-samsung-galaxy-s8-64gb-libres-nuevosvidriofunda-_JM</t>
  </si>
  <si>
    <t>Aire acondicionado</t>
  </si>
  <si>
    <t>https://articulo.mercadolibre.com.ar/MLA-724567923-aire-acondicionado-split-frio-calor-sigma-sgs52wcq-4500f-520-_JM</t>
  </si>
  <si>
    <t>Cafetera</t>
  </si>
  <si>
    <t>https://articulo.mercadolibre.com.ar/MLA-636673967-cafetera-nespresso-inissia-red-c40ar-_JM</t>
  </si>
  <si>
    <t>Cestos de basura (set de 2)</t>
  </si>
  <si>
    <t>https://articulo.mercadolibre.com.ar/MLA-595445710-set-2-cestos-tacho-de-basura-residuo-extraible-pedal-100000v-_JM</t>
  </si>
  <si>
    <t>Armario</t>
  </si>
  <si>
    <t>https://articulo.mercadolibre.com.ar/MLA-729115602-armario-metalico-de-180-x-090-x-045-puertas-batientes-_JM</t>
  </si>
  <si>
    <t>Calculadora</t>
  </si>
  <si>
    <t>https://articulo.mercadolibre.com.ar/MLA-652582550-calculadora-cientifica-classwiz-casio-fx-991lax-552-tienda-_JM</t>
  </si>
  <si>
    <t>Escobillón</t>
  </si>
  <si>
    <t>https://articulo.mercadolibre.com.ar/MLA-689252810-escobillon-bigote-cordon-cerda-pura-_JM</t>
  </si>
  <si>
    <t>Escoba</t>
  </si>
  <si>
    <t>https://articulo.mercadolibre.com.ar/MLA-748584810-escoba-exteriores-virulana-_JM</t>
  </si>
  <si>
    <t>Aspiradora</t>
  </si>
  <si>
    <t>https://articulo.mercadolibre.com.ar/MLA-659300879-aspiradora-industrial-25lts-polvo-y-agua-lusqtoff-la2501-m-m-_JM</t>
  </si>
  <si>
    <t>Kit de productos de limpieza</t>
  </si>
  <si>
    <t>https://articulo.mercadolibre.com.ar/MLA-724193809-kit-limpieza-procenex-harpic-balde-de-regalo-_JM</t>
  </si>
  <si>
    <t>Trapo (pack 24u)</t>
  </si>
  <si>
    <t>https://articulo.mercadolibre.com.ar/MLA-615542962-trapos-rejilla-pabilo-super-mr-trapo-42x42cm-pack-24un-_JM</t>
  </si>
  <si>
    <t>Franela (pack 12u)</t>
  </si>
  <si>
    <t>https://articulo.mercadolibre.com.ar/MLA-729831369-franela-grande-la-nacional-50-x-60-cm-x-docena-_JM</t>
  </si>
  <si>
    <t>Balde</t>
  </si>
  <si>
    <t>https://articulo.mercadolibre.com.ar/MLA-747702853-balde-10-lts-plastico-precio-mayorista-_JM</t>
  </si>
  <si>
    <t>Palangana</t>
  </si>
  <si>
    <t>https://articulo.mercadolibre.com.ar/MLA-667581863-palangana-de-aluminio-de-5-litros-america-cod-4347-_JM</t>
  </si>
  <si>
    <t>Carro de limpieza</t>
  </si>
  <si>
    <t>https://articulo.mercadolibre.com.ar/MLA-628848433-carro-para-limpieza-cprensamopas-20-lts-movrycarmin20-_JM</t>
  </si>
  <si>
    <t>Papel higiénico (pack 8u)</t>
  </si>
  <si>
    <t>https://articulo.mercadolibre.com.ar/MLA-614361764-papel-higienico-codigo-300-pack-por-8-rollos-_JM</t>
  </si>
  <si>
    <t>Papel secador de manos (2500u)</t>
  </si>
  <si>
    <t>https://articulo.mercadolibre.com.ar/MLA-614760794-toallas-de-papel-intercaladas-para-manos-caja-2500-blancas-_JM</t>
  </si>
  <si>
    <t>Jabón líquido</t>
  </si>
  <si>
    <t>https://articulo.mercadolibre.com.ar/MLA-697900990-espadol-dettol-jabon-liquido-manos-cremoso-antibac-250ml-_JM</t>
  </si>
  <si>
    <t>Guantes de protección personal</t>
  </si>
  <si>
    <t>https://articulo.mercadolibre.com.ar/MLA-679747409-guantes-de-cuero-descarne-reforzados-puno-corto-_JM</t>
  </si>
  <si>
    <t>Locker 16 puertas</t>
  </si>
  <si>
    <t>https://articulo.mercadolibre.com.ar/MLA-691957343-lockers-metal-16-puertas-unico-52cm-prof-entrega-gratis-72hs-_JM</t>
  </si>
  <si>
    <t>Estantería Metálica</t>
  </si>
  <si>
    <t>https://articulo.mercadolibre.com.ar/MLA-725606793-estanteria-metalica-30x90x2mt-con-5-estantes-para-40kg-x-est-_JM</t>
  </si>
  <si>
    <t>Mesa comedor</t>
  </si>
  <si>
    <t>https://articulo.mercadolibre.com.ar/MLA-661507745-mesa-larga-3-metros-x120-quincho-galerias-_JM</t>
  </si>
  <si>
    <t>Horno eléctrico</t>
  </si>
  <si>
    <t>https://articulo.mercadolibre.com.ar/MLA-611413210-hornito-electrico-atma-hg-2010e-20lts-_JM</t>
  </si>
  <si>
    <t>Heladera</t>
  </si>
  <si>
    <t>https://articulo.mercadolibre.com.ar/MLA-662707523-heladera-con-freezer-philco-phct290b-285-lts-blanca-clase-a-_JM</t>
  </si>
  <si>
    <t>Proyector</t>
  </si>
  <si>
    <t>https://articulo.mercadolibre.com.ar/MLA-646719639-proyector-portatil-gadnic-60-lumens-100-hdmi-usb-mundial-_JM</t>
  </si>
  <si>
    <t>VALOR</t>
  </si>
  <si>
    <t>AÑO 0</t>
  </si>
  <si>
    <t>AÑO 1</t>
  </si>
  <si>
    <t>Gastos repuestos FOB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</si>
  <si>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</si>
  <si>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</si>
  <si>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</si>
  <si>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</si>
  <si>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</si>
  <si>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</si>
  <si>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</si>
  <si>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</si>
  <si>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</si>
  <si>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</si>
  <si>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Amortizaciones</t>
  </si>
  <si>
    <t>Personal indirecto</t>
  </si>
  <si>
    <t>Materiales</t>
  </si>
  <si>
    <t>Energía eléctrica</t>
  </si>
  <si>
    <t>Combustibles</t>
  </si>
  <si>
    <t>Tasas e impuestos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</si>
  <si>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</si>
  <si>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</si>
  <si>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</si>
  <si>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</si>
  <si>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</si>
  <si>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</si>
  <si>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</si>
  <si>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</si>
  <si>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</si>
  <si>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</si>
  <si>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</si>
  <si>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</si>
  <si>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</si>
  <si>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</si>
  <si>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</si>
  <si>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</si>
  <si>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</si>
  <si>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</si>
  <si>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Personal</t>
  </si>
  <si>
    <t>Amortizaciones de A. Fijo</t>
  </si>
  <si>
    <t>Es el 10%</t>
  </si>
  <si>
    <t>Electricidad</t>
  </si>
  <si>
    <t>Combustible</t>
  </si>
  <si>
    <t>Varios</t>
  </si>
  <si>
    <t>Costo total de Admistración</t>
  </si>
  <si>
    <t>Gastos en el Area de Comercialización</t>
  </si>
  <si>
    <t>Energía Eléctrica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</si>
  <si>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</si>
  <si>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</si>
  <si>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</si>
  <si>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</si>
  <si>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</si>
  <si>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</si>
  <si>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</si>
  <si>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</si>
  <si>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</si>
  <si>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</si>
  <si>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</si>
  <si>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</si>
  <si>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</si>
  <si>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</si>
  <si>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</si>
  <si>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</si>
  <si>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</si>
  <si>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</si>
  <si>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</si>
  <si>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</si>
  <si>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</si>
  <si>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</si>
  <si>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</si>
  <si>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</si>
  <si>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</si>
  <si>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</si>
  <si>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</si>
  <si>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</si>
  <si>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</si>
  <si>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</si>
  <si>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</si>
  <si>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</si>
  <si>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</si>
  <si>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AÑO 5</t>
  </si>
  <si>
    <t>unid</t>
  </si>
  <si>
    <t>cv</t>
  </si>
  <si>
    <t>cf</t>
  </si>
  <si>
    <t>ct</t>
  </si>
  <si>
    <t>IxV</t>
  </si>
  <si>
    <t>MOD MC y SE</t>
  </si>
  <si>
    <t>Gasto MOD</t>
  </si>
  <si>
    <t>Produccion</t>
  </si>
  <si>
    <t>Gasto específico</t>
  </si>
  <si>
    <t>Consumo MC en régimen</t>
  </si>
  <si>
    <t>Gasto PT</t>
  </si>
  <si>
    <t>Mano de Obra PRODU</t>
  </si>
  <si>
    <t>Hs. Anuales (h)</t>
  </si>
  <si>
    <t>Jornal ($/h)</t>
  </si>
  <si>
    <t>Carga Social (%)</t>
  </si>
  <si>
    <t>Gasto Total</t>
  </si>
  <si>
    <t>Año 2-5</t>
  </si>
  <si>
    <t>Operario de fundido</t>
  </si>
  <si>
    <t>(Dim técnico)</t>
  </si>
  <si>
    <t>Operario de bañado</t>
  </si>
  <si>
    <t>Operario de despresurizado</t>
  </si>
  <si>
    <t xml:space="preserve">Se incorporará la mitad del consumo de MOD específico correspondiente </t>
  </si>
  <si>
    <t>Operario de armado</t>
  </si>
  <si>
    <t>Gasto MC y Se (2-5)</t>
  </si>
  <si>
    <t xml:space="preserve">Operario de serigrafiado </t>
  </si>
  <si>
    <t>Gasto PM</t>
  </si>
  <si>
    <t>Total (2-5)</t>
  </si>
  <si>
    <t>Año 1 70%</t>
  </si>
  <si>
    <t>Total (1)</t>
  </si>
  <si>
    <t>Tipo de personal IND PRODU</t>
  </si>
  <si>
    <t>Sueldo mensual</t>
  </si>
  <si>
    <t>Carga Social
%</t>
  </si>
  <si>
    <t>Cantidad 
Imputada</t>
  </si>
  <si>
    <t>MOI MC y SE</t>
  </si>
  <si>
    <t>Gasto MOI</t>
  </si>
  <si>
    <t>Consumo MC régimen</t>
  </si>
  <si>
    <t>Gerente de producción</t>
  </si>
  <si>
    <t>En el Año 1 es el 70%</t>
  </si>
  <si>
    <t xml:space="preserve">Se incorporará la mitad del consumo de MOI específico correspondiente </t>
  </si>
  <si>
    <t>Gasto MC y Se (1)</t>
  </si>
  <si>
    <t>Tipo de personal ADM</t>
  </si>
  <si>
    <t>Gerente General</t>
  </si>
  <si>
    <t>https://www.argentina.gob.ar/trabajo/buscastrabajo/salario#aportes</t>
  </si>
  <si>
    <t>Director Administrativo</t>
  </si>
  <si>
    <t>Gerente de Logística</t>
  </si>
  <si>
    <t>Gerente de Mantenimiento</t>
  </si>
  <si>
    <t>Limpieza</t>
  </si>
  <si>
    <t>http://www.som.org.ar/escalas_2018/Expediente1797313_2018.pdf</t>
  </si>
  <si>
    <t xml:space="preserve">Total (2-5) </t>
  </si>
  <si>
    <t>Tipo de personal COMER</t>
  </si>
  <si>
    <t>Director Comercial</t>
  </si>
  <si>
    <t>Director de Marketing</t>
  </si>
  <si>
    <t>Amortizaciones MC y SE</t>
  </si>
  <si>
    <t>Alícuota anual</t>
  </si>
  <si>
    <t>Producción</t>
  </si>
  <si>
    <t>Imputación esp.</t>
  </si>
  <si>
    <t>Incide en un 50%</t>
  </si>
  <si>
    <t xml:space="preserve">Año 1 </t>
  </si>
  <si>
    <t>Imputación del AF (Amortizaciones)</t>
  </si>
  <si>
    <t>PROD 80%</t>
  </si>
  <si>
    <t>COMER 10%</t>
  </si>
  <si>
    <t>ADMIN 10%</t>
  </si>
  <si>
    <t>Año 2 y 3</t>
  </si>
  <si>
    <t xml:space="preserve"> Repuestos 100%</t>
  </si>
  <si>
    <t>Año 4 y 5</t>
  </si>
  <si>
    <t>Materiales PRODU</t>
  </si>
  <si>
    <t>Porcentaje</t>
  </si>
  <si>
    <t>Ítem</t>
  </si>
  <si>
    <t>Materiales ADMIN</t>
  </si>
  <si>
    <t>Materiales COMER</t>
  </si>
  <si>
    <t>Mantenimiento</t>
  </si>
  <si>
    <t>Bs de Uso</t>
  </si>
  <si>
    <t>Respuestos</t>
  </si>
  <si>
    <t>Útiles</t>
  </si>
  <si>
    <t>Costo Prod Anual</t>
  </si>
  <si>
    <t>Gasto MP</t>
  </si>
  <si>
    <t>Art. De Limpieza</t>
  </si>
  <si>
    <t>Sueldos</t>
  </si>
  <si>
    <t>Gasto personal</t>
  </si>
  <si>
    <t>Consumo mensual eléctrico</t>
  </si>
  <si>
    <t>Kwh</t>
  </si>
  <si>
    <t>Cargo fijo</t>
  </si>
  <si>
    <t>Cargo x Potencia</t>
  </si>
  <si>
    <t>Cargo Var</t>
  </si>
  <si>
    <t>http://www.edenor.com.ar/cms/files/SP/CuadroTarifario.pdf</t>
  </si>
  <si>
    <t>Potencia instalada</t>
  </si>
  <si>
    <t>Kw</t>
  </si>
  <si>
    <t>$/mes</t>
  </si>
  <si>
    <t>$/kw</t>
  </si>
  <si>
    <t>$/kwh</t>
  </si>
  <si>
    <t>Electricidad total</t>
  </si>
  <si>
    <t>Electricidad PRODU</t>
  </si>
  <si>
    <t>90% del total</t>
  </si>
  <si>
    <t>% FIJO</t>
  </si>
  <si>
    <t>Varios ADMIN (semifijo)</t>
  </si>
  <si>
    <t xml:space="preserve">Electricidad ADMIN </t>
  </si>
  <si>
    <t>5% del total</t>
  </si>
  <si>
    <t>% VARIABLE</t>
  </si>
  <si>
    <t>Electricidad COMER</t>
  </si>
  <si>
    <t>ELECTRICIDAD</t>
  </si>
  <si>
    <t>Volumen de producción año 2 a 5</t>
  </si>
  <si>
    <t>$/u</t>
  </si>
  <si>
    <t>MP en proceso</t>
  </si>
  <si>
    <t>(dim tecnico)</t>
  </si>
  <si>
    <t>Gasto en la mercadería en proceso</t>
  </si>
  <si>
    <t>Año 2 al 5</t>
  </si>
  <si>
    <t>Año 1 (90%)</t>
  </si>
  <si>
    <t>Volumen de producción año 1</t>
  </si>
  <si>
    <t xml:space="preserve">Gasto en PT </t>
  </si>
  <si>
    <t>(dan 0 porque estan en funcion del costo anual de produccion aun no calculado)</t>
  </si>
  <si>
    <t>Exceso de gasto de energia electrica en la puesta en marcha</t>
  </si>
  <si>
    <t>Año 1-N</t>
  </si>
  <si>
    <t>Tasas e Impuestos ADMIN (semifijo)</t>
  </si>
  <si>
    <t>Honorarios profesionales</t>
  </si>
  <si>
    <t>Impuesto Automotor</t>
  </si>
  <si>
    <t>Gastos de representacion</t>
  </si>
  <si>
    <t>(2500 por mes)</t>
  </si>
  <si>
    <t>Impuesto a los sellos</t>
  </si>
  <si>
    <t>Viajes</t>
  </si>
  <si>
    <t>Impuesto a debitos/creditos</t>
  </si>
  <si>
    <t>Gastos de oficina</t>
  </si>
  <si>
    <t>Varios COMER (semifijo)</t>
  </si>
  <si>
    <t>Tasas e Impuestos COMER (semifijo)</t>
  </si>
  <si>
    <t>Ingreso Brutos</t>
  </si>
  <si>
    <t>Publicidad especializada</t>
  </si>
  <si>
    <t>Año</t>
  </si>
  <si>
    <t xml:space="preserve">Consumo MP </t>
  </si>
  <si>
    <t>MATERIA PRIMA</t>
  </si>
  <si>
    <t>2 al 5</t>
  </si>
  <si>
    <t>Año 2 a 5</t>
  </si>
  <si>
    <t>Consumo específico</t>
  </si>
  <si>
    <t>Gasto anual</t>
  </si>
  <si>
    <t>$</t>
  </si>
  <si>
    <t>Consumo Total de la materia prima</t>
  </si>
  <si>
    <t>Consumo de mP por producto terminado</t>
  </si>
  <si>
    <t>Consumo de MP en curso y SE</t>
  </si>
  <si>
    <t>Exceso en el consumo debido a la puesta en marcha</t>
  </si>
  <si>
    <t>Costo de la MP incorporada en la mercadería en curso y SE</t>
  </si>
  <si>
    <t>Costo del exeso de la MP en la puesta en marcha</t>
  </si>
  <si>
    <t>SON GASTOS VARIABLES</t>
  </si>
  <si>
    <t>MATERIALES</t>
  </si>
  <si>
    <t>Datos del tecnólogo</t>
  </si>
  <si>
    <t>Correspondencia del %</t>
  </si>
  <si>
    <t>otros %</t>
  </si>
  <si>
    <t>CALCULOS AUXILIARES</t>
  </si>
  <si>
    <t>del total anual de bienes de uso</t>
  </si>
  <si>
    <t>Años 4 y 5</t>
  </si>
  <si>
    <t>Flete y derecho de importación</t>
  </si>
  <si>
    <t>sumatoria de maquinas nacionales e importadas (sin incluir repuestos) con los gastos conexos a la importación  con transporte y montaje más rodados y equipos auxiliares</t>
  </si>
  <si>
    <t>del total anual del gasto de MP</t>
  </si>
  <si>
    <t>Valor FOB del gasto anual en repuestos importados</t>
  </si>
  <si>
    <t>del total anual de Personal</t>
  </si>
  <si>
    <t>TOTAL</t>
  </si>
  <si>
    <t>Los años 4 y 5 se incrementan los gastos de MTM y consumo de repuestos un 10%</t>
  </si>
  <si>
    <t>% Afectado de los bienes de uso en producción</t>
  </si>
  <si>
    <t>(así en la guía)</t>
  </si>
  <si>
    <t>Exceso de gasto de materiales en la puesta en marcha</t>
  </si>
  <si>
    <t>GASTO 100% VARIABLE</t>
  </si>
  <si>
    <t>COMBUSTIBLES</t>
  </si>
  <si>
    <t>Gasto especifico del combustible</t>
  </si>
  <si>
    <t>Tipo de combustible</t>
  </si>
  <si>
    <t>Unidad</t>
  </si>
  <si>
    <t>Consumo mensual</t>
  </si>
  <si>
    <t>Consumo Anual año 2 al 5</t>
  </si>
  <si>
    <t>Consumo año 1</t>
  </si>
  <si>
    <t>Gasto combustible de la mercadería en proceso año 2 al 5</t>
  </si>
  <si>
    <t>GAS</t>
  </si>
  <si>
    <t>$/m3</t>
  </si>
  <si>
    <t>m3</t>
  </si>
  <si>
    <t>Gasto por producción</t>
  </si>
  <si>
    <t>Gasto combustible de la mercadería en proceso año 1</t>
  </si>
  <si>
    <t>Exceso de gasto de combustible en la puesta en marcha</t>
  </si>
  <si>
    <t>En el año 1 este gasto es equivalente al 95% del año 2</t>
  </si>
  <si>
    <t>SE CONSIDERA UN GASTO 100% VARIABLE</t>
  </si>
  <si>
    <t>Consumo horario individual en m3/h</t>
  </si>
  <si>
    <t>Horas diarias de funcionamiento en hs</t>
  </si>
  <si>
    <t>Días activos del año</t>
  </si>
  <si>
    <t>Cantidad de quemadores :</t>
  </si>
  <si>
    <t>TASAS E IMPUESTOS</t>
  </si>
  <si>
    <t>Gasto específico año 2 a 5</t>
  </si>
  <si>
    <t>Gasto por tasas e impuestos en la la mercadería en proceso año 2 al 5</t>
  </si>
  <si>
    <t>Tasa municipal</t>
  </si>
  <si>
    <t>del valor del inmueble</t>
  </si>
  <si>
    <t>es lo que corresponde a producción</t>
  </si>
  <si>
    <t>Impuesto inmobiliairio</t>
  </si>
  <si>
    <t xml:space="preserve">Gasto específico año 1 </t>
  </si>
  <si>
    <t>Valor del terreno + Valor del edificio</t>
  </si>
  <si>
    <t>Gasto por tasas e impuestos en la la mercadería en proceso año 1</t>
  </si>
  <si>
    <t xml:space="preserve">ES UN GASTO FIJO </t>
  </si>
  <si>
    <t>IMPREVISTOS</t>
  </si>
  <si>
    <t>Se tomará un porcentaje de imprevistos del</t>
  </si>
  <si>
    <t>Valores acumulados</t>
  </si>
  <si>
    <t>Stock promedio PT</t>
  </si>
  <si>
    <t>Stock elaborado al final-</t>
  </si>
  <si>
    <t>Stock elaborado al final +</t>
  </si>
  <si>
    <t>Variación</t>
  </si>
  <si>
    <t>INVERSIONES EN ACTIVO DE TRABAJO</t>
  </si>
  <si>
    <r>
      <rPr>
        <b/>
        <sz val="10"/>
        <rFont val="Arial"/>
        <family val="2"/>
        <charset val="1"/>
      </rPr>
      <t xml:space="preserve">1. Activo de Trabajo: </t>
    </r>
    <r>
      <rPr>
        <sz val="10"/>
        <rFont val="Arial"/>
        <family val="2"/>
        <charset val="1"/>
      </rPr>
      <t>(valor contable)</t>
    </r>
  </si>
  <si>
    <t xml:space="preserve">   a) Disponibilidad Mínima en Caja y Bancos:</t>
  </si>
  <si>
    <t xml:space="preserve"> </t>
  </si>
  <si>
    <t xml:space="preserve">   b) Crédito por Ventas</t>
  </si>
  <si>
    <t xml:space="preserve">   c) Bienes de cambio:</t>
  </si>
  <si>
    <t xml:space="preserve">   Stock de materias prima: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</si>
  <si>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</si>
  <si>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</si>
  <si>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</si>
  <si>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</si>
  <si>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</si>
  <si>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</si>
  <si>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</si>
  <si>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</si>
  <si>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</si>
  <si>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</si>
  <si>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</si>
  <si>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</si>
  <si>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</si>
  <si>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</si>
  <si>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</si>
  <si>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</si>
  <si>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</si>
  <si>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</si>
  <si>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</si>
  <si>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</si>
  <si>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</si>
  <si>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Disponibilidad min CyB</t>
  </si>
  <si>
    <t>Porcentaje de ventas</t>
  </si>
  <si>
    <t>de los otros años</t>
  </si>
  <si>
    <t>Plazo de financiación</t>
  </si>
  <si>
    <t>30 días</t>
  </si>
  <si>
    <t>Canidad de mp por unidad</t>
  </si>
  <si>
    <t>Precio ($/u)</t>
  </si>
  <si>
    <t>Fuente</t>
  </si>
  <si>
    <t>Nitrato de plata</t>
  </si>
  <si>
    <t>0,03 litros/unidad</t>
  </si>
  <si>
    <t>https://www.quiminet.com/productos/nitrato-de-plata-solucion-0-1n-3371842817/precios.htm</t>
  </si>
  <si>
    <t>Polipropileno</t>
  </si>
  <si>
    <t>250 gramos/unidad</t>
  </si>
  <si>
    <t>https://spanish.alibaba.com/product-detail/plastic-virgin-grade-brush-base-talc-filled-polypropylene-pp-grey-earth-brush-9--60499271041.html?spm=a2700.8699010.normalList.11.272e7776TLpqNq&amp;s=p</t>
  </si>
  <si>
    <t>Doble botella de vidrio</t>
  </si>
  <si>
    <t>https://articulo.mercadolibre.com.ar/MLA-730468272-botellas-de-vidrio-_JM</t>
  </si>
  <si>
    <t>AÑO 2</t>
  </si>
  <si>
    <t>Ventas</t>
  </si>
  <si>
    <t>Stock promedio de PT</t>
  </si>
  <si>
    <t>Desperdicios no recuperables</t>
  </si>
  <si>
    <t>En curso y semielaborada</t>
  </si>
  <si>
    <t>Consumo de MP</t>
  </si>
  <si>
    <t>Stock de MP</t>
  </si>
  <si>
    <t>Compra de MP</t>
  </si>
  <si>
    <t>Area</t>
  </si>
  <si>
    <t xml:space="preserve">Stock equivalente al consumo de </t>
  </si>
  <si>
    <t>meses</t>
  </si>
  <si>
    <t>Administración</t>
  </si>
  <si>
    <t>Comercialización</t>
  </si>
  <si>
    <t>Stock de elaborado - incremento IVA inv.</t>
  </si>
  <si>
    <t>AÑO 3</t>
  </si>
  <si>
    <t>AÑO 4</t>
  </si>
  <si>
    <t>Incremento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</si>
  <si>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</si>
  <si>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</si>
  <si>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</si>
  <si>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</si>
  <si>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</si>
  <si>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</si>
  <si>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</si>
  <si>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</si>
  <si>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</si>
  <si>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</si>
  <si>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</si>
  <si>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</si>
  <si>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</si>
  <si>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</si>
  <si>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</si>
  <si>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</si>
  <si>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</si>
  <si>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</si>
  <si>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</si>
  <si>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</si>
  <si>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</si>
  <si>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</si>
  <si>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</si>
  <si>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</si>
  <si>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</si>
  <si>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</si>
  <si>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 - </t>
  </si>
  <si>
    <t>Seguros</t>
  </si>
  <si>
    <t>-</t>
  </si>
  <si>
    <t>Menos: Puesta en marcha</t>
  </si>
  <si>
    <t>  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</si>
  <si>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</si>
  <si>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</si>
  <si>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</si>
  <si>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</si>
  <si>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</si>
  <si>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</si>
  <si>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</si>
  <si>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</si>
  <si>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</si>
  <si>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</si>
  <si>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</si>
  <si>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Recuepro de Credito Fiscal</t>
  </si>
  <si>
    <t>    Pago al Fisco por IVA</t>
  </si>
  <si>
    <t>Formulación del Proyecto a Nivel Económico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</si>
  <si>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</si>
  <si>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</si>
  <si>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</si>
  <si>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</si>
  <si>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</si>
  <si>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</si>
  <si>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</si>
  <si>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</si>
  <si>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</si>
  <si>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</si>
  <si>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</si>
  <si>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</si>
  <si>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</si>
  <si>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</si>
  <si>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</si>
  <si>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Verificaciones</t>
  </si>
  <si>
    <t>Set A</t>
  </si>
  <si>
    <t>IVA</t>
  </si>
  <si>
    <t>AT</t>
  </si>
  <si>
    <t>BN Proyecto</t>
  </si>
  <si>
    <t>PRIMERA ESTRUCTURA FINANCIERA</t>
  </si>
  <si>
    <t>Total Inversión</t>
  </si>
  <si>
    <t>Créditos</t>
  </si>
  <si>
    <t>Capital Propio</t>
  </si>
  <si>
    <t>monto</t>
  </si>
  <si>
    <t>%</t>
  </si>
  <si>
    <t xml:space="preserve">Activo Fijo 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</si>
  <si>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</si>
  <si>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</si>
  <si>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</si>
  <si>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</si>
  <si>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</si>
  <si>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</si>
  <si>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</si>
  <si>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</si>
  <si>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</si>
  <si>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</si>
  <si>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</si>
  <si>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</si>
  <si>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</si>
  <si>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1/5/-1</t>
  </si>
  <si>
    <t>1/8/-1</t>
  </si>
  <si>
    <t>1/11/-1</t>
  </si>
  <si>
    <t>31/12/-1</t>
  </si>
  <si>
    <t>Cuota</t>
  </si>
  <si>
    <t>gastos preoperativos:</t>
  </si>
  <si>
    <t>30/6/1</t>
  </si>
  <si>
    <t>Comienza R</t>
  </si>
  <si>
    <t>31/12/1</t>
  </si>
  <si>
    <t>30/6/2</t>
  </si>
  <si>
    <t>31/12/2</t>
  </si>
  <si>
    <t>30/6/3</t>
  </si>
  <si>
    <t>31/12/3</t>
  </si>
  <si>
    <t>30/6/4</t>
  </si>
  <si>
    <t>31/12/4</t>
  </si>
  <si>
    <t>30/6/5</t>
  </si>
  <si>
    <t>31/12/5</t>
  </si>
  <si>
    <t>Totales:</t>
  </si>
  <si>
    <t>AÑOS</t>
  </si>
  <si>
    <t>AMORT INT Y GPO</t>
  </si>
  <si>
    <t>INTERESES CRED</t>
  </si>
  <si>
    <t>GASTO FINANC</t>
  </si>
  <si>
    <t xml:space="preserve">Meses </t>
  </si>
  <si>
    <t>Compras</t>
  </si>
  <si>
    <t>Monto de compra</t>
  </si>
  <si>
    <t>Crédito</t>
  </si>
  <si>
    <t>Cancelación</t>
  </si>
  <si>
    <t xml:space="preserve">Intereses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</si>
  <si>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</si>
  <si>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</si>
  <si>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</si>
  <si>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</si>
  <si>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</si>
  <si>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</si>
  <si>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</si>
  <si>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</si>
  <si>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</si>
  <si>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</si>
  <si>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</si>
  <si>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</si>
  <si>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Enero </t>
  </si>
  <si>
    <t xml:space="preserve">Estos intereses equivalen a un crédito anual de </t>
  </si>
  <si>
    <t>Condiciones Créditos No Renovables</t>
  </si>
  <si>
    <r>
      <rPr>
        <sz val="10"/>
        <rFont val="Arial"/>
        <family val="2"/>
        <charset val="1"/>
      </rPr>
      <t>Se asume un %</t>
    </r>
    <r>
      <rPr>
        <b/>
        <sz val="10"/>
        <rFont val="Arial"/>
        <family val="2"/>
        <charset val="1"/>
      </rPr>
      <t xml:space="preserve"> del crédito</t>
    </r>
    <r>
      <rPr>
        <sz val="10"/>
        <rFont val="Arial"/>
        <family val="2"/>
        <charset val="1"/>
      </rPr>
      <t xml:space="preserve"> como </t>
    </r>
    <r>
      <rPr>
        <b/>
        <sz val="10"/>
        <rFont val="Arial"/>
        <family val="2"/>
        <charset val="1"/>
      </rPr>
      <t>gastos bancarios</t>
    </r>
  </si>
  <si>
    <t>Sistema Alemán DE 8 CUOTAS</t>
  </si>
  <si>
    <t xml:space="preserve">Créditos Renovables </t>
  </si>
  <si>
    <t>Acordada a comenzar en el segundo semestre del primer año</t>
  </si>
  <si>
    <t>dia/es/año</t>
  </si>
  <si>
    <t>Deuda</t>
  </si>
  <si>
    <t>Interes Semestral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</si>
  <si>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</si>
  <si>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</si>
  <si>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</si>
  <si>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</si>
  <si>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</si>
  <si>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</si>
  <si>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</si>
  <si>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</si>
  <si>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</si>
  <si>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</si>
  <si>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</si>
  <si>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</si>
  <si>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</si>
  <si>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</si>
  <si>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</si>
  <si>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</si>
  <si>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</si>
  <si>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</si>
  <si>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</si>
  <si>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</si>
  <si>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</si>
  <si>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</si>
  <si>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</si>
  <si>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</si>
  <si>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</si>
  <si>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</si>
  <si>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</si>
  <si>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</si>
  <si>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</si>
  <si>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</si>
  <si>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</si>
  <si>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</si>
  <si>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</si>
  <si>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</si>
  <si>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Crédito renovable</t>
  </si>
  <si>
    <t>Crédito no renovable</t>
  </si>
  <si>
    <t>Capital propio</t>
  </si>
  <si>
    <t>PUNTO DE EQUILIBRIO ECONOMICO FINANCIERO</t>
  </si>
  <si>
    <t>Gasto Financiero</t>
  </si>
  <si>
    <t>Unidades</t>
  </si>
  <si>
    <t>CV</t>
  </si>
  <si>
    <t>CF</t>
  </si>
  <si>
    <t>CT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</si>
  <si>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</si>
  <si>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</si>
  <si>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</si>
  <si>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</si>
  <si>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</si>
  <si>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</si>
  <si>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</si>
  <si>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</si>
  <si>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</si>
  <si>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</si>
  <si>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</si>
  <si>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 xml:space="preserve">    Pago al Fisco por IVA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</si>
  <si>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</si>
  <si>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</si>
  <si>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</si>
  <si>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</si>
  <si>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</si>
  <si>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</si>
  <si>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</si>
  <si>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</si>
  <si>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</si>
  <si>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</si>
  <si>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</si>
  <si>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</si>
  <si>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</si>
  <si>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</si>
  <si>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</si>
  <si>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</si>
  <si>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</si>
  <si>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</si>
  <si>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</si>
  <si>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</si>
  <si>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</si>
  <si>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</si>
  <si>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</si>
  <si>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</si>
  <si>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</si>
  <si>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</si>
  <si>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</si>
  <si>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</si>
  <si>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</si>
  <si>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</si>
  <si>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</si>
  <si>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</si>
  <si>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</si>
  <si>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</si>
  <si>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</si>
  <si>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</si>
  <si>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</si>
  <si>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</si>
  <si>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</si>
  <si>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</si>
  <si>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</si>
  <si>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</si>
  <si>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</si>
  <si>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</si>
  <si>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</si>
  <si>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</si>
  <si>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</si>
  <si>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</si>
  <si>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</si>
  <si>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Verificación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</si>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</sst>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64" formatCode="0\ %"/>
    <numFmt numFmtId="165" formatCode="0.00\ %"/>
    <numFmt numFmtId="166" formatCode="_(\$* #,##0.00_);_(\$* \(#,##0.00\);_(\$* \-??_);_(@_)"/>
    <numFmt numFmtId="167" formatCode="[$€-2]\ #,##0;[Red]\-[$€-2]\ #,##0"/>
    <numFmt numFmtId="168" formatCode="&quot;$ &quot;#,##0_);[Red]&quot;($ &quot;#,##0\)"/>
    <numFmt numFmtId="169" formatCode="_(* #,##0.00_);_(* \(#,##0.00\);_(* \-??_);_(@_)"/>
    <numFmt numFmtId="170" formatCode="0.0"/>
    <numFmt numFmtId="171" formatCode="&quot;$ &quot;#,##0.00"/>
    <numFmt numFmtId="172" formatCode="&quot;$ &quot;#,##0.0"/>
    <numFmt numFmtId="173" formatCode="0.000"/>
    <numFmt numFmtId="174" formatCode="&quot;$ &quot;#,##0"/>
    <numFmt numFmtId="175" formatCode="_(\$* #,##0_);_(\$* \(#,##0\);_(\$* \-??_);_(@_)"/>
    <numFmt numFmtId="176" formatCode="dd\-mmm"/>
    <numFmt numFmtId="177" formatCode="&quot;$ &quot;#,##0.00_);&quot;($ &quot;#,##0.00\)"/>
    <numFmt numFmtId="178" formatCode="#,##0.00;\-#,##0.00"/>
    <numFmt numFmtId="179" formatCode="d&quot; de &quot;mmm&quot; de &quot;yy"/>
    <numFmt numFmtId="180" formatCode="d/m/yy;@"/>
    <numFmt numFmtId="181" formatCode="_(* #,##0.0000000_);_(* \(#,##0.0000000\);_(* \-???????_);_(@_)"/>
    <numFmt numFmtId="182" formatCode="#,##0.0000000_);\(#,##0.0000000\)"/>
    <numFmt numFmtId="183" formatCode="&quot;$ &quot;#,##0.0000000"/>
    <numFmt numFmtId="184" formatCode="0.00000000000000000000"/>
  </numFmts>
  <fonts count="14" x14ac:knownFonts="1">
    <font>
      <sz val="10"/>
      <name val="Arial"/>
      <family val="2"/>
      <charset val="1"/>
    </font>
    <font>
      <b/>
      <i/>
      <sz val="10"/>
      <name val="Arial"/>
      <family val="2"/>
      <charset val="1"/>
    </font>
    <font>
      <b/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2"/>
      <name val="Arial"/>
      <family val="2"/>
      <charset val="1"/>
    </font>
    <font>
      <sz val="11"/>
      <name val="Arial"/>
      <family val="2"/>
      <charset val="1"/>
    </font>
    <font>
      <u/>
      <sz val="10"/>
      <color rgb="FF0563C1"/>
      <name val="Arial"/>
      <family val="2"/>
      <charset val="1"/>
    </font>
    <font>
      <b/>
      <sz val="10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sz val="12"/>
      <name val="Symbol"/>
      <family val="1"/>
      <charset val="2"/>
    </font>
    <font>
      <sz val="1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420E"/>
        <bgColor rgb="FFED1C24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A9D18E"/>
      </patternFill>
    </fill>
    <fill>
      <patternFill patternType="solid">
        <fgColor rgb="FFFF0000"/>
        <bgColor rgb="FFED1C24"/>
      </patternFill>
    </fill>
    <fill>
      <patternFill patternType="solid">
        <fgColor rgb="FF548235"/>
        <bgColor rgb="FF636363"/>
      </patternFill>
    </fill>
    <fill>
      <patternFill patternType="solid">
        <fgColor rgb="FFFFFF00"/>
        <bgColor rgb="FFFFF200"/>
      </patternFill>
    </fill>
    <fill>
      <patternFill patternType="solid">
        <fgColor rgb="FFFFFFFF"/>
        <bgColor rgb="FFFFFFCC"/>
      </patternFill>
    </fill>
  </fills>
  <borders count="84">
    <border>
      <left/>
      <right/>
      <top/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/>
      <bottom style="hair">
        <color rgb="FF3C3C3C"/>
      </bottom>
      <diagonal/>
    </border>
    <border>
      <left style="thin">
        <color rgb="FF3C3C3C"/>
      </left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/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C3C3C"/>
      </left>
      <right/>
      <top style="double">
        <color rgb="FF3C3C3C"/>
      </top>
      <bottom style="hair">
        <color rgb="FF3C3C3C"/>
      </bottom>
      <diagonal/>
    </border>
    <border>
      <left/>
      <right/>
      <top style="double">
        <color rgb="FF3C3C3C"/>
      </top>
      <bottom style="hair">
        <color rgb="FF3C3C3C"/>
      </bottom>
      <diagonal/>
    </border>
    <border>
      <left/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 style="hair">
        <color rgb="FF3C3C3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rgb="FF3C3C3C"/>
      </bottom>
      <diagonal/>
    </border>
    <border>
      <left/>
      <right/>
      <top style="medium">
        <color auto="1"/>
      </top>
      <bottom style="hair">
        <color rgb="FF3C3C3C"/>
      </bottom>
      <diagonal/>
    </border>
    <border>
      <left/>
      <right style="medium">
        <color auto="1"/>
      </right>
      <top style="medium">
        <color auto="1"/>
      </top>
      <bottom style="hair">
        <color rgb="FF3C3C3C"/>
      </bottom>
      <diagonal/>
    </border>
    <border>
      <left style="medium">
        <color auto="1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medium">
        <color auto="1"/>
      </right>
      <top style="hair">
        <color rgb="FF3C3C3C"/>
      </top>
      <bottom style="double">
        <color rgb="FF3C3C3C"/>
      </bottom>
      <diagonal/>
    </border>
    <border>
      <left style="medium">
        <color auto="1"/>
      </left>
      <right/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medium">
        <color auto="1"/>
      </right>
      <top/>
      <bottom style="hair">
        <color rgb="FF3C3C3C"/>
      </bottom>
      <diagonal/>
    </border>
    <border>
      <left style="thin">
        <color rgb="FF3C3C3C"/>
      </left>
      <right style="medium">
        <color auto="1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medium">
        <color auto="1"/>
      </right>
      <top style="hair">
        <color rgb="FF3C3C3C"/>
      </top>
      <bottom/>
      <diagonal/>
    </border>
    <border>
      <left style="medium">
        <color auto="1"/>
      </left>
      <right/>
      <top style="hair">
        <color rgb="FF3C3C3C"/>
      </top>
      <bottom style="medium">
        <color auto="1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medium">
        <color auto="1"/>
      </bottom>
      <diagonal/>
    </border>
    <border>
      <left style="thin">
        <color rgb="FF3C3C3C"/>
      </left>
      <right style="medium">
        <color auto="1"/>
      </right>
      <top style="hair">
        <color rgb="FF3C3C3C"/>
      </top>
      <bottom style="medium">
        <color auto="1"/>
      </bottom>
      <diagonal/>
    </border>
    <border>
      <left style="thin">
        <color rgb="FF3C3C3C"/>
      </left>
      <right/>
      <top style="hair">
        <color rgb="FF3C3C3C"/>
      </top>
      <bottom style="double">
        <color rgb="FF3C3C3C"/>
      </bottom>
      <diagonal/>
    </border>
    <border>
      <left/>
      <right/>
      <top style="hair">
        <color rgb="FF3C3C3C"/>
      </top>
      <bottom style="hair">
        <color rgb="FF3C3C3C"/>
      </bottom>
      <diagonal/>
    </border>
    <border>
      <left style="thin">
        <color rgb="FF3C3C3C"/>
      </left>
      <right/>
      <top/>
      <bottom style="hair">
        <color rgb="FF3C3C3C"/>
      </bottom>
      <diagonal/>
    </border>
    <border>
      <left style="thin">
        <color rgb="FF3C3C3C"/>
      </left>
      <right/>
      <top style="hair">
        <color rgb="FF3C3C3C"/>
      </top>
      <bottom style="hair">
        <color rgb="FF3C3C3C"/>
      </bottom>
      <diagonal/>
    </border>
    <border>
      <left/>
      <right/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/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/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/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 style="thin">
        <color rgb="FF3C3C3C"/>
      </left>
      <right style="double">
        <color rgb="FF3C3C3C"/>
      </right>
      <top style="double">
        <color rgb="FF3C3C3C"/>
      </top>
      <bottom style="thin">
        <color rgb="FF3C3C3C"/>
      </bottom>
      <diagonal/>
    </border>
    <border>
      <left style="double">
        <color rgb="FF3C3C3C"/>
      </left>
      <right style="thin">
        <color rgb="FF3C3C3C"/>
      </right>
      <top/>
      <bottom/>
      <diagonal/>
    </border>
    <border>
      <left style="thin">
        <color rgb="FF3C3C3C"/>
      </left>
      <right style="thin">
        <color rgb="FF3C3C3C"/>
      </right>
      <top/>
      <bottom/>
      <diagonal/>
    </border>
    <border>
      <left style="thin">
        <color rgb="FF3C3C3C"/>
      </left>
      <right style="double">
        <color rgb="FF3C3C3C"/>
      </right>
      <top/>
      <bottom/>
      <diagonal/>
    </border>
    <border>
      <left style="double">
        <color rgb="FF3C3C3C"/>
      </left>
      <right style="thin">
        <color rgb="FF3C3C3C"/>
      </right>
      <top/>
      <bottom style="double">
        <color rgb="FF3C3C3C"/>
      </bottom>
      <diagonal/>
    </border>
    <border>
      <left style="thin">
        <color rgb="FF3C3C3C"/>
      </left>
      <right style="thin">
        <color rgb="FF3C3C3C"/>
      </right>
      <top/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/>
      <bottom style="double">
        <color rgb="FF3C3C3C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rgb="FF3C3C3C"/>
      </left>
      <right/>
      <top/>
      <bottom style="double">
        <color rgb="FF3C3C3C"/>
      </bottom>
      <diagonal/>
    </border>
    <border>
      <left style="double">
        <color rgb="FF3C3C3C"/>
      </left>
      <right/>
      <top/>
      <bottom style="hair">
        <color rgb="FF3C3C3C"/>
      </bottom>
      <diagonal/>
    </border>
    <border>
      <left/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/>
      <top style="double">
        <color rgb="FF3C3C3C"/>
      </top>
      <bottom style="hair">
        <color rgb="FF3C3C3C"/>
      </bottom>
      <diagonal/>
    </border>
  </borders>
  <cellStyleXfs count="5">
    <xf numFmtId="0" fontId="0" fillId="0" borderId="0"/>
    <xf numFmtId="169" fontId="13" fillId="0" borderId="0" applyBorder="0" applyProtection="0"/>
    <xf numFmtId="166" fontId="13" fillId="0" borderId="0" applyBorder="0" applyProtection="0"/>
    <xf numFmtId="164" fontId="13" fillId="0" borderId="0" applyBorder="0" applyProtection="0"/>
    <xf numFmtId="0" fontId="8" fillId="0" borderId="0" applyBorder="0" applyProtection="0"/>
  </cellStyleXfs>
  <cellXfs count="413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 applyAlignment="1">
      <alignment horizontal="right"/>
    </xf>
    <xf numFmtId="164" fontId="2" fillId="3" borderId="1" xfId="3" applyFont="1" applyFill="1" applyBorder="1" applyAlignment="1" applyProtection="1"/>
    <xf numFmtId="165" fontId="2" fillId="3" borderId="1" xfId="3" applyNumberFormat="1" applyFont="1" applyFill="1" applyBorder="1" applyAlignment="1" applyProtection="1"/>
    <xf numFmtId="0" fontId="0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0" fontId="0" fillId="4" borderId="3" xfId="0" applyFont="1" applyFill="1" applyBorder="1" applyProtection="1">
      <protection locked="0"/>
    </xf>
    <xf numFmtId="0" fontId="0" fillId="4" borderId="4" xfId="0" applyFill="1" applyBorder="1"/>
    <xf numFmtId="0" fontId="0" fillId="4" borderId="5" xfId="0" applyFill="1" applyBorder="1"/>
    <xf numFmtId="0" fontId="0" fillId="4" borderId="1" xfId="0" applyFill="1" applyBorder="1" applyProtection="1">
      <protection locked="0"/>
    </xf>
    <xf numFmtId="0" fontId="2" fillId="0" borderId="0" xfId="0" applyFont="1"/>
    <xf numFmtId="164" fontId="0" fillId="4" borderId="6" xfId="0" applyNumberFormat="1" applyFill="1" applyBorder="1" applyProtection="1">
      <protection locked="0"/>
    </xf>
    <xf numFmtId="0" fontId="4" fillId="0" borderId="0" xfId="0" applyFont="1"/>
    <xf numFmtId="164" fontId="0" fillId="4" borderId="7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6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2" fillId="0" borderId="16" xfId="0" applyFont="1" applyBorder="1"/>
    <xf numFmtId="0" fontId="0" fillId="0" borderId="17" xfId="0" applyBorder="1"/>
    <xf numFmtId="0" fontId="0" fillId="0" borderId="16" xfId="0" applyFont="1" applyBorder="1"/>
    <xf numFmtId="166" fontId="0" fillId="0" borderId="17" xfId="2" applyFont="1" applyBorder="1" applyAlignment="1" applyProtection="1">
      <protection locked="0"/>
    </xf>
    <xf numFmtId="167" fontId="0" fillId="0" borderId="0" xfId="0" applyNumberFormat="1"/>
    <xf numFmtId="168" fontId="0" fillId="0" borderId="0" xfId="0" applyNumberFormat="1"/>
    <xf numFmtId="0" fontId="0" fillId="0" borderId="16" xfId="0" applyFont="1" applyBorder="1" applyAlignment="1">
      <alignment horizontal="left"/>
    </xf>
    <xf numFmtId="169" fontId="0" fillId="0" borderId="17" xfId="2" applyNumberFormat="1" applyFont="1" applyBorder="1" applyAlignment="1" applyProtection="1">
      <protection locked="0"/>
    </xf>
    <xf numFmtId="165" fontId="0" fillId="0" borderId="0" xfId="0" applyNumberFormat="1"/>
    <xf numFmtId="166" fontId="0" fillId="0" borderId="17" xfId="2" applyFont="1" applyBorder="1" applyAlignment="1" applyProtection="1"/>
    <xf numFmtId="164" fontId="0" fillId="0" borderId="0" xfId="0" applyNumberFormat="1"/>
    <xf numFmtId="0" fontId="2" fillId="0" borderId="11" xfId="0" applyFont="1" applyBorder="1" applyAlignment="1">
      <alignment horizontal="left"/>
    </xf>
    <xf numFmtId="166" fontId="0" fillId="0" borderId="12" xfId="2" applyFont="1" applyBorder="1" applyAlignment="1" applyProtection="1">
      <protection locked="0"/>
    </xf>
    <xf numFmtId="0" fontId="2" fillId="0" borderId="8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8" xfId="0" applyFont="1" applyBorder="1"/>
    <xf numFmtId="166" fontId="0" fillId="0" borderId="9" xfId="2" applyFont="1" applyBorder="1" applyAlignment="1" applyProtection="1"/>
    <xf numFmtId="0" fontId="0" fillId="0" borderId="9" xfId="0" applyBorder="1" applyAlignment="1">
      <alignment horizontal="center"/>
    </xf>
    <xf numFmtId="0" fontId="0" fillId="0" borderId="10" xfId="0" applyBorder="1"/>
    <xf numFmtId="0" fontId="2" fillId="0" borderId="14" xfId="0" applyFont="1" applyBorder="1"/>
    <xf numFmtId="166" fontId="0" fillId="0" borderId="15" xfId="2" applyFont="1" applyBorder="1" applyAlignment="1" applyProtection="1"/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17" xfId="2" applyNumberFormat="1" applyFont="1" applyBorder="1" applyAlignment="1" applyProtection="1">
      <protection locked="0"/>
    </xf>
    <xf numFmtId="166" fontId="0" fillId="0" borderId="19" xfId="2" applyFont="1" applyBorder="1" applyAlignment="1" applyProtection="1">
      <protection locked="0"/>
    </xf>
    <xf numFmtId="0" fontId="2" fillId="0" borderId="16" xfId="0" applyFont="1" applyBorder="1" applyAlignment="1">
      <alignment horizontal="left"/>
    </xf>
    <xf numFmtId="170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170" fontId="0" fillId="0" borderId="17" xfId="0" applyNumberFormat="1" applyBorder="1"/>
    <xf numFmtId="170" fontId="0" fillId="0" borderId="19" xfId="0" applyNumberFormat="1" applyBorder="1"/>
    <xf numFmtId="170" fontId="2" fillId="0" borderId="17" xfId="0" applyNumberFormat="1" applyFon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170" fontId="0" fillId="0" borderId="0" xfId="0" applyNumberFormat="1"/>
    <xf numFmtId="170" fontId="2" fillId="0" borderId="0" xfId="0" applyNumberFormat="1" applyFont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2" fillId="0" borderId="0" xfId="0" applyFont="1" applyBorder="1"/>
    <xf numFmtId="0" fontId="0" fillId="0" borderId="0" xfId="0" applyFont="1" applyBorder="1"/>
    <xf numFmtId="164" fontId="0" fillId="0" borderId="0" xfId="0" applyNumberFormat="1" applyBorder="1"/>
    <xf numFmtId="167" fontId="0" fillId="0" borderId="0" xfId="0" applyNumberFormat="1" applyBorder="1"/>
    <xf numFmtId="171" fontId="0" fillId="0" borderId="0" xfId="0" applyNumberFormat="1" applyBorder="1"/>
    <xf numFmtId="168" fontId="0" fillId="0" borderId="0" xfId="0" applyNumberFormat="1" applyBorder="1"/>
    <xf numFmtId="0" fontId="0" fillId="0" borderId="0" xfId="0" applyFont="1" applyBorder="1" applyAlignment="1">
      <alignment horizontal="left"/>
    </xf>
    <xf numFmtId="166" fontId="0" fillId="0" borderId="0" xfId="2" applyFont="1" applyBorder="1" applyAlignment="1" applyProtection="1">
      <protection locked="0"/>
    </xf>
    <xf numFmtId="0" fontId="0" fillId="0" borderId="20" xfId="0" applyFont="1" applyBorder="1"/>
    <xf numFmtId="0" fontId="0" fillId="0" borderId="21" xfId="0" applyBorder="1"/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6" fontId="0" fillId="0" borderId="15" xfId="2" applyFont="1" applyBorder="1" applyAlignment="1" applyProtection="1">
      <alignment horizontal="center"/>
      <protection locked="0"/>
    </xf>
    <xf numFmtId="166" fontId="0" fillId="0" borderId="17" xfId="2" applyFont="1" applyBorder="1" applyAlignment="1" applyProtection="1">
      <alignment horizontal="center"/>
      <protection locked="0"/>
    </xf>
    <xf numFmtId="166" fontId="0" fillId="0" borderId="19" xfId="2" applyFont="1" applyBorder="1" applyAlignment="1" applyProtection="1">
      <alignment horizontal="center"/>
      <protection locked="0"/>
    </xf>
    <xf numFmtId="172" fontId="0" fillId="0" borderId="17" xfId="0" applyNumberFormat="1" applyBorder="1" applyAlignment="1" applyProtection="1">
      <protection locked="0"/>
    </xf>
    <xf numFmtId="0" fontId="0" fillId="0" borderId="25" xfId="0" applyBorder="1"/>
    <xf numFmtId="170" fontId="0" fillId="0" borderId="26" xfId="0" applyNumberFormat="1" applyBorder="1" applyAlignment="1">
      <alignment horizontal="center"/>
    </xf>
    <xf numFmtId="170" fontId="0" fillId="0" borderId="27" xfId="0" applyNumberFormat="1" applyBorder="1"/>
    <xf numFmtId="0" fontId="2" fillId="0" borderId="25" xfId="0" applyFont="1" applyBorder="1"/>
    <xf numFmtId="165" fontId="0" fillId="0" borderId="26" xfId="0" applyNumberFormat="1" applyBorder="1" applyAlignment="1" applyProtection="1">
      <alignment horizontal="center"/>
      <protection locked="0"/>
    </xf>
    <xf numFmtId="165" fontId="0" fillId="0" borderId="12" xfId="2" applyNumberFormat="1" applyFont="1" applyBorder="1" applyAlignment="1" applyProtection="1">
      <alignment horizontal="center"/>
      <protection locked="0"/>
    </xf>
    <xf numFmtId="0" fontId="0" fillId="0" borderId="8" xfId="0" applyBorder="1"/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166" fontId="0" fillId="0" borderId="18" xfId="2" applyFont="1" applyBorder="1" applyAlignment="1" applyProtection="1">
      <alignment horizontal="center"/>
      <protection locked="0"/>
    </xf>
    <xf numFmtId="166" fontId="0" fillId="0" borderId="12" xfId="2" applyFont="1" applyBorder="1" applyAlignment="1" applyProtection="1">
      <alignment horizontal="center"/>
      <protection locked="0"/>
    </xf>
    <xf numFmtId="173" fontId="0" fillId="0" borderId="0" xfId="0" applyNumberFormat="1" applyAlignment="1">
      <alignment horizontal="center"/>
    </xf>
    <xf numFmtId="173" fontId="2" fillId="0" borderId="9" xfId="0" applyNumberFormat="1" applyFont="1" applyBorder="1" applyAlignment="1">
      <alignment horizontal="center"/>
    </xf>
    <xf numFmtId="173" fontId="2" fillId="0" borderId="10" xfId="0" applyNumberFormat="1" applyFont="1" applyBorder="1" applyAlignment="1">
      <alignment horizontal="center"/>
    </xf>
    <xf numFmtId="166" fontId="0" fillId="0" borderId="26" xfId="2" applyFont="1" applyBorder="1" applyAlignment="1" applyProtection="1">
      <alignment horizontal="center"/>
      <protection locked="0"/>
    </xf>
    <xf numFmtId="166" fontId="0" fillId="0" borderId="27" xfId="2" applyFont="1" applyBorder="1" applyAlignment="1" applyProtection="1">
      <alignment horizontal="center"/>
      <protection locked="0"/>
    </xf>
    <xf numFmtId="165" fontId="0" fillId="0" borderId="26" xfId="3" applyNumberFormat="1" applyFont="1" applyBorder="1" applyAlignment="1" applyProtection="1">
      <alignment horizontal="center"/>
      <protection locked="0"/>
    </xf>
    <xf numFmtId="165" fontId="0" fillId="0" borderId="12" xfId="3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/>
    </xf>
    <xf numFmtId="166" fontId="0" fillId="0" borderId="9" xfId="2" applyFont="1" applyBorder="1" applyAlignment="1" applyProtection="1">
      <alignment horizontal="center"/>
      <protection locked="0"/>
    </xf>
    <xf numFmtId="166" fontId="0" fillId="0" borderId="17" xfId="2" applyFont="1" applyBorder="1" applyAlignment="1" applyProtection="1">
      <alignment horizontal="center"/>
    </xf>
    <xf numFmtId="166" fontId="0" fillId="0" borderId="19" xfId="2" applyFont="1" applyBorder="1" applyAlignment="1" applyProtection="1">
      <alignment horizontal="center"/>
    </xf>
    <xf numFmtId="165" fontId="0" fillId="0" borderId="17" xfId="3" applyNumberFormat="1" applyFont="1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69" fontId="0" fillId="0" borderId="17" xfId="1" applyFont="1" applyBorder="1" applyAlignment="1" applyProtection="1">
      <alignment horizontal="center"/>
      <protection locked="0"/>
    </xf>
    <xf numFmtId="171" fontId="0" fillId="0" borderId="17" xfId="2" applyNumberFormat="1" applyFont="1" applyBorder="1" applyAlignment="1" applyProtection="1">
      <alignment horizontal="center"/>
      <protection locked="0"/>
    </xf>
    <xf numFmtId="166" fontId="2" fillId="0" borderId="17" xfId="2" applyFont="1" applyBorder="1" applyAlignment="1" applyProtection="1">
      <alignment horizontal="center"/>
      <protection locked="0"/>
    </xf>
    <xf numFmtId="166" fontId="2" fillId="0" borderId="19" xfId="2" applyFont="1" applyBorder="1" applyAlignment="1" applyProtection="1">
      <alignment horizontal="center"/>
      <protection locked="0"/>
    </xf>
    <xf numFmtId="0" fontId="2" fillId="0" borderId="17" xfId="2" applyNumberFormat="1" applyFont="1" applyBorder="1" applyAlignment="1" applyProtection="1">
      <alignment horizontal="center"/>
      <protection locked="0"/>
    </xf>
    <xf numFmtId="0" fontId="2" fillId="0" borderId="19" xfId="2" applyNumberFormat="1" applyFont="1" applyBorder="1" applyAlignment="1" applyProtection="1">
      <alignment horizontal="center"/>
      <protection locked="0"/>
    </xf>
    <xf numFmtId="166" fontId="2" fillId="0" borderId="17" xfId="2" applyFont="1" applyBorder="1" applyAlignment="1" applyProtection="1">
      <alignment horizontal="center"/>
    </xf>
    <xf numFmtId="166" fontId="2" fillId="0" borderId="19" xfId="2" applyFont="1" applyBorder="1" applyAlignment="1" applyProtection="1">
      <alignment horizontal="center"/>
    </xf>
    <xf numFmtId="164" fontId="0" fillId="0" borderId="17" xfId="3" applyFont="1" applyBorder="1" applyAlignment="1" applyProtection="1">
      <protection locked="0"/>
    </xf>
    <xf numFmtId="164" fontId="0" fillId="0" borderId="17" xfId="3" applyFont="1" applyBorder="1" applyAlignment="1" applyProtection="1"/>
    <xf numFmtId="164" fontId="0" fillId="0" borderId="19" xfId="3" applyFont="1" applyBorder="1" applyAlignment="1" applyProtection="1"/>
    <xf numFmtId="164" fontId="0" fillId="0" borderId="19" xfId="3" applyFont="1" applyBorder="1" applyAlignment="1" applyProtection="1">
      <protection locked="0"/>
    </xf>
    <xf numFmtId="166" fontId="0" fillId="0" borderId="17" xfId="3" applyNumberFormat="1" applyFont="1" applyBorder="1" applyAlignment="1" applyProtection="1">
      <protection locked="0"/>
    </xf>
    <xf numFmtId="174" fontId="0" fillId="0" borderId="17" xfId="3" applyNumberFormat="1" applyFont="1" applyBorder="1" applyAlignment="1" applyProtection="1">
      <protection locked="0"/>
    </xf>
    <xf numFmtId="166" fontId="0" fillId="0" borderId="19" xfId="2" applyFont="1" applyBorder="1" applyAlignment="1" applyProtection="1"/>
    <xf numFmtId="0" fontId="6" fillId="0" borderId="0" xfId="0" applyFont="1"/>
    <xf numFmtId="0" fontId="0" fillId="0" borderId="2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28" xfId="0" applyBorder="1"/>
    <xf numFmtId="166" fontId="0" fillId="0" borderId="28" xfId="0" applyNumberFormat="1" applyBorder="1"/>
    <xf numFmtId="169" fontId="0" fillId="0" borderId="28" xfId="0" applyNumberFormat="1" applyBorder="1"/>
    <xf numFmtId="166" fontId="13" fillId="0" borderId="28" xfId="2" applyBorder="1" applyAlignment="1" applyProtection="1"/>
    <xf numFmtId="175" fontId="0" fillId="0" borderId="28" xfId="0" applyNumberFormat="1" applyBorder="1"/>
    <xf numFmtId="166" fontId="7" fillId="0" borderId="28" xfId="0" applyNumberFormat="1" applyFont="1" applyBorder="1"/>
    <xf numFmtId="0" fontId="0" fillId="0" borderId="0" xfId="0" applyFont="1" applyAlignment="1">
      <alignment horizontal="center"/>
    </xf>
    <xf numFmtId="0" fontId="0" fillId="0" borderId="28" xfId="0" applyFont="1" applyBorder="1"/>
    <xf numFmtId="0" fontId="0" fillId="0" borderId="28" xfId="0" applyBorder="1" applyAlignment="1">
      <alignment horizontal="center"/>
    </xf>
    <xf numFmtId="0" fontId="0" fillId="0" borderId="28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Alignment="1"/>
    <xf numFmtId="3" fontId="0" fillId="0" borderId="28" xfId="0" applyNumberFormat="1" applyFont="1" applyBorder="1" applyAlignment="1">
      <alignment horizontal="center"/>
    </xf>
    <xf numFmtId="0" fontId="0" fillId="0" borderId="28" xfId="0" applyFont="1" applyBorder="1" applyAlignment="1"/>
    <xf numFmtId="0" fontId="0" fillId="0" borderId="0" xfId="0" applyFont="1" applyAlignment="1">
      <alignment horizontal="left"/>
    </xf>
    <xf numFmtId="0" fontId="0" fillId="5" borderId="0" xfId="0" applyFont="1" applyFill="1"/>
    <xf numFmtId="164" fontId="0" fillId="0" borderId="0" xfId="0" applyNumberFormat="1" applyAlignment="1">
      <alignment horizontal="center"/>
    </xf>
    <xf numFmtId="0" fontId="8" fillId="0" borderId="0" xfId="4" applyFont="1" applyBorder="1" applyAlignment="1" applyProtection="1"/>
    <xf numFmtId="0" fontId="0" fillId="5" borderId="0" xfId="0" applyFill="1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center"/>
    </xf>
    <xf numFmtId="165" fontId="0" fillId="0" borderId="0" xfId="0" applyNumberFormat="1" applyAlignment="1"/>
    <xf numFmtId="3" fontId="0" fillId="0" borderId="0" xfId="0" applyNumberFormat="1"/>
    <xf numFmtId="0" fontId="0" fillId="6" borderId="0" xfId="0" applyFill="1"/>
    <xf numFmtId="0" fontId="0" fillId="0" borderId="0" xfId="0" applyAlignment="1">
      <alignment horizontal="left"/>
    </xf>
    <xf numFmtId="0" fontId="0" fillId="7" borderId="0" xfId="0" applyFont="1" applyFill="1"/>
    <xf numFmtId="176" fontId="0" fillId="0" borderId="0" xfId="0" applyNumberFormat="1" applyFont="1"/>
    <xf numFmtId="0" fontId="9" fillId="0" borderId="30" xfId="0" applyFont="1" applyBorder="1"/>
    <xf numFmtId="0" fontId="9" fillId="0" borderId="31" xfId="0" applyFont="1" applyBorder="1"/>
    <xf numFmtId="0" fontId="9" fillId="0" borderId="32" xfId="0" applyFont="1" applyBorder="1"/>
    <xf numFmtId="0" fontId="0" fillId="0" borderId="33" xfId="0" applyFont="1" applyBorder="1"/>
    <xf numFmtId="165" fontId="0" fillId="0" borderId="0" xfId="0" applyNumberFormat="1" applyBorder="1"/>
    <xf numFmtId="0" fontId="0" fillId="0" borderId="34" xfId="0" applyBorder="1"/>
    <xf numFmtId="0" fontId="0" fillId="0" borderId="35" xfId="0" applyFont="1" applyBorder="1"/>
    <xf numFmtId="0" fontId="0" fillId="0" borderId="36" xfId="0" applyBorder="1"/>
    <xf numFmtId="0" fontId="0" fillId="0" borderId="37" xfId="0" applyBorder="1"/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7" borderId="0" xfId="0" applyFont="1" applyFill="1" applyBorder="1"/>
    <xf numFmtId="0" fontId="0" fillId="0" borderId="30" xfId="0" applyBorder="1"/>
    <xf numFmtId="0" fontId="0" fillId="0" borderId="31" xfId="0" applyBorder="1"/>
    <xf numFmtId="0" fontId="0" fillId="0" borderId="32" xfId="0" applyFont="1" applyBorder="1"/>
    <xf numFmtId="164" fontId="0" fillId="0" borderId="36" xfId="0" applyNumberFormat="1" applyBorder="1"/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169" fontId="0" fillId="0" borderId="0" xfId="0" applyNumberFormat="1" applyBorder="1"/>
    <xf numFmtId="169" fontId="0" fillId="0" borderId="34" xfId="0" applyNumberFormat="1" applyBorder="1"/>
    <xf numFmtId="0" fontId="0" fillId="0" borderId="35" xfId="0" applyBorder="1"/>
    <xf numFmtId="0" fontId="0" fillId="0" borderId="38" xfId="0" applyFont="1" applyBorder="1"/>
    <xf numFmtId="0" fontId="0" fillId="0" borderId="40" xfId="0" applyFont="1" applyBorder="1"/>
    <xf numFmtId="0" fontId="0" fillId="0" borderId="33" xfId="0" applyBorder="1" applyAlignment="1">
      <alignment horizontal="left"/>
    </xf>
    <xf numFmtId="176" fontId="0" fillId="0" borderId="35" xfId="0" applyNumberFormat="1" applyFont="1" applyBorder="1"/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/>
    <xf numFmtId="166" fontId="0" fillId="0" borderId="15" xfId="2" applyFont="1" applyBorder="1" applyAlignment="1" applyProtection="1">
      <alignment horizontal="center"/>
    </xf>
    <xf numFmtId="166" fontId="0" fillId="0" borderId="47" xfId="2" applyFont="1" applyBorder="1" applyAlignment="1" applyProtection="1">
      <alignment horizontal="center"/>
    </xf>
    <xf numFmtId="166" fontId="0" fillId="0" borderId="48" xfId="2" applyFont="1" applyBorder="1" applyAlignment="1" applyProtection="1">
      <alignment horizontal="center"/>
      <protection locked="0"/>
    </xf>
    <xf numFmtId="0" fontId="0" fillId="0" borderId="46" xfId="0" applyBorder="1"/>
    <xf numFmtId="166" fontId="0" fillId="0" borderId="48" xfId="2" applyFont="1" applyBorder="1" applyAlignment="1" applyProtection="1">
      <alignment horizontal="center"/>
    </xf>
    <xf numFmtId="177" fontId="0" fillId="0" borderId="17" xfId="0" applyNumberFormat="1" applyBorder="1" applyAlignment="1" applyProtection="1">
      <alignment horizontal="right"/>
      <protection locked="0"/>
    </xf>
    <xf numFmtId="177" fontId="0" fillId="0" borderId="48" xfId="0" applyNumberFormat="1" applyBorder="1" applyAlignment="1" applyProtection="1">
      <alignment horizontal="right"/>
      <protection locked="0"/>
    </xf>
    <xf numFmtId="177" fontId="0" fillId="0" borderId="26" xfId="0" applyNumberFormat="1" applyBorder="1" applyAlignment="1" applyProtection="1">
      <alignment horizontal="right"/>
      <protection locked="0"/>
    </xf>
    <xf numFmtId="177" fontId="0" fillId="0" borderId="49" xfId="0" applyNumberFormat="1" applyBorder="1" applyAlignment="1" applyProtection="1">
      <alignment horizontal="right"/>
      <protection locked="0"/>
    </xf>
    <xf numFmtId="177" fontId="0" fillId="0" borderId="26" xfId="0" applyNumberFormat="1" applyBorder="1" applyAlignment="1">
      <alignment horizontal="right"/>
    </xf>
    <xf numFmtId="177" fontId="0" fillId="0" borderId="49" xfId="0" applyNumberFormat="1" applyBorder="1" applyAlignment="1">
      <alignment horizontal="right"/>
    </xf>
    <xf numFmtId="0" fontId="2" fillId="0" borderId="50" xfId="0" applyFont="1" applyBorder="1"/>
    <xf numFmtId="177" fontId="0" fillId="0" borderId="51" xfId="2" applyNumberFormat="1" applyFont="1" applyBorder="1" applyAlignment="1" applyProtection="1">
      <alignment horizontal="right"/>
      <protection locked="0"/>
    </xf>
    <xf numFmtId="177" fontId="0" fillId="0" borderId="52" xfId="2" applyNumberFormat="1" applyFont="1" applyBorder="1" applyAlignment="1" applyProtection="1">
      <alignment horizontal="right"/>
      <protection locked="0"/>
    </xf>
    <xf numFmtId="0" fontId="0" fillId="0" borderId="0" xfId="0" applyFont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0" fillId="0" borderId="31" xfId="0" applyFont="1" applyBorder="1"/>
    <xf numFmtId="0" fontId="10" fillId="0" borderId="33" xfId="0" applyFont="1" applyBorder="1"/>
    <xf numFmtId="0" fontId="10" fillId="0" borderId="0" xfId="0" applyFont="1" applyBorder="1"/>
    <xf numFmtId="3" fontId="10" fillId="0" borderId="0" xfId="0" applyNumberFormat="1" applyFont="1" applyBorder="1"/>
    <xf numFmtId="3" fontId="10" fillId="0" borderId="34" xfId="0" applyNumberFormat="1" applyFont="1" applyBorder="1"/>
    <xf numFmtId="0" fontId="10" fillId="0" borderId="34" xfId="0" applyFont="1" applyBorder="1"/>
    <xf numFmtId="3" fontId="10" fillId="0" borderId="0" xfId="0" applyNumberFormat="1" applyFont="1" applyBorder="1"/>
    <xf numFmtId="0" fontId="10" fillId="0" borderId="35" xfId="0" applyFont="1" applyBorder="1"/>
    <xf numFmtId="3" fontId="10" fillId="0" borderId="37" xfId="0" applyNumberFormat="1" applyFont="1" applyBorder="1"/>
    <xf numFmtId="171" fontId="0" fillId="0" borderId="0" xfId="0" applyNumberFormat="1"/>
    <xf numFmtId="0" fontId="2" fillId="0" borderId="12" xfId="0" applyFont="1" applyBorder="1" applyAlignment="1">
      <alignment horizontal="center" wrapText="1"/>
    </xf>
    <xf numFmtId="0" fontId="2" fillId="0" borderId="53" xfId="0" applyFont="1" applyBorder="1" applyAlignment="1">
      <alignment horizontal="center"/>
    </xf>
    <xf numFmtId="0" fontId="2" fillId="0" borderId="54" xfId="0" applyFont="1" applyBorder="1"/>
    <xf numFmtId="166" fontId="0" fillId="0" borderId="55" xfId="2" applyFont="1" applyBorder="1" applyAlignment="1" applyProtection="1">
      <alignment horizontal="center"/>
    </xf>
    <xf numFmtId="166" fontId="0" fillId="0" borderId="18" xfId="2" applyFont="1" applyBorder="1" applyAlignment="1" applyProtection="1">
      <alignment horizontal="center"/>
    </xf>
    <xf numFmtId="0" fontId="0" fillId="0" borderId="54" xfId="0" applyFont="1" applyBorder="1"/>
    <xf numFmtId="166" fontId="0" fillId="0" borderId="56" xfId="2" applyFont="1" applyBorder="1" applyAlignment="1" applyProtection="1">
      <alignment horizontal="center"/>
      <protection locked="0"/>
    </xf>
    <xf numFmtId="166" fontId="0" fillId="0" borderId="56" xfId="2" applyFont="1" applyBorder="1" applyAlignment="1" applyProtection="1">
      <alignment horizontal="center"/>
    </xf>
    <xf numFmtId="166" fontId="0" fillId="8" borderId="17" xfId="2" applyFont="1" applyFill="1" applyBorder="1" applyAlignment="1" applyProtection="1">
      <alignment horizontal="center"/>
      <protection locked="0"/>
    </xf>
    <xf numFmtId="0" fontId="2" fillId="0" borderId="57" xfId="0" applyFont="1" applyBorder="1"/>
    <xf numFmtId="0" fontId="1" fillId="0" borderId="30" xfId="0" applyFont="1" applyBorder="1"/>
    <xf numFmtId="0" fontId="6" fillId="0" borderId="33" xfId="0" applyFont="1" applyBorder="1"/>
    <xf numFmtId="0" fontId="2" fillId="0" borderId="33" xfId="0" applyFont="1" applyBorder="1"/>
    <xf numFmtId="0" fontId="2" fillId="0" borderId="34" xfId="0" applyFont="1" applyBorder="1"/>
    <xf numFmtId="164" fontId="2" fillId="0" borderId="0" xfId="0" applyNumberFormat="1" applyFont="1"/>
    <xf numFmtId="178" fontId="0" fillId="0" borderId="0" xfId="0" applyNumberFormat="1" applyFont="1" applyBorder="1"/>
    <xf numFmtId="178" fontId="0" fillId="0" borderId="34" xfId="0" applyNumberFormat="1" applyBorder="1"/>
    <xf numFmtId="178" fontId="0" fillId="0" borderId="0" xfId="0" applyNumberFormat="1" applyBorder="1"/>
    <xf numFmtId="0" fontId="2" fillId="0" borderId="35" xfId="0" applyFont="1" applyBorder="1"/>
    <xf numFmtId="178" fontId="0" fillId="0" borderId="36" xfId="0" applyNumberFormat="1" applyBorder="1"/>
    <xf numFmtId="178" fontId="0" fillId="0" borderId="37" xfId="0" applyNumberFormat="1" applyBorder="1"/>
    <xf numFmtId="178" fontId="0" fillId="0" borderId="0" xfId="0" applyNumberFormat="1"/>
    <xf numFmtId="0" fontId="6" fillId="0" borderId="22" xfId="0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2" fillId="0" borderId="53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58" xfId="0" applyFont="1" applyBorder="1" applyAlignment="1">
      <alignment horizontal="center"/>
    </xf>
    <xf numFmtId="166" fontId="0" fillId="0" borderId="59" xfId="2" applyFont="1" applyBorder="1" applyAlignment="1" applyProtection="1">
      <alignment horizontal="center"/>
      <protection locked="0"/>
    </xf>
    <xf numFmtId="166" fontId="0" fillId="0" borderId="55" xfId="2" applyFont="1" applyBorder="1" applyAlignment="1" applyProtection="1">
      <alignment horizontal="center"/>
      <protection locked="0"/>
    </xf>
    <xf numFmtId="0" fontId="2" fillId="0" borderId="60" xfId="0" applyFont="1" applyBorder="1" applyAlignment="1">
      <alignment horizontal="center"/>
    </xf>
    <xf numFmtId="166" fontId="0" fillId="0" borderId="61" xfId="2" applyFont="1" applyBorder="1" applyAlignment="1" applyProtection="1">
      <alignment horizontal="center"/>
      <protection locked="0"/>
    </xf>
    <xf numFmtId="166" fontId="0" fillId="0" borderId="61" xfId="2" applyFont="1" applyBorder="1" applyAlignment="1" applyProtection="1">
      <alignment horizontal="center"/>
    </xf>
    <xf numFmtId="0" fontId="2" fillId="0" borderId="62" xfId="0" applyFont="1" applyBorder="1" applyAlignment="1">
      <alignment horizontal="center"/>
    </xf>
    <xf numFmtId="166" fontId="0" fillId="0" borderId="63" xfId="2" applyFont="1" applyBorder="1" applyAlignment="1" applyProtection="1">
      <alignment horizontal="center"/>
      <protection locked="0"/>
    </xf>
    <xf numFmtId="166" fontId="0" fillId="0" borderId="1" xfId="2" applyFont="1" applyBorder="1" applyAlignment="1" applyProtection="1">
      <protection locked="0"/>
    </xf>
    <xf numFmtId="169" fontId="0" fillId="0" borderId="1" xfId="0" applyNumberFormat="1" applyBorder="1" applyProtection="1">
      <protection locked="0"/>
    </xf>
    <xf numFmtId="169" fontId="0" fillId="0" borderId="0" xfId="0" applyNumberFormat="1"/>
    <xf numFmtId="164" fontId="0" fillId="0" borderId="1" xfId="3" applyFont="1" applyBorder="1" applyAlignment="1" applyProtection="1">
      <protection locked="0"/>
    </xf>
    <xf numFmtId="0" fontId="0" fillId="0" borderId="0" xfId="0" applyBorder="1" applyAlignment="1" applyProtection="1">
      <alignment horizontal="center"/>
    </xf>
    <xf numFmtId="0" fontId="5" fillId="2" borderId="2" xfId="0" applyFont="1" applyFill="1" applyBorder="1" applyProtection="1"/>
    <xf numFmtId="0" fontId="0" fillId="0" borderId="2" xfId="0" applyBorder="1" applyAlignment="1" applyProtection="1">
      <alignment horizontal="center"/>
    </xf>
    <xf numFmtId="0" fontId="0" fillId="0" borderId="1" xfId="0" applyBorder="1"/>
    <xf numFmtId="0" fontId="6" fillId="0" borderId="8" xfId="0" applyFont="1" applyBorder="1" applyAlignment="1">
      <alignment horizontal="left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164" fontId="0" fillId="0" borderId="17" xfId="3" applyFont="1" applyBorder="1" applyAlignment="1" applyProtection="1">
      <alignment horizontal="center"/>
      <protection locked="0"/>
    </xf>
    <xf numFmtId="166" fontId="2" fillId="0" borderId="12" xfId="2" applyFont="1" applyBorder="1" applyAlignment="1" applyProtection="1">
      <alignment horizontal="center"/>
      <protection locked="0"/>
    </xf>
    <xf numFmtId="164" fontId="2" fillId="0" borderId="12" xfId="3" applyFont="1" applyBorder="1" applyAlignment="1" applyProtection="1">
      <alignment horizontal="center"/>
      <protection locked="0"/>
    </xf>
    <xf numFmtId="1" fontId="2" fillId="0" borderId="0" xfId="0" applyNumberFormat="1" applyFont="1" applyAlignment="1">
      <alignment horizontal="center"/>
    </xf>
    <xf numFmtId="0" fontId="6" fillId="0" borderId="64" xfId="0" applyFont="1" applyBorder="1" applyAlignment="1">
      <alignment horizontal="left"/>
    </xf>
    <xf numFmtId="0" fontId="6" fillId="0" borderId="65" xfId="0" applyFont="1" applyBorder="1" applyAlignment="1">
      <alignment horizontal="left"/>
    </xf>
    <xf numFmtId="0" fontId="6" fillId="0" borderId="66" xfId="0" applyFont="1" applyBorder="1" applyAlignment="1">
      <alignment horizontal="left"/>
    </xf>
    <xf numFmtId="0" fontId="2" fillId="0" borderId="67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0" borderId="72" xfId="0" applyFont="1" applyBorder="1" applyAlignment="1">
      <alignment horizontal="center"/>
    </xf>
    <xf numFmtId="179" fontId="0" fillId="0" borderId="8" xfId="0" applyNumberFormat="1" applyFont="1" applyBorder="1" applyProtection="1">
      <protection locked="0"/>
    </xf>
    <xf numFmtId="166" fontId="0" fillId="0" borderId="9" xfId="2" applyFont="1" applyBorder="1" applyAlignment="1" applyProtection="1">
      <protection locked="0"/>
    </xf>
    <xf numFmtId="164" fontId="0" fillId="0" borderId="9" xfId="3" applyFont="1" applyBorder="1" applyAlignment="1" applyProtection="1">
      <protection locked="0"/>
    </xf>
    <xf numFmtId="166" fontId="0" fillId="0" borderId="10" xfId="2" applyFont="1" applyBorder="1" applyAlignment="1" applyProtection="1">
      <alignment horizontal="center"/>
      <protection locked="0"/>
    </xf>
    <xf numFmtId="179" fontId="0" fillId="0" borderId="16" xfId="0" applyNumberFormat="1" applyFont="1" applyBorder="1" applyProtection="1">
      <protection locked="0"/>
    </xf>
    <xf numFmtId="179" fontId="0" fillId="0" borderId="11" xfId="0" applyNumberFormat="1" applyFont="1" applyBorder="1" applyProtection="1">
      <protection locked="0"/>
    </xf>
    <xf numFmtId="164" fontId="0" fillId="0" borderId="12" xfId="3" applyFont="1" applyBorder="1" applyAlignment="1" applyProtection="1">
      <protection locked="0"/>
    </xf>
    <xf numFmtId="0" fontId="2" fillId="0" borderId="0" xfId="0" applyFont="1" applyBorder="1" applyAlignment="1">
      <alignment horizontal="right"/>
    </xf>
    <xf numFmtId="166" fontId="2" fillId="0" borderId="0" xfId="2" applyFont="1" applyBorder="1" applyAlignment="1" applyProtection="1">
      <alignment horizontal="center"/>
    </xf>
    <xf numFmtId="166" fontId="2" fillId="0" borderId="1" xfId="2" applyFont="1" applyBorder="1" applyAlignment="1" applyProtection="1">
      <alignment horizontal="center"/>
      <protection locked="0"/>
    </xf>
    <xf numFmtId="166" fontId="2" fillId="0" borderId="0" xfId="2" applyFont="1" applyBorder="1" applyAlignment="1" applyProtection="1"/>
    <xf numFmtId="164" fontId="0" fillId="0" borderId="0" xfId="3" applyFont="1" applyBorder="1" applyAlignment="1" applyProtection="1"/>
    <xf numFmtId="180" fontId="0" fillId="0" borderId="8" xfId="0" applyNumberFormat="1" applyFont="1" applyBorder="1" applyAlignment="1" applyProtection="1">
      <alignment horizontal="center"/>
      <protection locked="0"/>
    </xf>
    <xf numFmtId="179" fontId="0" fillId="0" borderId="16" xfId="0" applyNumberFormat="1" applyFont="1" applyBorder="1" applyAlignment="1" applyProtection="1">
      <alignment horizontal="center"/>
      <protection locked="0"/>
    </xf>
    <xf numFmtId="0" fontId="11" fillId="0" borderId="0" xfId="0" applyFont="1"/>
    <xf numFmtId="166" fontId="2" fillId="0" borderId="12" xfId="2" applyFont="1" applyBorder="1" applyAlignment="1" applyProtection="1"/>
    <xf numFmtId="164" fontId="2" fillId="0" borderId="12" xfId="3" applyFont="1" applyBorder="1" applyAlignment="1" applyProtection="1"/>
    <xf numFmtId="166" fontId="2" fillId="0" borderId="13" xfId="2" applyFont="1" applyBorder="1" applyAlignment="1" applyProtection="1">
      <alignment horizontal="center"/>
      <protection locked="0"/>
    </xf>
    <xf numFmtId="0" fontId="0" fillId="0" borderId="7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0" fontId="0" fillId="0" borderId="75" xfId="0" applyBorder="1" applyAlignment="1">
      <alignment horizontal="center"/>
    </xf>
    <xf numFmtId="171" fontId="0" fillId="0" borderId="76" xfId="0" applyNumberFormat="1" applyBorder="1"/>
    <xf numFmtId="171" fontId="0" fillId="0" borderId="77" xfId="0" applyNumberFormat="1" applyBorder="1"/>
    <xf numFmtId="171" fontId="0" fillId="0" borderId="39" xfId="0" applyNumberFormat="1" applyBorder="1"/>
    <xf numFmtId="171" fontId="0" fillId="0" borderId="75" xfId="0" applyNumberFormat="1" applyBorder="1"/>
    <xf numFmtId="0" fontId="0" fillId="0" borderId="78" xfId="0" applyFont="1" applyBorder="1" applyAlignment="1">
      <alignment horizontal="center"/>
    </xf>
    <xf numFmtId="171" fontId="0" fillId="0" borderId="79" xfId="0" applyNumberFormat="1" applyBorder="1"/>
    <xf numFmtId="171" fontId="0" fillId="0" borderId="78" xfId="0" applyNumberFormat="1" applyBorder="1"/>
    <xf numFmtId="2" fontId="0" fillId="0" borderId="0" xfId="0" applyNumberFormat="1" applyAlignment="1">
      <alignment horizontal="center"/>
    </xf>
    <xf numFmtId="0" fontId="0" fillId="0" borderId="0" xfId="0" applyProtection="1"/>
    <xf numFmtId="0" fontId="6" fillId="0" borderId="22" xfId="0" applyFont="1" applyBorder="1" applyAlignment="1" applyProtection="1">
      <alignment horizontal="left"/>
    </xf>
    <xf numFmtId="0" fontId="6" fillId="0" borderId="23" xfId="0" applyFont="1" applyBorder="1" applyAlignment="1" applyProtection="1">
      <alignment horizontal="center"/>
    </xf>
    <xf numFmtId="0" fontId="6" fillId="0" borderId="24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53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0" xfId="0" applyFont="1" applyProtection="1"/>
    <xf numFmtId="0" fontId="0" fillId="0" borderId="0" xfId="0" applyFont="1" applyAlignment="1" applyProtection="1">
      <alignment horizontal="left"/>
    </xf>
    <xf numFmtId="0" fontId="2" fillId="0" borderId="57" xfId="0" applyFont="1" applyBorder="1" applyProtection="1"/>
    <xf numFmtId="0" fontId="2" fillId="0" borderId="0" xfId="0" applyFont="1" applyAlignment="1" applyProtection="1">
      <alignment horizontal="center"/>
    </xf>
    <xf numFmtId="169" fontId="0" fillId="0" borderId="0" xfId="0" applyNumberFormat="1" applyProtection="1"/>
    <xf numFmtId="0" fontId="0" fillId="0" borderId="80" xfId="0" applyBorder="1" applyProtection="1"/>
    <xf numFmtId="166" fontId="2" fillId="0" borderId="18" xfId="2" applyFont="1" applyBorder="1" applyAlignment="1" applyProtection="1">
      <alignment horizontal="center"/>
    </xf>
    <xf numFmtId="164" fontId="0" fillId="0" borderId="19" xfId="3" applyFont="1" applyBorder="1" applyAlignment="1" applyProtection="1">
      <alignment horizontal="center"/>
      <protection locked="0"/>
    </xf>
    <xf numFmtId="164" fontId="0" fillId="0" borderId="13" xfId="3" applyFont="1" applyBorder="1" applyAlignment="1" applyProtection="1">
      <alignment horizontal="center"/>
      <protection locked="0"/>
    </xf>
    <xf numFmtId="0" fontId="2" fillId="0" borderId="16" xfId="0" applyFont="1" applyBorder="1" applyProtection="1"/>
    <xf numFmtId="0" fontId="2" fillId="0" borderId="16" xfId="0" applyFont="1" applyBorder="1" applyAlignment="1" applyProtection="1">
      <alignment horizontal="left"/>
    </xf>
    <xf numFmtId="0" fontId="2" fillId="0" borderId="11" xfId="0" applyFont="1" applyBorder="1" applyProtection="1"/>
    <xf numFmtId="165" fontId="0" fillId="0" borderId="12" xfId="2" applyNumberFormat="1" applyFont="1" applyBorder="1" applyAlignment="1" applyProtection="1">
      <protection locked="0"/>
    </xf>
    <xf numFmtId="0" fontId="6" fillId="0" borderId="0" xfId="0" applyFont="1" applyProtection="1"/>
    <xf numFmtId="0" fontId="0" fillId="0" borderId="28" xfId="0" applyFont="1" applyBorder="1" applyAlignment="1" applyProtection="1">
      <alignment horizontal="center"/>
    </xf>
    <xf numFmtId="166" fontId="13" fillId="0" borderId="28" xfId="2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0" borderId="81" xfId="0" applyFont="1" applyBorder="1" applyAlignment="1" applyProtection="1">
      <alignment horizontal="left"/>
    </xf>
    <xf numFmtId="0" fontId="6" fillId="0" borderId="54" xfId="0" applyFont="1" applyBorder="1" applyAlignment="1" applyProtection="1">
      <alignment horizontal="center"/>
    </xf>
    <xf numFmtId="0" fontId="6" fillId="0" borderId="82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 wrapText="1"/>
    </xf>
    <xf numFmtId="0" fontId="2" fillId="0" borderId="58" xfId="0" applyFont="1" applyBorder="1" applyProtection="1"/>
    <xf numFmtId="166" fontId="0" fillId="0" borderId="59" xfId="2" applyFont="1" applyBorder="1" applyAlignment="1" applyProtection="1">
      <alignment horizontal="center"/>
    </xf>
    <xf numFmtId="0" fontId="0" fillId="0" borderId="60" xfId="0" applyFont="1" applyBorder="1" applyProtection="1"/>
    <xf numFmtId="0" fontId="0" fillId="0" borderId="60" xfId="0" applyFont="1" applyBorder="1" applyAlignment="1" applyProtection="1">
      <alignment horizontal="left"/>
    </xf>
    <xf numFmtId="0" fontId="2" fillId="0" borderId="60" xfId="0" applyFont="1" applyBorder="1" applyProtection="1"/>
    <xf numFmtId="0" fontId="2" fillId="0" borderId="60" xfId="0" applyFont="1" applyBorder="1" applyAlignment="1" applyProtection="1">
      <alignment horizontal="left"/>
    </xf>
    <xf numFmtId="0" fontId="2" fillId="0" borderId="62" xfId="0" applyFont="1" applyBorder="1" applyProtection="1"/>
    <xf numFmtId="166" fontId="0" fillId="0" borderId="13" xfId="2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left"/>
    </xf>
    <xf numFmtId="0" fontId="6" fillId="0" borderId="9" xfId="0" applyFont="1" applyBorder="1" applyAlignment="1" applyProtection="1">
      <alignment horizontal="center"/>
    </xf>
    <xf numFmtId="0" fontId="6" fillId="0" borderId="83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0" fontId="0" fillId="0" borderId="16" xfId="0" applyBorder="1" applyProtection="1"/>
    <xf numFmtId="0" fontId="2" fillId="0" borderId="17" xfId="0" applyFont="1" applyBorder="1" applyAlignment="1" applyProtection="1">
      <alignment horizontal="center"/>
    </xf>
    <xf numFmtId="0" fontId="2" fillId="0" borderId="56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169" fontId="0" fillId="0" borderId="56" xfId="1" applyFont="1" applyBorder="1" applyAlignment="1" applyProtection="1">
      <alignment horizontal="center"/>
      <protection locked="0"/>
    </xf>
    <xf numFmtId="169" fontId="0" fillId="0" borderId="19" xfId="1" applyFont="1" applyBorder="1" applyAlignment="1" applyProtection="1">
      <alignment horizontal="center"/>
      <protection locked="0"/>
    </xf>
    <xf numFmtId="169" fontId="0" fillId="0" borderId="17" xfId="1" applyFont="1" applyBorder="1" applyAlignment="1" applyProtection="1">
      <protection locked="0"/>
    </xf>
    <xf numFmtId="169" fontId="0" fillId="0" borderId="56" xfId="1" applyFont="1" applyBorder="1" applyAlignment="1" applyProtection="1">
      <protection locked="0"/>
    </xf>
    <xf numFmtId="169" fontId="0" fillId="0" borderId="19" xfId="1" applyFont="1" applyBorder="1" applyAlignment="1" applyProtection="1">
      <protection locked="0"/>
    </xf>
    <xf numFmtId="166" fontId="2" fillId="0" borderId="56" xfId="2" applyFont="1" applyBorder="1" applyAlignment="1" applyProtection="1">
      <alignment horizontal="center"/>
      <protection locked="0"/>
    </xf>
    <xf numFmtId="166" fontId="0" fillId="0" borderId="53" xfId="2" applyFont="1" applyBorder="1" applyAlignment="1" applyProtection="1">
      <protection locked="0"/>
    </xf>
    <xf numFmtId="166" fontId="0" fillId="0" borderId="13" xfId="2" applyFont="1" applyBorder="1" applyAlignment="1" applyProtection="1">
      <protection locked="0"/>
    </xf>
    <xf numFmtId="0" fontId="0" fillId="0" borderId="25" xfId="0" applyBorder="1" applyProtection="1"/>
    <xf numFmtId="0" fontId="2" fillId="0" borderId="26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0" fontId="2" fillId="0" borderId="8" xfId="0" applyFont="1" applyBorder="1" applyProtection="1"/>
    <xf numFmtId="169" fontId="0" fillId="0" borderId="9" xfId="1" applyFont="1" applyBorder="1" applyAlignment="1" applyProtection="1">
      <alignment horizontal="center"/>
      <protection locked="0"/>
    </xf>
    <xf numFmtId="169" fontId="0" fillId="0" borderId="17" xfId="1" applyFont="1" applyBorder="1" applyAlignment="1" applyProtection="1">
      <alignment horizontal="center"/>
    </xf>
    <xf numFmtId="169" fontId="0" fillId="0" borderId="19" xfId="1" applyFont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2" fillId="0" borderId="53" xfId="0" applyFont="1" applyBorder="1" applyAlignment="1" applyProtection="1">
      <alignment horizontal="center" wrapText="1"/>
    </xf>
    <xf numFmtId="0" fontId="2" fillId="0" borderId="13" xfId="0" applyFont="1" applyBorder="1" applyAlignment="1" applyProtection="1">
      <alignment horizontal="center" wrapText="1"/>
    </xf>
    <xf numFmtId="0" fontId="2" fillId="0" borderId="58" xfId="0" applyFont="1" applyBorder="1" applyAlignment="1" applyProtection="1">
      <alignment horizontal="center"/>
    </xf>
    <xf numFmtId="0" fontId="2" fillId="0" borderId="60" xfId="0" applyFont="1" applyBorder="1" applyAlignment="1" applyProtection="1">
      <alignment horizontal="center"/>
    </xf>
    <xf numFmtId="0" fontId="2" fillId="0" borderId="62" xfId="0" applyFont="1" applyBorder="1" applyAlignment="1" applyProtection="1">
      <alignment horizontal="center"/>
    </xf>
    <xf numFmtId="0" fontId="0" fillId="0" borderId="0" xfId="0" applyFont="1" applyAlignment="1" applyProtection="1">
      <alignment horizontal="right"/>
    </xf>
    <xf numFmtId="0" fontId="0" fillId="0" borderId="1" xfId="0" applyBorder="1" applyProtection="1">
      <protection locked="0"/>
    </xf>
    <xf numFmtId="0" fontId="2" fillId="0" borderId="0" xfId="0" applyFont="1" applyBorder="1" applyAlignment="1">
      <alignment horizontal="center" vertical="center"/>
    </xf>
    <xf numFmtId="166" fontId="0" fillId="0" borderId="0" xfId="0" applyNumberFormat="1" applyBorder="1"/>
    <xf numFmtId="173" fontId="0" fillId="0" borderId="0" xfId="0" applyNumberFormat="1" applyBorder="1" applyAlignment="1" applyProtection="1">
      <alignment horizontal="center"/>
    </xf>
    <xf numFmtId="173" fontId="0" fillId="0" borderId="0" xfId="0" applyNumberFormat="1" applyAlignment="1" applyProtection="1">
      <alignment horizontal="center"/>
    </xf>
    <xf numFmtId="170" fontId="0" fillId="0" borderId="0" xfId="0" applyNumberFormat="1" applyBorder="1" applyAlignment="1" applyProtection="1">
      <alignment horizontal="center"/>
    </xf>
    <xf numFmtId="0" fontId="0" fillId="0" borderId="0" xfId="0" applyFont="1" applyBorder="1" applyAlignment="1">
      <alignment vertical="center" wrapText="1"/>
    </xf>
    <xf numFmtId="166" fontId="0" fillId="0" borderId="0" xfId="0" applyNumberFormat="1" applyFont="1" applyBorder="1"/>
    <xf numFmtId="0" fontId="12" fillId="0" borderId="0" xfId="0" applyFont="1" applyProtection="1"/>
    <xf numFmtId="1" fontId="0" fillId="0" borderId="0" xfId="0" applyNumberFormat="1" applyBorder="1" applyAlignment="1" applyProtection="1">
      <alignment horizontal="center"/>
    </xf>
    <xf numFmtId="170" fontId="0" fillId="0" borderId="0" xfId="0" applyNumberFormat="1" applyAlignment="1" applyProtection="1">
      <alignment horizontal="center"/>
    </xf>
    <xf numFmtId="0" fontId="2" fillId="0" borderId="0" xfId="0" applyFont="1" applyAlignment="1" applyProtection="1">
      <alignment horizontal="left"/>
    </xf>
    <xf numFmtId="183" fontId="0" fillId="0" borderId="0" xfId="0" applyNumberFormat="1" applyFont="1" applyBorder="1" applyAlignment="1">
      <alignment vertical="center" wrapText="1"/>
    </xf>
    <xf numFmtId="183" fontId="0" fillId="0" borderId="0" xfId="0" applyNumberFormat="1" applyProtection="1"/>
    <xf numFmtId="184" fontId="0" fillId="0" borderId="0" xfId="0" applyNumberFormat="1" applyProtection="1"/>
    <xf numFmtId="3" fontId="10" fillId="0" borderId="0" xfId="0" applyNumberFormat="1" applyFont="1" applyFill="1" applyBorder="1"/>
    <xf numFmtId="3" fontId="10" fillId="0" borderId="36" xfId="0" applyNumberFormat="1" applyFont="1" applyFill="1" applyBorder="1"/>
    <xf numFmtId="166" fontId="0" fillId="0" borderId="17" xfId="2" applyFont="1" applyFill="1" applyBorder="1" applyAlignment="1" applyProtection="1">
      <alignment horizontal="center"/>
    </xf>
    <xf numFmtId="166" fontId="0" fillId="0" borderId="48" xfId="2" applyFont="1" applyFill="1" applyBorder="1" applyAlignment="1" applyProtection="1">
      <alignment horizontal="center"/>
    </xf>
    <xf numFmtId="166" fontId="0" fillId="0" borderId="17" xfId="2" applyFont="1" applyFill="1" applyBorder="1" applyAlignment="1" applyProtection="1">
      <alignment horizontal="center"/>
      <protection locked="0"/>
    </xf>
    <xf numFmtId="166" fontId="0" fillId="0" borderId="48" xfId="2" applyFont="1" applyFill="1" applyBorder="1" applyAlignment="1" applyProtection="1">
      <alignment horizontal="center"/>
      <protection locked="0"/>
    </xf>
    <xf numFmtId="166" fontId="0" fillId="0" borderId="15" xfId="2" applyFont="1" applyFill="1" applyBorder="1" applyAlignment="1" applyProtection="1">
      <alignment horizontal="center"/>
      <protection locked="0"/>
    </xf>
    <xf numFmtId="181" fontId="0" fillId="0" borderId="0" xfId="0" applyNumberFormat="1" applyFill="1" applyProtection="1"/>
    <xf numFmtId="182" fontId="0" fillId="0" borderId="63" xfId="2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2" borderId="2" xfId="0" applyFont="1" applyFill="1" applyBorder="1" applyAlignment="1" applyProtection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8" xfId="0" applyFont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</cellXfs>
  <cellStyles count="5">
    <cellStyle name="Hipervínculo" xfId="4" builtinId="8"/>
    <cellStyle name="Millares" xfId="1" builtinId="3"/>
    <cellStyle name="Moneda" xfId="2" builtinId="4"/>
    <cellStyle name="Normal" xfId="0" builtinId="0"/>
    <cellStyle name="Porcentaje" xfId="3" builtinId="5"/>
  </cellStyles>
  <dxfs count="42"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C0C0C0"/>
      <rgbColor rgb="FF8B8B8B"/>
      <rgbColor rgb="FF5B9BD5"/>
      <rgbColor rgb="FF595959"/>
      <rgbColor rgb="FFFFFFCC"/>
      <rgbColor rgb="FFCCFFFF"/>
      <rgbColor rgb="FF660066"/>
      <rgbColor rgb="FFFF420E"/>
      <rgbColor rgb="FF0563C1"/>
      <rgbColor rgb="FFD9D9D9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4472C4"/>
      <rgbColor rgb="FF33CCCC"/>
      <rgbColor rgb="FF70AD47"/>
      <rgbColor rgb="FFFFC000"/>
      <rgbColor rgb="FFFF9900"/>
      <rgbColor rgb="FFED7D31"/>
      <rgbColor rgb="FF636363"/>
      <rgbColor rgb="FFA5A5A5"/>
      <rgbColor rgb="FF003366"/>
      <rgbColor rgb="FF62A73B"/>
      <rgbColor rgb="FF003300"/>
      <rgbColor rgb="FF333300"/>
      <rgbColor rgb="FF9E480E"/>
      <rgbColor rgb="FFED1C24"/>
      <rgbColor rgb="FF264478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latin typeface="Calibri"/>
              </a:rPr>
              <a:t>Punto de equilibrio año 1
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Unidades vendidas</c:v>
          </c:tx>
          <c:spPr>
            <a:ln w="2844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'E-Costos'!$A$142:$A$143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78256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06-C346-B8C2-1158663911B7}"/>
            </c:ext>
          </c:extLst>
        </c:ser>
        <c:ser>
          <c:idx val="1"/>
          <c:order val="1"/>
          <c:spPr>
            <a:ln w="2844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'E-Costos'!$B$141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06-C346-B8C2-1158663911B7}"/>
            </c:ext>
          </c:extLst>
        </c:ser>
        <c:ser>
          <c:idx val="2"/>
          <c:order val="2"/>
          <c:spPr>
            <a:ln w="2844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'E-Costos'!$C$141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06-C346-B8C2-1158663911B7}"/>
            </c:ext>
          </c:extLst>
        </c:ser>
        <c:ser>
          <c:idx val="3"/>
          <c:order val="3"/>
          <c:spPr>
            <a:ln w="2844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'E-Costos'!$D$141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06-C346-B8C2-1158663911B7}"/>
            </c:ext>
          </c:extLst>
        </c:ser>
        <c:ser>
          <c:idx val="4"/>
          <c:order val="4"/>
          <c:spPr>
            <a:ln w="2844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'E-Costos'!$E$141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06-C346-B8C2-1158663911B7}"/>
            </c:ext>
          </c:extLst>
        </c:ser>
        <c:ser>
          <c:idx val="5"/>
          <c:order val="5"/>
          <c:tx>
            <c:v>Costo variable</c:v>
          </c:tx>
          <c:spPr>
            <a:ln w="28440">
              <a:solidFill>
                <a:srgbClr val="70AD47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'E-Costos'!$B$142:$B$143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16236368.874530135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706-C346-B8C2-1158663911B7}"/>
            </c:ext>
          </c:extLst>
        </c:ser>
        <c:ser>
          <c:idx val="6"/>
          <c:order val="6"/>
          <c:tx>
            <c:v>Costo fijo</c:v>
          </c:tx>
          <c:spPr>
            <a:ln w="28440">
              <a:solidFill>
                <a:srgbClr val="264478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'E-Costos'!$C$142:$C$143</c:f>
              <c:numCache>
                <c:formatCode>_(\$* #,##0.00_);_(\$* \(#,##0.00\);_(\$* \-??_);_(@_)</c:formatCode>
                <c:ptCount val="2"/>
                <c:pt idx="0">
                  <c:v>9768454.7629220877</c:v>
                </c:pt>
                <c:pt idx="1">
                  <c:v>9768454.7629220877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706-C346-B8C2-1158663911B7}"/>
            </c:ext>
          </c:extLst>
        </c:ser>
        <c:ser>
          <c:idx val="7"/>
          <c:order val="7"/>
          <c:tx>
            <c:v>Costo total</c:v>
          </c:tx>
          <c:spPr>
            <a:ln w="28440">
              <a:solidFill>
                <a:srgbClr val="9E480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'E-Costos'!$D$142:$D$143</c:f>
              <c:numCache>
                <c:formatCode>_(\$* #,##0.00_);_(\$* \(#,##0.00\);_(\$* \-??_);_(@_)</c:formatCode>
                <c:ptCount val="2"/>
                <c:pt idx="0">
                  <c:v>9768454.7629220877</c:v>
                </c:pt>
                <c:pt idx="1">
                  <c:v>26004823.637452222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706-C346-B8C2-1158663911B7}"/>
            </c:ext>
          </c:extLst>
        </c:ser>
        <c:ser>
          <c:idx val="8"/>
          <c:order val="8"/>
          <c:tx>
            <c:v>Ingresos por ventas</c:v>
          </c:tx>
          <c:spPr>
            <a:ln w="28440">
              <a:solidFill>
                <a:srgbClr val="636363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'E-Costos'!$E$142:$E$143</c:f>
              <c:numCache>
                <c:formatCode>_(\$* #,##0_);_(\$* \(#,##0\);_(\$* \-??_);_(@_)</c:formatCode>
                <c:ptCount val="2"/>
                <c:pt idx="0" formatCode="General">
                  <c:v>0</c:v>
                </c:pt>
                <c:pt idx="1">
                  <c:v>31302400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706-C346-B8C2-115866391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39654230"/>
        <c:axId val="34754821"/>
      </c:lineChart>
      <c:catAx>
        <c:axId val="3965423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4754821"/>
        <c:crosses val="autoZero"/>
        <c:auto val="1"/>
        <c:lblAlgn val="ctr"/>
        <c:lblOffset val="100"/>
        <c:noMultiLvlLbl val="1"/>
      </c:catAx>
      <c:valAx>
        <c:axId val="3475482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39654230"/>
        <c:crosses val="autoZero"/>
        <c:crossBetween val="midCat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5.0000025523065497E-2"/>
          <c:y val="0.91706388913075398"/>
          <c:w val="0.91110282273193099"/>
          <c:h val="6.1182489190990799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A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latin typeface="Calibri"/>
              </a:rPr>
              <a:t>Punto de equilibrio año 5
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Costo variable</c:v>
          </c:tx>
          <c:spPr>
            <a:ln w="2844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'E-Costos'!$H$142:$H$143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4-BB40-8B4B-C00C39D20B0F}"/>
            </c:ext>
          </c:extLst>
        </c:ser>
        <c:ser>
          <c:idx val="1"/>
          <c:order val="1"/>
          <c:spPr>
            <a:ln w="2844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'E-Costos'!$I$141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A4-BB40-8B4B-C00C39D20B0F}"/>
            </c:ext>
          </c:extLst>
        </c:ser>
        <c:ser>
          <c:idx val="2"/>
          <c:order val="2"/>
          <c:spPr>
            <a:ln w="2844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'E-Costos'!$J$141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A4-BB40-8B4B-C00C39D20B0F}"/>
            </c:ext>
          </c:extLst>
        </c:ser>
        <c:ser>
          <c:idx val="3"/>
          <c:order val="3"/>
          <c:spPr>
            <a:ln w="2844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'E-Costos'!$K$141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A4-BB40-8B4B-C00C39D20B0F}"/>
            </c:ext>
          </c:extLst>
        </c:ser>
        <c:ser>
          <c:idx val="4"/>
          <c:order val="4"/>
          <c:tx>
            <c:v>Unidades vendidas</c:v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'E-Costos'!$L$141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A4-BB40-8B4B-C00C39D20B0F}"/>
            </c:ext>
          </c:extLst>
        </c:ser>
        <c:ser>
          <c:idx val="5"/>
          <c:order val="5"/>
          <c:tx>
            <c:v>Costo variable</c:v>
          </c:tx>
          <c:spPr>
            <a:ln w="28440">
              <a:solidFill>
                <a:srgbClr val="70AD47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'E-Costos'!$I$142:$I$143</c:f>
              <c:numCache>
                <c:formatCode>_(\$* #,##0.00_);_(\$* \(#,##0.00\);_(\$* \-??_);_(@_)</c:formatCode>
                <c:ptCount val="2"/>
                <c:pt idx="0" formatCode="_(* #,##0.00_);_(* \(#,##0.00\);_(* \-??_);_(@_)">
                  <c:v>0</c:v>
                </c:pt>
                <c:pt idx="1">
                  <c:v>23707212.792517997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7A4-BB40-8B4B-C00C39D20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52451963"/>
        <c:axId val="2958228"/>
      </c:lineChart>
      <c:catAx>
        <c:axId val="5245196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958228"/>
        <c:crosses val="autoZero"/>
        <c:auto val="1"/>
        <c:lblAlgn val="ctr"/>
        <c:lblOffset val="100"/>
        <c:noMultiLvlLbl val="1"/>
      </c:catAx>
      <c:valAx>
        <c:axId val="2958228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52451963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A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s-AR" sz="1400" b="0" strike="noStrike" spc="-1">
                <a:solidFill>
                  <a:srgbClr val="595959"/>
                </a:solidFill>
                <a:latin typeface="Calibri"/>
              </a:rPr>
              <a:t>Punto de equilibrio año 1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Unidades Vendidas</c:v>
          </c:tx>
          <c:spPr>
            <a:ln w="2844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'F-2 Estructura'!$A$51:$A$52</c:f>
              <c:numCache>
                <c:formatCode>General</c:formatCode>
                <c:ptCount val="2"/>
                <c:pt idx="0">
                  <c:v>0</c:v>
                </c:pt>
                <c:pt idx="1">
                  <c:v>78256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E9-2E48-9909-5FFD17E3B0FF}"/>
            </c:ext>
          </c:extLst>
        </c:ser>
        <c:ser>
          <c:idx val="1"/>
          <c:order val="1"/>
          <c:tx>
            <c:v>Costo Variable</c:v>
          </c:tx>
          <c:spPr>
            <a:ln w="2844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'F-2 Estructura'!$B$51:$B$52</c:f>
              <c:numCache>
                <c:formatCode>_(\$* #,##0.00_);_(\$* \(#,##0.00\);_(\$* \-??_);_(@_)</c:formatCode>
                <c:ptCount val="2"/>
                <c:pt idx="0">
                  <c:v>0</c:v>
                </c:pt>
                <c:pt idx="1">
                  <c:v>16236368.874530135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E9-2E48-9909-5FFD17E3B0FF}"/>
            </c:ext>
          </c:extLst>
        </c:ser>
        <c:ser>
          <c:idx val="2"/>
          <c:order val="2"/>
          <c:tx>
            <c:v>Costo Fijo</c:v>
          </c:tx>
          <c:spPr>
            <a:ln w="2844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'F-2 Estructura'!$C$51:$C$52</c:f>
              <c:numCache>
                <c:formatCode>_(\$* #,##0.00_);_(\$* \(#,##0.00\);_(\$* \-??_);_(@_)</c:formatCode>
                <c:ptCount val="2"/>
                <c:pt idx="0">
                  <c:v>16351915.2441319</c:v>
                </c:pt>
                <c:pt idx="1">
                  <c:v>16351915.2441319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E9-2E48-9909-5FFD17E3B0FF}"/>
            </c:ext>
          </c:extLst>
        </c:ser>
        <c:ser>
          <c:idx val="3"/>
          <c:order val="3"/>
          <c:tx>
            <c:v>Costo Total</c:v>
          </c:tx>
          <c:spPr>
            <a:ln w="2844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'F-2 Estructura'!$D$51:$D$52</c:f>
              <c:numCache>
                <c:formatCode>_(\$* #,##0.00_);_(\$* \(#,##0.00\);_(\$* \-??_);_(@_)</c:formatCode>
                <c:ptCount val="2"/>
                <c:pt idx="0">
                  <c:v>16351915.2441319</c:v>
                </c:pt>
                <c:pt idx="1">
                  <c:v>32588284.118662037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E9-2E48-9909-5FFD17E3B0FF}"/>
            </c:ext>
          </c:extLst>
        </c:ser>
        <c:ser>
          <c:idx val="4"/>
          <c:order val="4"/>
          <c:tx>
            <c:v>Ingresos por ventas</c:v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'F-2 Estructura'!$E$51:$E$52</c:f>
              <c:numCache>
                <c:formatCode>_(\$* #,##0.00_);_(\$* \(#,##0.00\);_(\$* \-??_);_(@_)</c:formatCode>
                <c:ptCount val="2"/>
                <c:pt idx="0">
                  <c:v>0</c:v>
                </c:pt>
                <c:pt idx="1">
                  <c:v>31302400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E9-2E48-9909-5FFD17E3B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24233182"/>
        <c:axId val="93685430"/>
      </c:lineChart>
      <c:catAx>
        <c:axId val="2423318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3685430"/>
        <c:crosses val="autoZero"/>
        <c:auto val="1"/>
        <c:lblAlgn val="ctr"/>
        <c:lblOffset val="100"/>
        <c:noMultiLvlLbl val="1"/>
      </c:catAx>
      <c:valAx>
        <c:axId val="9368543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24233182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A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s-AR" sz="1400" b="0" strike="noStrike" spc="-1">
                <a:solidFill>
                  <a:srgbClr val="595959"/>
                </a:solidFill>
                <a:latin typeface="Calibri"/>
              </a:rPr>
              <a:t>Punto de equilibrio año 5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Unidades Vendidas</c:v>
          </c:tx>
          <c:spPr>
            <a:ln w="2844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'F-2 Estructura'!$G$51:$G$52</c:f>
              <c:numCache>
                <c:formatCode>General</c:formatCode>
                <c:ptCount val="2"/>
                <c:pt idx="0">
                  <c:v>0</c:v>
                </c:pt>
                <c:pt idx="1">
                  <c:v>125000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95-4642-9EDF-0D5C1C302A50}"/>
            </c:ext>
          </c:extLst>
        </c:ser>
        <c:ser>
          <c:idx val="1"/>
          <c:order val="1"/>
          <c:tx>
            <c:v>Costo Variable</c:v>
          </c:tx>
          <c:spPr>
            <a:ln w="2844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'F-2 Estructura'!$H$51:$H$52</c:f>
              <c:numCache>
                <c:formatCode>_(\$* #,##0.00_);_(\$* \(#,##0.00\);_(\$* \-??_);_(@_)</c:formatCode>
                <c:ptCount val="2"/>
                <c:pt idx="0">
                  <c:v>0</c:v>
                </c:pt>
                <c:pt idx="1">
                  <c:v>23707212.792517997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95-4642-9EDF-0D5C1C302A50}"/>
            </c:ext>
          </c:extLst>
        </c:ser>
        <c:ser>
          <c:idx val="2"/>
          <c:order val="2"/>
          <c:tx>
            <c:v>Costo Fijo</c:v>
          </c:tx>
          <c:spPr>
            <a:ln w="2844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'F-2 Estructura'!$I$51:$I$52</c:f>
              <c:numCache>
                <c:formatCode>_(\$* #,##0.00_);_(\$* \(#,##0.00\);_(\$* \-??_);_(@_)</c:formatCode>
                <c:ptCount val="2"/>
                <c:pt idx="0">
                  <c:v>29806568.860047206</c:v>
                </c:pt>
                <c:pt idx="1">
                  <c:v>29806568.860047206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95-4642-9EDF-0D5C1C302A50}"/>
            </c:ext>
          </c:extLst>
        </c:ser>
        <c:ser>
          <c:idx val="3"/>
          <c:order val="3"/>
          <c:tx>
            <c:v>Costo Total</c:v>
          </c:tx>
          <c:spPr>
            <a:ln w="2844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'F-2 Estructura'!$J$51:$J$52</c:f>
              <c:numCache>
                <c:formatCode>_(\$* #,##0.00_);_(\$* \(#,##0.00\);_(\$* \-??_);_(@_)</c:formatCode>
                <c:ptCount val="2"/>
                <c:pt idx="0">
                  <c:v>29806568.860047206</c:v>
                </c:pt>
                <c:pt idx="1">
                  <c:v>53513781.652565204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95-4642-9EDF-0D5C1C302A50}"/>
            </c:ext>
          </c:extLst>
        </c:ser>
        <c:ser>
          <c:idx val="4"/>
          <c:order val="4"/>
          <c:tx>
            <c:v>Ingresos por ventas</c:v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'F-2 Estructura'!$K$51:$K$52</c:f>
              <c:numCache>
                <c:formatCode>_(\$* #,##0.00_);_(\$* \(#,##0.00\);_(\$* \-??_);_(@_)</c:formatCode>
                <c:ptCount val="2"/>
                <c:pt idx="0">
                  <c:v>0</c:v>
                </c:pt>
                <c:pt idx="1">
                  <c:v>50000000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95-4642-9EDF-0D5C1C302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29940910"/>
        <c:axId val="29948759"/>
      </c:lineChart>
      <c:catAx>
        <c:axId val="2994091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948759"/>
        <c:crosses val="autoZero"/>
        <c:auto val="1"/>
        <c:lblAlgn val="ctr"/>
        <c:lblOffset val="100"/>
        <c:noMultiLvlLbl val="1"/>
      </c:catAx>
      <c:valAx>
        <c:axId val="2994875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29940910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A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1985400</xdr:colOff>
      <xdr:row>146</xdr:row>
      <xdr:rowOff>0</xdr:rowOff>
    </xdr:from>
    <xdr:to>
      <xdr:col>3</xdr:col>
      <xdr:colOff>635760</xdr:colOff>
      <xdr:row>167</xdr:row>
      <xdr:rowOff>129960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1123920</xdr:colOff>
      <xdr:row>146</xdr:row>
      <xdr:rowOff>0</xdr:rowOff>
    </xdr:from>
    <xdr:to>
      <xdr:col>12</xdr:col>
      <xdr:colOff>168480</xdr:colOff>
      <xdr:row>167</xdr:row>
      <xdr:rowOff>42480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4000320</xdr:colOff>
      <xdr:row>144</xdr:row>
      <xdr:rowOff>51120</xdr:rowOff>
    </xdr:from>
    <xdr:to>
      <xdr:col>12</xdr:col>
      <xdr:colOff>2527560</xdr:colOff>
      <xdr:row>144</xdr:row>
      <xdr:rowOff>76320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 flipV="1">
          <a:off x="4000320" y="24396840"/>
          <a:ext cx="20802960" cy="25200"/>
        </a:xfrm>
        <a:prstGeom prst="line">
          <a:avLst/>
        </a:prstGeom>
        <a:ln w="9360"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4292280</xdr:colOff>
      <xdr:row>164</xdr:row>
      <xdr:rowOff>38160</xdr:rowOff>
    </xdr:from>
    <xdr:to>
      <xdr:col>12</xdr:col>
      <xdr:colOff>2832480</xdr:colOff>
      <xdr:row>164</xdr:row>
      <xdr:rowOff>63720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flipV="1">
          <a:off x="4292280" y="27685800"/>
          <a:ext cx="20815920" cy="25560"/>
        </a:xfrm>
        <a:prstGeom prst="line">
          <a:avLst/>
        </a:prstGeom>
        <a:ln w="9360"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181</xdr:row>
      <xdr:rowOff>37800</xdr:rowOff>
    </xdr:from>
    <xdr:to>
      <xdr:col>19</xdr:col>
      <xdr:colOff>67320</xdr:colOff>
      <xdr:row>182</xdr:row>
      <xdr:rowOff>50760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0" y="30492360"/>
          <a:ext cx="30738240" cy="177840"/>
        </a:xfrm>
        <a:prstGeom prst="line">
          <a:avLst/>
        </a:prstGeom>
        <a:ln w="9360"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1244520</xdr:colOff>
      <xdr:row>127</xdr:row>
      <xdr:rowOff>75960</xdr:rowOff>
    </xdr:from>
    <xdr:to>
      <xdr:col>15</xdr:col>
      <xdr:colOff>355320</xdr:colOff>
      <xdr:row>127</xdr:row>
      <xdr:rowOff>88560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 flipV="1">
          <a:off x="21909240" y="21615120"/>
          <a:ext cx="6107040" cy="12600"/>
        </a:xfrm>
        <a:prstGeom prst="line">
          <a:avLst/>
        </a:prstGeom>
        <a:ln w="9360"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959400</xdr:colOff>
      <xdr:row>55</xdr:row>
      <xdr:rowOff>53640</xdr:rowOff>
    </xdr:from>
    <xdr:to>
      <xdr:col>3</xdr:col>
      <xdr:colOff>902160</xdr:colOff>
      <xdr:row>80</xdr:row>
      <xdr:rowOff>112320</xdr:rowOff>
    </xdr:to>
    <xdr:graphicFrame macro="">
      <xdr:nvGraphicFramePr>
        <xdr:cNvPr id="6" name="Gráfico 4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564480</xdr:colOff>
      <xdr:row>55</xdr:row>
      <xdr:rowOff>81720</xdr:rowOff>
    </xdr:from>
    <xdr:to>
      <xdr:col>12</xdr:col>
      <xdr:colOff>32760</xdr:colOff>
      <xdr:row>80</xdr:row>
      <xdr:rowOff>154440</xdr:rowOff>
    </xdr:to>
    <xdr:graphicFrame macro="">
      <xdr:nvGraphicFramePr>
        <xdr:cNvPr id="7" name="Gráfico 5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edenor.com.ar/cms/files/SP/CuadroTarifa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89"/>
  <sheetViews>
    <sheetView zoomScale="90" zoomScaleNormal="90" workbookViewId="0">
      <selection activeCell="F41" sqref="F41"/>
    </sheetView>
  </sheetViews>
  <sheetFormatPr baseColWidth="10" defaultColWidth="8.83203125" defaultRowHeight="13" x14ac:dyDescent="0.15"/>
  <cols>
    <col min="1" max="1" width="42.1640625" customWidth="1"/>
    <col min="2" max="3" width="11" customWidth="1"/>
    <col min="4" max="4" width="17.33203125" customWidth="1"/>
    <col min="5" max="5" width="11" customWidth="1"/>
    <col min="6" max="6" width="6.83203125" customWidth="1"/>
    <col min="7" max="12" width="11" customWidth="1"/>
    <col min="13" max="13" width="17" customWidth="1"/>
    <col min="14" max="1025" width="11" customWidth="1"/>
  </cols>
  <sheetData>
    <row r="1" spans="1:13" x14ac:dyDescent="0.15">
      <c r="A1" s="1" t="s">
        <v>0</v>
      </c>
      <c r="E1" s="2">
        <v>14</v>
      </c>
    </row>
    <row r="2" spans="1:13" ht="14" x14ac:dyDescent="0.15">
      <c r="G2" s="401" t="s">
        <v>1</v>
      </c>
      <c r="H2" s="401"/>
      <c r="I2" s="401"/>
      <c r="J2" s="401"/>
      <c r="K2" s="401"/>
      <c r="L2" s="401"/>
      <c r="M2" s="401"/>
    </row>
    <row r="3" spans="1:13" ht="14.75" customHeight="1" x14ac:dyDescent="0.15">
      <c r="A3" s="3" t="s">
        <v>2</v>
      </c>
      <c r="B3" s="4">
        <v>0.21</v>
      </c>
      <c r="G3" s="402" t="s">
        <v>3</v>
      </c>
      <c r="H3" s="402"/>
      <c r="I3" s="402"/>
      <c r="J3" s="402"/>
      <c r="K3" s="402"/>
      <c r="L3" s="402"/>
      <c r="M3" s="402"/>
    </row>
    <row r="4" spans="1:13" x14ac:dyDescent="0.15">
      <c r="A4" s="3" t="s">
        <v>4</v>
      </c>
      <c r="B4" s="4">
        <v>0.35</v>
      </c>
      <c r="G4" s="402"/>
      <c r="H4" s="402"/>
      <c r="I4" s="402"/>
      <c r="J4" s="402"/>
      <c r="K4" s="402"/>
      <c r="L4" s="402"/>
      <c r="M4" s="402"/>
    </row>
    <row r="5" spans="1:13" x14ac:dyDescent="0.15">
      <c r="A5" s="3" t="s">
        <v>5</v>
      </c>
      <c r="B5" s="5">
        <v>3.5000000000000003E-2</v>
      </c>
      <c r="C5" t="s">
        <v>6</v>
      </c>
      <c r="G5" s="402"/>
      <c r="H5" s="402"/>
      <c r="I5" s="402"/>
      <c r="J5" s="402"/>
      <c r="K5" s="402"/>
      <c r="L5" s="402"/>
      <c r="M5" s="402"/>
    </row>
    <row r="6" spans="1:13" x14ac:dyDescent="0.15">
      <c r="G6" s="402"/>
      <c r="H6" s="402"/>
      <c r="I6" s="402"/>
      <c r="J6" s="402"/>
      <c r="K6" s="402"/>
      <c r="L6" s="402"/>
      <c r="M6" s="402"/>
    </row>
    <row r="7" spans="1:13" ht="14.75" customHeight="1" x14ac:dyDescent="0.15">
      <c r="A7" s="3" t="s">
        <v>7</v>
      </c>
      <c r="B7" t="s">
        <v>8</v>
      </c>
      <c r="G7" s="399" t="s">
        <v>9</v>
      </c>
      <c r="H7" s="399"/>
      <c r="I7" s="399"/>
      <c r="J7" s="399"/>
      <c r="K7" s="399"/>
      <c r="L7" s="399"/>
      <c r="M7" s="399"/>
    </row>
    <row r="8" spans="1:13" x14ac:dyDescent="0.15">
      <c r="A8" s="6" t="s">
        <v>10</v>
      </c>
      <c r="B8" s="7">
        <v>30</v>
      </c>
      <c r="C8" t="s">
        <v>11</v>
      </c>
      <c r="G8" s="399"/>
      <c r="H8" s="399"/>
      <c r="I8" s="399"/>
      <c r="J8" s="399"/>
      <c r="K8" s="399"/>
      <c r="L8" s="399"/>
      <c r="M8" s="399"/>
    </row>
    <row r="9" spans="1:13" x14ac:dyDescent="0.15">
      <c r="A9" s="6" t="s">
        <v>12</v>
      </c>
      <c r="B9" s="7">
        <v>10</v>
      </c>
      <c r="C9" t="s">
        <v>11</v>
      </c>
      <c r="G9" s="403" t="s">
        <v>13</v>
      </c>
      <c r="H9" s="403"/>
      <c r="I9" s="403"/>
      <c r="J9" s="403"/>
      <c r="K9" s="403"/>
      <c r="L9" s="403"/>
      <c r="M9" s="403"/>
    </row>
    <row r="10" spans="1:13" ht="14.75" customHeight="1" x14ac:dyDescent="0.15">
      <c r="A10" s="6" t="s">
        <v>14</v>
      </c>
      <c r="B10" s="7">
        <v>10</v>
      </c>
      <c r="C10" t="s">
        <v>11</v>
      </c>
      <c r="G10" s="399" t="s">
        <v>15</v>
      </c>
      <c r="H10" s="399"/>
      <c r="I10" s="399"/>
      <c r="J10" s="399"/>
      <c r="K10" s="399"/>
      <c r="L10" s="399"/>
      <c r="M10" s="399"/>
    </row>
    <row r="11" spans="1:13" x14ac:dyDescent="0.15">
      <c r="A11" s="6" t="s">
        <v>16</v>
      </c>
      <c r="B11" s="7">
        <v>5</v>
      </c>
      <c r="C11" t="s">
        <v>11</v>
      </c>
      <c r="G11" s="399"/>
      <c r="H11" s="399"/>
      <c r="I11" s="399"/>
      <c r="J11" s="399"/>
      <c r="K11" s="399"/>
      <c r="L11" s="399"/>
      <c r="M11" s="399"/>
    </row>
    <row r="12" spans="1:13" ht="14.75" customHeight="1" x14ac:dyDescent="0.15">
      <c r="A12" s="6" t="s">
        <v>17</v>
      </c>
      <c r="B12" s="7">
        <v>5</v>
      </c>
      <c r="C12" t="s">
        <v>11</v>
      </c>
      <c r="G12" s="399" t="s">
        <v>18</v>
      </c>
      <c r="H12" s="399"/>
      <c r="I12" s="399"/>
      <c r="J12" s="399"/>
      <c r="K12" s="399"/>
      <c r="L12" s="399"/>
      <c r="M12" s="399"/>
    </row>
    <row r="13" spans="1:13" x14ac:dyDescent="0.15">
      <c r="A13" s="6" t="s">
        <v>19</v>
      </c>
      <c r="B13" s="7">
        <v>3</v>
      </c>
      <c r="C13" t="s">
        <v>11</v>
      </c>
      <c r="G13" s="399"/>
      <c r="H13" s="399"/>
      <c r="I13" s="399"/>
      <c r="J13" s="399"/>
      <c r="K13" s="399"/>
      <c r="L13" s="399"/>
      <c r="M13" s="399"/>
    </row>
    <row r="14" spans="1:13" x14ac:dyDescent="0.15">
      <c r="A14" s="6" t="s">
        <v>20</v>
      </c>
      <c r="B14" s="7">
        <v>5</v>
      </c>
      <c r="C14" t="s">
        <v>11</v>
      </c>
    </row>
    <row r="15" spans="1:13" x14ac:dyDescent="0.15">
      <c r="A15" s="6" t="s">
        <v>21</v>
      </c>
      <c r="B15" s="8">
        <v>3.5000000000000003E-2</v>
      </c>
    </row>
    <row r="17" spans="1:7" x14ac:dyDescent="0.15">
      <c r="A17" s="3" t="s">
        <v>22</v>
      </c>
      <c r="B17" s="9" t="s">
        <v>23</v>
      </c>
      <c r="C17" s="10"/>
      <c r="D17" s="10"/>
      <c r="E17" s="10"/>
      <c r="F17" s="10"/>
      <c r="G17" s="11"/>
    </row>
    <row r="19" spans="1:7" x14ac:dyDescent="0.15">
      <c r="A19" s="3" t="s">
        <v>24</v>
      </c>
      <c r="B19" s="12">
        <v>125000</v>
      </c>
      <c r="C19" t="s">
        <v>25</v>
      </c>
    </row>
    <row r="20" spans="1:7" x14ac:dyDescent="0.15">
      <c r="A20" s="3" t="s">
        <v>26</v>
      </c>
      <c r="B20" s="12">
        <v>400</v>
      </c>
      <c r="C20" t="s">
        <v>27</v>
      </c>
    </row>
    <row r="22" spans="1:7" x14ac:dyDescent="0.15">
      <c r="A22" s="3" t="s">
        <v>28</v>
      </c>
    </row>
    <row r="23" spans="1:7" x14ac:dyDescent="0.15">
      <c r="A23" s="3" t="s">
        <v>29</v>
      </c>
      <c r="B23" s="12">
        <v>15</v>
      </c>
      <c r="C23" t="s">
        <v>30</v>
      </c>
    </row>
    <row r="24" spans="1:7" x14ac:dyDescent="0.15">
      <c r="A24" s="3" t="s">
        <v>31</v>
      </c>
      <c r="B24" s="12">
        <v>2</v>
      </c>
      <c r="C24" t="s">
        <v>30</v>
      </c>
    </row>
    <row r="25" spans="1:7" x14ac:dyDescent="0.15">
      <c r="A25" s="3" t="s">
        <v>32</v>
      </c>
      <c r="B25" s="12">
        <v>5</v>
      </c>
      <c r="C25" t="s">
        <v>30</v>
      </c>
    </row>
    <row r="27" spans="1:7" x14ac:dyDescent="0.15">
      <c r="A27" s="3" t="s">
        <v>33</v>
      </c>
      <c r="B27" s="12">
        <v>537.5</v>
      </c>
      <c r="C27" t="s">
        <v>34</v>
      </c>
    </row>
    <row r="28" spans="1:7" x14ac:dyDescent="0.15">
      <c r="A28" s="3" t="s">
        <v>35</v>
      </c>
      <c r="B28" s="12">
        <v>12</v>
      </c>
      <c r="C28" t="s">
        <v>36</v>
      </c>
    </row>
    <row r="29" spans="1:7" x14ac:dyDescent="0.15">
      <c r="A29" s="3" t="s">
        <v>37</v>
      </c>
      <c r="B29" s="12">
        <v>12</v>
      </c>
      <c r="C29" t="s">
        <v>36</v>
      </c>
    </row>
    <row r="32" spans="1:7" x14ac:dyDescent="0.15">
      <c r="A32" s="3" t="s">
        <v>38</v>
      </c>
      <c r="B32" s="12">
        <v>40</v>
      </c>
      <c r="C32" t="s">
        <v>39</v>
      </c>
      <c r="D32" s="12">
        <v>1</v>
      </c>
      <c r="E32" t="s">
        <v>40</v>
      </c>
    </row>
    <row r="33" spans="1:7" x14ac:dyDescent="0.15">
      <c r="A33" s="13"/>
    </row>
    <row r="34" spans="1:7" x14ac:dyDescent="0.15">
      <c r="A34" s="13"/>
    </row>
    <row r="35" spans="1:7" x14ac:dyDescent="0.15">
      <c r="A35" s="3" t="s">
        <v>41</v>
      </c>
      <c r="B35" s="14">
        <v>0.19</v>
      </c>
      <c r="C35" t="s">
        <v>42</v>
      </c>
      <c r="G35" s="15" t="s">
        <v>43</v>
      </c>
    </row>
    <row r="36" spans="1:7" x14ac:dyDescent="0.15">
      <c r="A36" s="3" t="s">
        <v>44</v>
      </c>
      <c r="B36" s="400" t="s">
        <v>45</v>
      </c>
      <c r="C36" s="400"/>
      <c r="D36" s="400"/>
    </row>
    <row r="37" spans="1:7" x14ac:dyDescent="0.15">
      <c r="A37" s="3" t="s">
        <v>46</v>
      </c>
      <c r="B37" s="16">
        <v>0.75</v>
      </c>
    </row>
    <row r="38" spans="1:7" x14ac:dyDescent="0.15">
      <c r="A38" s="3"/>
    </row>
    <row r="39" spans="1:7" x14ac:dyDescent="0.15">
      <c r="A39" s="3" t="s">
        <v>47</v>
      </c>
      <c r="B39" s="12">
        <v>30</v>
      </c>
    </row>
    <row r="40" spans="1:7" x14ac:dyDescent="0.15">
      <c r="A40" s="3" t="s">
        <v>48</v>
      </c>
      <c r="B40" s="17">
        <v>0.4</v>
      </c>
    </row>
    <row r="41" spans="1:7" x14ac:dyDescent="0.15">
      <c r="A41" s="3" t="s">
        <v>49</v>
      </c>
      <c r="B41" s="17">
        <v>0.15</v>
      </c>
      <c r="C41" t="s">
        <v>42</v>
      </c>
    </row>
    <row r="689" spans="24:24" x14ac:dyDescent="0.15">
      <c r="X689" s="15" t="s">
        <v>50</v>
      </c>
    </row>
  </sheetData>
  <mergeCells count="7">
    <mergeCell ref="G12:M13"/>
    <mergeCell ref="B36:D36"/>
    <mergeCell ref="G2:M2"/>
    <mergeCell ref="G3:M6"/>
    <mergeCell ref="G7:M8"/>
    <mergeCell ref="G9:M9"/>
    <mergeCell ref="G10:M11"/>
  </mergeCells>
  <pageMargins left="0.75" right="0.75" top="0.7" bottom="1" header="0.51180555555555496" footer="0.51180555555555496"/>
  <pageSetup paperSize="9" firstPageNumber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1"/>
  <sheetViews>
    <sheetView zoomScale="90" zoomScaleNormal="90" workbookViewId="0">
      <selection activeCell="F13" sqref="F13"/>
    </sheetView>
  </sheetViews>
  <sheetFormatPr baseColWidth="10" defaultColWidth="8.83203125" defaultRowHeight="13" x14ac:dyDescent="0.15"/>
  <cols>
    <col min="1" max="1" width="7.83203125" customWidth="1"/>
    <col min="2" max="2" width="16.5" customWidth="1"/>
    <col min="3" max="11" width="14.83203125" customWidth="1"/>
    <col min="12" max="12" width="16.6640625" customWidth="1"/>
    <col min="13" max="13" width="15.83203125" customWidth="1"/>
    <col min="14" max="14" width="17.33203125" customWidth="1"/>
    <col min="15" max="1025" width="11.33203125" customWidth="1"/>
  </cols>
  <sheetData>
    <row r="1" spans="1:13" x14ac:dyDescent="0.15">
      <c r="A1" s="1" t="s">
        <v>0</v>
      </c>
      <c r="G1">
        <f>InfoInicial!E1</f>
        <v>14</v>
      </c>
      <c r="H1" s="2"/>
    </row>
    <row r="2" spans="1:13" ht="16" x14ac:dyDescent="0.2">
      <c r="A2" s="241" t="s">
        <v>582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</row>
    <row r="3" spans="1:13" ht="42" x14ac:dyDescent="0.15">
      <c r="A3" s="242" t="s">
        <v>406</v>
      </c>
      <c r="B3" s="219" t="s">
        <v>583</v>
      </c>
      <c r="C3" s="219" t="s">
        <v>584</v>
      </c>
      <c r="D3" s="219" t="s">
        <v>585</v>
      </c>
      <c r="E3" s="219" t="s">
        <v>5</v>
      </c>
      <c r="F3" s="219" t="s">
        <v>586</v>
      </c>
      <c r="G3" s="219" t="s">
        <v>587</v>
      </c>
      <c r="H3" s="219" t="s">
        <v>588</v>
      </c>
      <c r="I3" s="219" t="s">
        <v>214</v>
      </c>
      <c r="J3" s="219" t="s">
        <v>589</v>
      </c>
      <c r="K3" s="219" t="s">
        <v>590</v>
      </c>
      <c r="L3" s="243" t="s">
        <v>591</v>
      </c>
      <c r="M3" s="244" t="s">
        <v>592</v>
      </c>
    </row>
    <row r="4" spans="1:13" x14ac:dyDescent="0.15">
      <c r="A4" s="245">
        <v>0</v>
      </c>
      <c r="B4" s="246">
        <f>'E-Cal Inv.'!B8+'E-Cal Inv.'!C8</f>
        <v>35776483.831574999</v>
      </c>
      <c r="C4" s="396">
        <f>'E-Cal Inv.'!B18+'E-Cal Inv.'!C18</f>
        <v>2534042.1430414473</v>
      </c>
      <c r="D4" s="396">
        <f>'E-IVA '!B26</f>
        <v>8045210.4546694532</v>
      </c>
      <c r="E4" s="81">
        <v>0</v>
      </c>
      <c r="F4" s="81">
        <v>0</v>
      </c>
      <c r="G4" s="81">
        <f t="shared" ref="G4:G9" si="0">SUM(B4:F4)</f>
        <v>46355736.429285899</v>
      </c>
      <c r="H4" s="81">
        <v>0</v>
      </c>
      <c r="I4" s="81">
        <v>0</v>
      </c>
      <c r="J4" s="81">
        <v>0</v>
      </c>
      <c r="K4" s="81">
        <v>0</v>
      </c>
      <c r="L4" s="247">
        <f t="shared" ref="L4:L9" si="1">K4-G4</f>
        <v>-46355736.429285899</v>
      </c>
      <c r="M4" s="94">
        <f>L4</f>
        <v>-46355736.429285899</v>
      </c>
    </row>
    <row r="5" spans="1:13" x14ac:dyDescent="0.15">
      <c r="A5" s="248">
        <v>1</v>
      </c>
      <c r="B5" s="249">
        <f>'E-Cal Inv.'!D8</f>
        <v>155250</v>
      </c>
      <c r="C5" s="394">
        <f>'E-Cal Inv.'!D18</f>
        <v>863850.53576036182</v>
      </c>
      <c r="D5" s="394">
        <f>'E-IVA '!C26</f>
        <v>214011.11250967596</v>
      </c>
      <c r="E5" s="82">
        <f>'E-Costos'!B117</f>
        <v>236068.50741679134</v>
      </c>
      <c r="F5" s="82">
        <f>(H5-E5)*InfoInicial!$B$4</f>
        <v>2278061.0965720359</v>
      </c>
      <c r="G5" s="81">
        <f t="shared" si="0"/>
        <v>3747241.2522588652</v>
      </c>
      <c r="H5" s="82">
        <f>'E-Costos'!B116</f>
        <v>6744814.4976226091</v>
      </c>
      <c r="I5" s="82">
        <f>'E-Inv AF y Am'!D56</f>
        <v>2515489.5784816667</v>
      </c>
      <c r="J5" s="82">
        <f>'E-IVA '!C28</f>
        <v>4160904.6108902511</v>
      </c>
      <c r="K5" s="82">
        <f>SUM(H5:J5)</f>
        <v>13421208.686994527</v>
      </c>
      <c r="L5" s="247">
        <f t="shared" si="1"/>
        <v>9673967.4347356614</v>
      </c>
      <c r="M5" s="83">
        <f>M4+L5</f>
        <v>-36681768.994550236</v>
      </c>
    </row>
    <row r="6" spans="1:13" x14ac:dyDescent="0.15">
      <c r="A6" s="248">
        <v>2</v>
      </c>
      <c r="B6" s="249">
        <f>'E-Cal Inv.'!E8</f>
        <v>0</v>
      </c>
      <c r="C6" s="394">
        <f>'E-Cal Inv.'!E18</f>
        <v>24505.853200201032</v>
      </c>
      <c r="D6" s="396">
        <f>'E-IVA '!D26</f>
        <v>5146.2291720422163</v>
      </c>
      <c r="E6" s="82">
        <f>'E-Costos'!C117</f>
        <v>515492.42269968765</v>
      </c>
      <c r="F6" s="82">
        <f>(H6-E6)*InfoInicial!$B$4</f>
        <v>4974501.8790519852</v>
      </c>
      <c r="G6" s="81">
        <f t="shared" si="0"/>
        <v>5519646.3841239158</v>
      </c>
      <c r="H6" s="82">
        <f>'E-Costos'!C116</f>
        <v>14728354.934276789</v>
      </c>
      <c r="I6" s="82">
        <f>'E-Inv AF y Am'!D56</f>
        <v>2515489.5784816667</v>
      </c>
      <c r="J6" s="82">
        <f>'E-IVA '!D28</f>
        <v>4103463.1854609204</v>
      </c>
      <c r="K6" s="82">
        <f>SUM(H6:J6)</f>
        <v>21347307.698219378</v>
      </c>
      <c r="L6" s="247">
        <f t="shared" si="1"/>
        <v>15827661.314095462</v>
      </c>
      <c r="M6" s="83">
        <f>M5+L6</f>
        <v>-20854107.680454776</v>
      </c>
    </row>
    <row r="7" spans="1:13" x14ac:dyDescent="0.15">
      <c r="A7" s="248">
        <v>3</v>
      </c>
      <c r="B7" s="249">
        <f>'E-Cal Inv.'!F8</f>
        <v>0</v>
      </c>
      <c r="C7" s="394">
        <f>'E-Cal Inv.'!F18</f>
        <v>0</v>
      </c>
      <c r="D7" s="394">
        <f>'E-IVA '!E26</f>
        <v>0</v>
      </c>
      <c r="E7" s="82">
        <f>'E-Costos'!D117</f>
        <v>516536.55421864241</v>
      </c>
      <c r="F7" s="82">
        <f>(H7-E7)*InfoInicial!$B$4</f>
        <v>4984577.7482098984</v>
      </c>
      <c r="G7" s="81">
        <f t="shared" si="0"/>
        <v>5501114.3024285408</v>
      </c>
      <c r="H7" s="82">
        <f>'E-Costos'!D116</f>
        <v>14758187.263389781</v>
      </c>
      <c r="I7" s="82">
        <f>'E-Inv AF y Am'!D56</f>
        <v>2515489.5784816667</v>
      </c>
      <c r="J7" s="82">
        <f>'E-IVA '!E28</f>
        <v>0</v>
      </c>
      <c r="K7" s="82">
        <f>SUM(H7:J7)</f>
        <v>17273676.841871448</v>
      </c>
      <c r="L7" s="247">
        <f t="shared" si="1"/>
        <v>11772562.539442908</v>
      </c>
      <c r="M7" s="83">
        <f>M6+L7</f>
        <v>-9081545.1410118677</v>
      </c>
    </row>
    <row r="8" spans="1:13" x14ac:dyDescent="0.15">
      <c r="A8" s="248">
        <v>4</v>
      </c>
      <c r="B8" s="249">
        <f>'E-Cal Inv.'!G8</f>
        <v>0</v>
      </c>
      <c r="C8" s="394">
        <f>'E-Cal Inv.'!G18</f>
        <v>2012.2903200000292</v>
      </c>
      <c r="D8" s="396">
        <f>'E-IVA '!F26</f>
        <v>422.58096720000611</v>
      </c>
      <c r="E8" s="82">
        <f>'E-Costos'!E117</f>
        <v>516491.78673604637</v>
      </c>
      <c r="F8" s="82">
        <f>(H8-E8)*InfoInicial!$B$4</f>
        <v>4984145.7420028467</v>
      </c>
      <c r="G8" s="81">
        <f t="shared" si="0"/>
        <v>5503072.4000260932</v>
      </c>
      <c r="H8" s="82">
        <f>'E-Costos'!E116</f>
        <v>14756908.192458466</v>
      </c>
      <c r="I8" s="82">
        <f>'E-Inv AF y Am'!E56</f>
        <v>2512767.0784816667</v>
      </c>
      <c r="J8" s="82">
        <f>'E-IVA '!F28</f>
        <v>422.58096720000611</v>
      </c>
      <c r="K8" s="82">
        <f>SUM(H8:J8)</f>
        <v>17270097.851907331</v>
      </c>
      <c r="L8" s="247">
        <f t="shared" si="1"/>
        <v>11767025.451881237</v>
      </c>
      <c r="M8" s="83">
        <f>M7+L8</f>
        <v>2685480.3108693697</v>
      </c>
    </row>
    <row r="9" spans="1:13" x14ac:dyDescent="0.15">
      <c r="A9" s="248">
        <v>5</v>
      </c>
      <c r="B9" s="249">
        <f>-'E-Inv AF y Am'!G56</f>
        <v>-23359730.939166665</v>
      </c>
      <c r="C9" s="82">
        <f>-'E-Cal Inv.'!I18</f>
        <v>-3424410.8223220101</v>
      </c>
      <c r="D9" s="82">
        <f>'E-IVA '!G26</f>
        <v>0</v>
      </c>
      <c r="E9" s="82">
        <f>'E-Costos'!F117</f>
        <v>516490.90888498968</v>
      </c>
      <c r="F9" s="82">
        <f>(H9-E9)*InfoInicial!$B$4</f>
        <v>4984137.2707401495</v>
      </c>
      <c r="G9" s="81">
        <f t="shared" si="0"/>
        <v>-21283513.581863537</v>
      </c>
      <c r="H9" s="82">
        <f>'E-Costos'!F116</f>
        <v>14756883.110999703</v>
      </c>
      <c r="I9" s="82">
        <f>'E-Inv AF y Am'!E56</f>
        <v>2512767.0784816667</v>
      </c>
      <c r="J9" s="82">
        <f>'E-IVA '!G28</f>
        <v>0</v>
      </c>
      <c r="K9" s="82">
        <f>SUM(H9:J9)</f>
        <v>17269650.18948137</v>
      </c>
      <c r="L9" s="247">
        <f t="shared" si="1"/>
        <v>38553163.771344908</v>
      </c>
      <c r="M9" s="83">
        <f>M8+L9</f>
        <v>41238644.082214281</v>
      </c>
    </row>
    <row r="10" spans="1:13" x14ac:dyDescent="0.15">
      <c r="A10" s="248"/>
      <c r="B10" s="250"/>
      <c r="C10" s="105"/>
      <c r="D10" s="105"/>
      <c r="E10" s="105"/>
      <c r="F10" s="105"/>
      <c r="G10" s="105"/>
      <c r="H10" s="105"/>
      <c r="I10" s="105"/>
      <c r="J10" s="105"/>
      <c r="K10" s="105"/>
      <c r="L10" s="226"/>
      <c r="M10" s="106"/>
    </row>
    <row r="11" spans="1:13" x14ac:dyDescent="0.15">
      <c r="A11" s="251" t="s">
        <v>593</v>
      </c>
      <c r="B11" s="252">
        <f t="shared" ref="B11:L11" si="2">SUM(B4:B9)</f>
        <v>12572002.892408334</v>
      </c>
      <c r="C11" s="252">
        <f t="shared" si="2"/>
        <v>0</v>
      </c>
      <c r="D11" s="252">
        <f t="shared" si="2"/>
        <v>8264790.377318372</v>
      </c>
      <c r="E11" s="252">
        <f t="shared" si="2"/>
        <v>2301080.1799561577</v>
      </c>
      <c r="F11" s="252">
        <f t="shared" si="2"/>
        <v>22205423.736576915</v>
      </c>
      <c r="G11" s="252">
        <f t="shared" si="2"/>
        <v>45343297.186259776</v>
      </c>
      <c r="H11" s="252">
        <f t="shared" si="2"/>
        <v>65745147.998747349</v>
      </c>
      <c r="I11" s="252">
        <f t="shared" si="2"/>
        <v>12572002.892408334</v>
      </c>
      <c r="J11" s="252">
        <f t="shared" si="2"/>
        <v>8264790.377318372</v>
      </c>
      <c r="K11" s="252">
        <f t="shared" si="2"/>
        <v>86581941.268474042</v>
      </c>
      <c r="L11" s="252">
        <f t="shared" si="2"/>
        <v>41238644.082214281</v>
      </c>
      <c r="M11" s="252"/>
    </row>
    <row r="13" spans="1:13" x14ac:dyDescent="0.15">
      <c r="C13" s="6" t="s">
        <v>594</v>
      </c>
      <c r="D13" s="253">
        <f>M9</f>
        <v>41238644.082214281</v>
      </c>
    </row>
    <row r="14" spans="1:13" x14ac:dyDescent="0.15">
      <c r="A14" s="13"/>
      <c r="C14" s="6" t="s">
        <v>595</v>
      </c>
      <c r="D14" s="254">
        <f>3+-M7/L8</f>
        <v>3.7717791703730841</v>
      </c>
      <c r="E14" t="s">
        <v>596</v>
      </c>
      <c r="F14" s="255"/>
    </row>
    <row r="15" spans="1:13" x14ac:dyDescent="0.15">
      <c r="C15" s="6" t="s">
        <v>597</v>
      </c>
      <c r="D15" s="256">
        <f>IRR(L4:L9)</f>
        <v>0.20546528161556332</v>
      </c>
    </row>
    <row r="16" spans="1:13" x14ac:dyDescent="0.15">
      <c r="L16" s="408" t="s">
        <v>598</v>
      </c>
      <c r="M16" s="408"/>
    </row>
    <row r="17" spans="10:13" x14ac:dyDescent="0.15">
      <c r="J17" s="257"/>
      <c r="L17" s="408" t="s">
        <v>599</v>
      </c>
      <c r="M17" s="408"/>
    </row>
    <row r="18" spans="10:13" x14ac:dyDescent="0.15">
      <c r="L18" s="258" t="s">
        <v>214</v>
      </c>
      <c r="M18" s="259" t="str">
        <f>IF(B11=I11,"OK","MAL")</f>
        <v>OK</v>
      </c>
    </row>
    <row r="19" spans="10:13" x14ac:dyDescent="0.15">
      <c r="L19" s="258" t="s">
        <v>600</v>
      </c>
      <c r="M19" s="259" t="str">
        <f>IF(D11=J11,"OK","MAL")</f>
        <v>OK</v>
      </c>
    </row>
    <row r="20" spans="10:13" x14ac:dyDescent="0.15">
      <c r="L20" s="258" t="s">
        <v>601</v>
      </c>
      <c r="M20" s="259" t="str">
        <f>IF(C11=0,"OK","MAL")</f>
        <v>OK</v>
      </c>
    </row>
    <row r="21" spans="10:13" x14ac:dyDescent="0.15">
      <c r="L21" s="258" t="s">
        <v>602</v>
      </c>
      <c r="M21" s="259" t="str">
        <f>IF((H11-F11-E11)=L11,IF(L11=M9,"OK","MAL"),"MAL")</f>
        <v>OK</v>
      </c>
    </row>
  </sheetData>
  <mergeCells count="2">
    <mergeCell ref="L16:M16"/>
    <mergeCell ref="L17:M17"/>
  </mergeCells>
  <conditionalFormatting sqref="M18">
    <cfRule type="cellIs" dxfId="41" priority="2" operator="equal">
      <formula>"OK"</formula>
    </cfRule>
    <cfRule type="cellIs" dxfId="40" priority="3" operator="equal">
      <formula>"MAL"</formula>
    </cfRule>
  </conditionalFormatting>
  <conditionalFormatting sqref="M19">
    <cfRule type="cellIs" dxfId="39" priority="4" operator="equal">
      <formula>"OK"</formula>
    </cfRule>
    <cfRule type="cellIs" dxfId="38" priority="5" operator="equal">
      <formula>"MAL"</formula>
    </cfRule>
  </conditionalFormatting>
  <conditionalFormatting sqref="M20">
    <cfRule type="cellIs" dxfId="37" priority="6" operator="equal">
      <formula>"OK"</formula>
    </cfRule>
    <cfRule type="cellIs" dxfId="36" priority="7" operator="equal">
      <formula>"MAL"</formula>
    </cfRule>
  </conditionalFormatting>
  <conditionalFormatting sqref="M21">
    <cfRule type="cellIs" dxfId="35" priority="8" operator="equal">
      <formula>"OK"</formula>
    </cfRule>
    <cfRule type="cellIs" dxfId="34" priority="9" operator="equal">
      <formula>"MAL"</formula>
    </cfRule>
  </conditionalFormatting>
  <conditionalFormatting sqref="J17">
    <cfRule type="cellIs" dxfId="33" priority="10" operator="equal">
      <formula>"OK"</formula>
    </cfRule>
    <cfRule type="cellIs" dxfId="32" priority="11" operator="equal">
      <formula>"MAL"</formula>
    </cfRule>
  </conditionalFormatting>
  <pageMargins left="0.25972222222222202" right="0.45972222222222198" top="1.27013888888889" bottom="1" header="0.51180555555555496" footer="0.51180555555555496"/>
  <pageSetup paperSize="9" firstPageNumber="0" fitToHeight="4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43"/>
  <sheetViews>
    <sheetView zoomScale="90" zoomScaleNormal="90" workbookViewId="0">
      <selection activeCell="N34" sqref="N34"/>
    </sheetView>
  </sheetViews>
  <sheetFormatPr baseColWidth="10" defaultColWidth="8.83203125" defaultRowHeight="13" x14ac:dyDescent="0.15"/>
  <cols>
    <col min="1" max="1" width="27.1640625" customWidth="1"/>
    <col min="2" max="7" width="16" customWidth="1"/>
    <col min="8" max="9" width="15" customWidth="1"/>
    <col min="10" max="10" width="12.6640625" customWidth="1"/>
    <col min="11" max="1025" width="11.33203125" customWidth="1"/>
  </cols>
  <sheetData>
    <row r="1" spans="1:9" x14ac:dyDescent="0.15">
      <c r="A1" s="1" t="s">
        <v>0</v>
      </c>
      <c r="F1" s="260">
        <f>InfoInicial!E1</f>
        <v>14</v>
      </c>
      <c r="G1" s="2"/>
    </row>
    <row r="2" spans="1:9" ht="16" x14ac:dyDescent="0.2">
      <c r="A2" s="261" t="s">
        <v>603</v>
      </c>
      <c r="B2" s="109"/>
      <c r="C2" s="109"/>
      <c r="D2" s="109"/>
      <c r="E2" s="109"/>
      <c r="F2" s="109"/>
      <c r="G2" s="110"/>
    </row>
    <row r="3" spans="1:9" x14ac:dyDescent="0.15">
      <c r="A3" s="78" t="s">
        <v>206</v>
      </c>
      <c r="B3" s="409" t="s">
        <v>604</v>
      </c>
      <c r="C3" s="409"/>
      <c r="D3" s="409" t="s">
        <v>605</v>
      </c>
      <c r="E3" s="409"/>
      <c r="F3" s="410" t="s">
        <v>606</v>
      </c>
      <c r="G3" s="410"/>
    </row>
    <row r="4" spans="1:9" x14ac:dyDescent="0.15">
      <c r="A4" s="78" t="s">
        <v>82</v>
      </c>
      <c r="B4" s="262" t="s">
        <v>607</v>
      </c>
      <c r="C4" s="262" t="s">
        <v>608</v>
      </c>
      <c r="D4" s="262" t="s">
        <v>607</v>
      </c>
      <c r="E4" s="262" t="s">
        <v>608</v>
      </c>
      <c r="F4" s="262" t="s">
        <v>607</v>
      </c>
      <c r="G4" s="263" t="s">
        <v>608</v>
      </c>
    </row>
    <row r="5" spans="1:9" x14ac:dyDescent="0.15">
      <c r="A5" s="32" t="s">
        <v>609</v>
      </c>
      <c r="B5" s="82">
        <f>'E-Cal Inv.'!B8+'E-Cal Inv.'!C8+'E-Cal Inv.'!D8</f>
        <v>35931733.831574999</v>
      </c>
      <c r="C5" s="264">
        <f>B5/B8</f>
        <v>0.75504525289237412</v>
      </c>
      <c r="D5" s="82">
        <f>B5*InfoInicial!B37</f>
        <v>26948800.373681247</v>
      </c>
      <c r="E5" s="264">
        <f>(D5*C5)/B5</f>
        <v>0.56628393966928048</v>
      </c>
      <c r="F5" s="82">
        <f>B5-D5</f>
        <v>8982933.4578937516</v>
      </c>
      <c r="G5" s="264">
        <f>(F5*C5)/B5</f>
        <v>0.18876131322309359</v>
      </c>
    </row>
    <row r="6" spans="1:9" x14ac:dyDescent="0.15">
      <c r="A6" s="28" t="s">
        <v>610</v>
      </c>
      <c r="B6" s="82">
        <f>'E-Cal Inv.'!B18+'E-Cal Inv.'!C18+'E-Cal Inv.'!D18</f>
        <v>3397892.678801809</v>
      </c>
      <c r="C6" s="264">
        <f>B6/B8</f>
        <v>7.140102809936133E-2</v>
      </c>
      <c r="D6" s="82">
        <f>'FCred AD'!E16</f>
        <v>572035.20000000007</v>
      </c>
      <c r="E6" s="264">
        <f>(D6*C6)/B6</f>
        <v>1.2020362398092713E-2</v>
      </c>
      <c r="F6" s="82">
        <f>B6-D6</f>
        <v>2825857.4788018088</v>
      </c>
      <c r="G6" s="264">
        <f>(F6*C6)/B6</f>
        <v>5.9380665701268619E-2</v>
      </c>
    </row>
    <row r="7" spans="1:9" x14ac:dyDescent="0.15">
      <c r="A7" s="28" t="s">
        <v>611</v>
      </c>
      <c r="B7" s="82">
        <f>'E-Cal Inv.'!B23+'E-Cal Inv.'!C23+'E-Cal Inv.'!D23</f>
        <v>8259221.5671791295</v>
      </c>
      <c r="C7" s="264">
        <f>B7/B8</f>
        <v>0.17355371900826444</v>
      </c>
      <c r="D7" s="82">
        <v>0</v>
      </c>
      <c r="E7" s="264"/>
      <c r="F7" s="82">
        <f>B7</f>
        <v>8259221.5671791295</v>
      </c>
      <c r="G7" s="264">
        <f>(F7*C7)/B7</f>
        <v>0.17355371900826444</v>
      </c>
    </row>
    <row r="8" spans="1:9" x14ac:dyDescent="0.15">
      <c r="A8" s="41" t="s">
        <v>541</v>
      </c>
      <c r="B8" s="265">
        <f>SUM(B5:B7)</f>
        <v>47588848.07755594</v>
      </c>
      <c r="C8" s="266">
        <f>SUM(C5:C7)</f>
        <v>0.99999999999999989</v>
      </c>
      <c r="D8" s="265">
        <f>SUM(D5+D6+D7)</f>
        <v>27520835.573681246</v>
      </c>
      <c r="E8" s="266">
        <f>SUM(E5:E6)</f>
        <v>0.57830430206737315</v>
      </c>
      <c r="F8" s="265">
        <f>SUM(F5:F7)</f>
        <v>20068012.503874689</v>
      </c>
      <c r="G8" s="266">
        <f>SUM(G5:G7)</f>
        <v>0.42169569793262662</v>
      </c>
    </row>
    <row r="9" spans="1:9" x14ac:dyDescent="0.15">
      <c r="A9" s="13"/>
      <c r="B9" s="62"/>
      <c r="C9" s="267"/>
      <c r="D9" s="62"/>
      <c r="E9" s="62"/>
      <c r="F9" s="62"/>
      <c r="G9" s="62"/>
    </row>
    <row r="10" spans="1:9" ht="16" x14ac:dyDescent="0.2">
      <c r="A10" s="268" t="s">
        <v>612</v>
      </c>
      <c r="B10" s="269"/>
      <c r="C10" s="269"/>
      <c r="D10" s="269"/>
      <c r="E10" s="269"/>
      <c r="F10" s="269"/>
      <c r="G10" s="269"/>
      <c r="H10" s="269"/>
      <c r="I10" s="270"/>
    </row>
    <row r="11" spans="1:9" x14ac:dyDescent="0.15">
      <c r="A11" s="271" t="s">
        <v>613</v>
      </c>
      <c r="B11" s="272" t="s">
        <v>614</v>
      </c>
      <c r="C11" s="272" t="s">
        <v>615</v>
      </c>
      <c r="D11" s="272" t="s">
        <v>616</v>
      </c>
      <c r="E11" s="272" t="s">
        <v>615</v>
      </c>
      <c r="F11" s="272" t="s">
        <v>617</v>
      </c>
      <c r="G11" s="272" t="s">
        <v>616</v>
      </c>
      <c r="H11" s="272"/>
      <c r="I11" s="273" t="s">
        <v>618</v>
      </c>
    </row>
    <row r="12" spans="1:9" x14ac:dyDescent="0.15">
      <c r="A12" s="274"/>
      <c r="B12" s="275"/>
      <c r="C12" s="275" t="s">
        <v>619</v>
      </c>
      <c r="D12" s="275" t="s">
        <v>619</v>
      </c>
      <c r="E12" s="275" t="s">
        <v>42</v>
      </c>
      <c r="F12" s="275" t="s">
        <v>620</v>
      </c>
      <c r="G12" s="275" t="s">
        <v>42</v>
      </c>
      <c r="H12" s="275" t="s">
        <v>621</v>
      </c>
      <c r="I12" s="276" t="s">
        <v>622</v>
      </c>
    </row>
    <row r="13" spans="1:9" x14ac:dyDescent="0.15">
      <c r="A13" s="277" t="s">
        <v>623</v>
      </c>
      <c r="B13" s="104">
        <f>D5/3</f>
        <v>8982933.4578937497</v>
      </c>
      <c r="C13" s="104"/>
      <c r="D13" s="104"/>
      <c r="E13" s="104"/>
      <c r="F13" s="278"/>
      <c r="G13" s="104"/>
      <c r="H13" s="279"/>
      <c r="I13" s="280">
        <f>'FCred AD'!E19*B13</f>
        <v>179658.669157875</v>
      </c>
    </row>
    <row r="14" spans="1:9" x14ac:dyDescent="0.15">
      <c r="A14" s="281" t="s">
        <v>624</v>
      </c>
      <c r="B14" s="82">
        <f>D5*2/3</f>
        <v>17965866.915787499</v>
      </c>
      <c r="C14" s="82"/>
      <c r="D14" s="82">
        <f>B14*InfoInicial!B35/12*3</f>
        <v>853378.67849990609</v>
      </c>
      <c r="E14" s="82"/>
      <c r="F14" s="29"/>
      <c r="G14" s="82"/>
      <c r="H14" s="119"/>
      <c r="I14" s="83">
        <f>'FCred AD'!E19*B13</f>
        <v>179658.669157875</v>
      </c>
    </row>
    <row r="15" spans="1:9" x14ac:dyDescent="0.15">
      <c r="A15" s="281" t="s">
        <v>625</v>
      </c>
      <c r="B15" s="82">
        <f>D5</f>
        <v>26948800.373681247</v>
      </c>
      <c r="C15" s="82"/>
      <c r="D15" s="82">
        <f>B15*InfoInicial!B35/12*3</f>
        <v>1280068.0177498593</v>
      </c>
      <c r="E15" s="82"/>
      <c r="F15" s="29"/>
      <c r="G15" s="82"/>
      <c r="H15" s="119"/>
      <c r="I15" s="83">
        <f>'FCred AD'!E19*B13</f>
        <v>179658.669157875</v>
      </c>
    </row>
    <row r="16" spans="1:9" x14ac:dyDescent="0.15">
      <c r="A16" s="281" t="s">
        <v>626</v>
      </c>
      <c r="B16" s="82">
        <f>D5</f>
        <v>26948800.373681247</v>
      </c>
      <c r="C16" s="82"/>
      <c r="D16" s="82">
        <f>B16*InfoInicial!B35/12*3</f>
        <v>1280068.0177498593</v>
      </c>
      <c r="E16" s="82"/>
      <c r="F16" s="29"/>
      <c r="G16" s="82"/>
      <c r="H16" s="119"/>
      <c r="I16" s="83">
        <f>'FCred AD'!E19*B13</f>
        <v>179658.669157875</v>
      </c>
    </row>
    <row r="17" spans="1:10" x14ac:dyDescent="0.15">
      <c r="A17" s="281"/>
      <c r="B17" s="82"/>
      <c r="C17" s="82"/>
      <c r="D17" s="82"/>
      <c r="E17" s="82"/>
      <c r="F17" s="29"/>
      <c r="G17" s="82"/>
      <c r="H17" s="119"/>
      <c r="I17" s="83"/>
    </row>
    <row r="18" spans="1:10" x14ac:dyDescent="0.15">
      <c r="A18" s="281"/>
      <c r="B18" s="82"/>
      <c r="C18" s="82"/>
      <c r="D18" s="82"/>
      <c r="E18" s="82"/>
      <c r="F18" s="29"/>
      <c r="G18" s="82"/>
      <c r="H18" s="119"/>
      <c r="I18" s="83"/>
    </row>
    <row r="19" spans="1:10" x14ac:dyDescent="0.15">
      <c r="A19" s="281"/>
      <c r="B19" s="82"/>
      <c r="C19" s="82"/>
      <c r="D19" s="82"/>
      <c r="E19" s="82"/>
      <c r="F19" s="29"/>
      <c r="G19" s="82"/>
      <c r="H19" s="119"/>
      <c r="I19" s="83"/>
    </row>
    <row r="20" spans="1:10" x14ac:dyDescent="0.15">
      <c r="A20" s="282"/>
      <c r="B20" s="95"/>
      <c r="C20" s="95"/>
      <c r="D20" s="99"/>
      <c r="E20" s="95"/>
      <c r="F20" s="38"/>
      <c r="G20" s="99"/>
      <c r="H20" s="283"/>
      <c r="I20" s="100"/>
      <c r="J20" t="s">
        <v>627</v>
      </c>
    </row>
    <row r="21" spans="1:10" x14ac:dyDescent="0.15">
      <c r="A21" s="284" t="s">
        <v>628</v>
      </c>
      <c r="B21" s="285"/>
      <c r="C21" s="285"/>
      <c r="D21" s="286">
        <f>SUM(D14:D16)</f>
        <v>3413514.7139996244</v>
      </c>
      <c r="E21" s="285"/>
      <c r="F21" s="287"/>
      <c r="G21" s="286">
        <f>D21</f>
        <v>3413514.7139996244</v>
      </c>
      <c r="H21" s="288"/>
      <c r="I21" s="286">
        <f>SUM(I13:I16)</f>
        <v>718634.67663150001</v>
      </c>
      <c r="J21" s="255">
        <f>G21+I21</f>
        <v>4132149.3906311244</v>
      </c>
    </row>
    <row r="22" spans="1:10" x14ac:dyDescent="0.15">
      <c r="A22" s="289">
        <v>36892</v>
      </c>
      <c r="B22" s="104">
        <f>D5</f>
        <v>26948800.373681247</v>
      </c>
      <c r="C22" s="104"/>
      <c r="D22" s="81"/>
      <c r="E22" s="104"/>
      <c r="F22" s="278"/>
      <c r="G22" s="81"/>
      <c r="H22" s="279"/>
      <c r="I22" s="94"/>
    </row>
    <row r="23" spans="1:10" x14ac:dyDescent="0.15">
      <c r="A23" s="290" t="s">
        <v>629</v>
      </c>
      <c r="B23" s="82">
        <f>D6+D5</f>
        <v>27520835.573681246</v>
      </c>
      <c r="C23" s="82"/>
      <c r="D23" s="82">
        <f>(D6*InfoInicial!B41)/2+('F-Cred'!D5*InfoInicial!B35)/2</f>
        <v>2603038.6754997186</v>
      </c>
      <c r="E23" s="82"/>
      <c r="F23" s="29"/>
      <c r="G23" s="82"/>
      <c r="H23" s="119"/>
      <c r="I23" s="83"/>
      <c r="J23" s="291" t="s">
        <v>630</v>
      </c>
    </row>
    <row r="24" spans="1:10" x14ac:dyDescent="0.15">
      <c r="A24" s="290" t="s">
        <v>631</v>
      </c>
      <c r="B24" s="82">
        <f t="shared" ref="B24:B32" si="0">B23-C24</f>
        <v>24152235.526971091</v>
      </c>
      <c r="C24" s="82">
        <f>D5/8</f>
        <v>3368600.0467101559</v>
      </c>
      <c r="D24" s="82">
        <f>(D6*InfoInicial!B41)/2+('F-Cred'!D5*InfoInicial!B35)/2</f>
        <v>2603038.6754997186</v>
      </c>
      <c r="E24" s="82">
        <f>C24</f>
        <v>3368600.0467101559</v>
      </c>
      <c r="F24" s="82">
        <f>(B24+B22)/2</f>
        <v>25550517.950326167</v>
      </c>
      <c r="G24" s="82">
        <f>D24+D23</f>
        <v>5206077.3509994373</v>
      </c>
      <c r="H24" s="264">
        <f>G24/F24</f>
        <v>0.20375623543604049</v>
      </c>
      <c r="I24" s="83"/>
    </row>
    <row r="25" spans="1:10" x14ac:dyDescent="0.15">
      <c r="A25" s="290" t="s">
        <v>632</v>
      </c>
      <c r="B25" s="82">
        <f t="shared" si="0"/>
        <v>20783635.480260935</v>
      </c>
      <c r="C25" s="82">
        <f>D5/8</f>
        <v>3368600.0467101559</v>
      </c>
      <c r="D25" s="82">
        <f>(D6*InfoInicial!B41)/2+((D5-C24)*InfoInicial!B35)/2</f>
        <v>2283021.6710622539</v>
      </c>
      <c r="E25" s="82"/>
      <c r="F25" s="82"/>
      <c r="G25" s="82"/>
      <c r="H25" s="264"/>
      <c r="I25" s="83"/>
    </row>
    <row r="26" spans="1:10" x14ac:dyDescent="0.15">
      <c r="A26" s="290" t="s">
        <v>633</v>
      </c>
      <c r="B26" s="82">
        <f t="shared" si="0"/>
        <v>17415035.433550779</v>
      </c>
      <c r="C26" s="82">
        <f>(D5/8)</f>
        <v>3368600.0467101559</v>
      </c>
      <c r="D26" s="82">
        <f>(D6*InfoInicial!B41)/2+(D5-C24-C25)*InfoInicial!B35/2</f>
        <v>1963004.6666247889</v>
      </c>
      <c r="E26" s="82">
        <f>C26+C25</f>
        <v>6737200.0934203118</v>
      </c>
      <c r="F26" s="82">
        <f>(B24+B26)/2</f>
        <v>20783635.480260935</v>
      </c>
      <c r="G26" s="82">
        <f>D25+D26</f>
        <v>4246026.3376870425</v>
      </c>
      <c r="H26" s="264">
        <f>G26/F26</f>
        <v>0.20429661315604128</v>
      </c>
      <c r="I26" s="83"/>
    </row>
    <row r="27" spans="1:10" x14ac:dyDescent="0.15">
      <c r="A27" s="290" t="s">
        <v>634</v>
      </c>
      <c r="B27" s="82">
        <f t="shared" si="0"/>
        <v>14046435.386840623</v>
      </c>
      <c r="C27" s="82">
        <f>(D5/8)</f>
        <v>3368600.0467101559</v>
      </c>
      <c r="D27" s="82">
        <f>(D6*InfoInicial!B41)/2+(D5-C24-C25-C26)*InfoInicial!B35/2</f>
        <v>1642987.6621873239</v>
      </c>
      <c r="E27" s="82"/>
      <c r="F27" s="82"/>
      <c r="G27" s="82"/>
      <c r="H27" s="264"/>
      <c r="I27" s="83"/>
    </row>
    <row r="28" spans="1:10" x14ac:dyDescent="0.15">
      <c r="A28" s="290" t="s">
        <v>635</v>
      </c>
      <c r="B28" s="82">
        <f t="shared" si="0"/>
        <v>10677835.340130467</v>
      </c>
      <c r="C28" s="82">
        <f>(D5/8)</f>
        <v>3368600.0467101559</v>
      </c>
      <c r="D28" s="82">
        <f>(D6*InfoInicial!B41)/2+(D5-C24-C25-C26-C27)*InfoInicial!B35/2</f>
        <v>1322970.6577498592</v>
      </c>
      <c r="E28" s="82">
        <f>C27+C28</f>
        <v>6737200.0934203118</v>
      </c>
      <c r="F28" s="82">
        <f>(B26+B28)/2</f>
        <v>14046435.386840623</v>
      </c>
      <c r="G28" s="82">
        <f>D27+D28</f>
        <v>2965958.3199371831</v>
      </c>
      <c r="H28" s="264">
        <f>G28/F28</f>
        <v>0.21115380794161026</v>
      </c>
      <c r="I28" s="83"/>
    </row>
    <row r="29" spans="1:10" x14ac:dyDescent="0.15">
      <c r="A29" s="290" t="s">
        <v>636</v>
      </c>
      <c r="B29" s="82">
        <f t="shared" si="0"/>
        <v>7309235.2934203111</v>
      </c>
      <c r="C29" s="82">
        <f>(D5/8)</f>
        <v>3368600.0467101559</v>
      </c>
      <c r="D29" s="82">
        <f>(D6*InfoInicial!B41)/2+(D5-C24-C25-C26-C27-C28)*InfoInicial!B35/2</f>
        <v>1002953.6533123945</v>
      </c>
      <c r="E29" s="82"/>
      <c r="F29" s="82"/>
      <c r="G29" s="82"/>
      <c r="H29" s="264"/>
      <c r="I29" s="83"/>
    </row>
    <row r="30" spans="1:10" x14ac:dyDescent="0.15">
      <c r="A30" s="290" t="s">
        <v>637</v>
      </c>
      <c r="B30" s="82">
        <f t="shared" si="0"/>
        <v>3940635.2467101552</v>
      </c>
      <c r="C30" s="82">
        <f>(D5/8)</f>
        <v>3368600.0467101559</v>
      </c>
      <c r="D30" s="82">
        <f>(D6*InfoInicial!B41)/2+(D5-C24-C25-C26-C27-C28-C29)*InfoInicial!B35/2</f>
        <v>682936.64887492964</v>
      </c>
      <c r="E30" s="82">
        <f>C29+C30</f>
        <v>6737200.0934203118</v>
      </c>
      <c r="F30" s="82">
        <f>(B28+B30)/2</f>
        <v>7309235.2934203111</v>
      </c>
      <c r="G30" s="82">
        <f>D29+D30</f>
        <v>1685890.302187324</v>
      </c>
      <c r="H30" s="264">
        <f>G30/F30</f>
        <v>0.23065207706542748</v>
      </c>
      <c r="I30" s="83"/>
    </row>
    <row r="31" spans="1:10" x14ac:dyDescent="0.15">
      <c r="A31" s="290" t="s">
        <v>638</v>
      </c>
      <c r="B31" s="82">
        <f t="shared" si="0"/>
        <v>572035.19999999925</v>
      </c>
      <c r="C31" s="82">
        <f>(D5/8)</f>
        <v>3368600.0467101559</v>
      </c>
      <c r="D31" s="82">
        <f>(D6*InfoInicial!B41)/2+(D5-C24-C25-C26-C27-C28-C29-C30)*InfoInicial!B35/2</f>
        <v>362919.64443746483</v>
      </c>
      <c r="E31" s="82"/>
      <c r="F31" s="82"/>
      <c r="G31" s="82"/>
      <c r="H31" s="264"/>
      <c r="I31" s="83"/>
    </row>
    <row r="32" spans="1:10" x14ac:dyDescent="0.15">
      <c r="A32" s="290" t="s">
        <v>639</v>
      </c>
      <c r="B32" s="82">
        <f t="shared" si="0"/>
        <v>572035.19999999925</v>
      </c>
      <c r="C32" s="82"/>
      <c r="D32" s="82">
        <f>(D6*InfoInicial!B41)/2</f>
        <v>42902.640000000007</v>
      </c>
      <c r="E32" s="82">
        <f>C31+C32</f>
        <v>3368600.0467101559</v>
      </c>
      <c r="F32" s="82">
        <f>(B30+B32)/2</f>
        <v>2256335.2233550772</v>
      </c>
      <c r="G32" s="82">
        <f>D31+D32</f>
        <v>405822.28443746484</v>
      </c>
      <c r="H32" s="264">
        <f>G32/F32</f>
        <v>0.17985903877971815</v>
      </c>
      <c r="I32" s="83"/>
    </row>
    <row r="33" spans="1:9" x14ac:dyDescent="0.15">
      <c r="A33" s="290"/>
      <c r="B33" s="82"/>
      <c r="C33" s="82"/>
      <c r="D33" s="82"/>
      <c r="E33" s="82"/>
      <c r="F33" s="82"/>
      <c r="G33" s="82"/>
      <c r="H33" s="264"/>
      <c r="I33" s="83"/>
    </row>
    <row r="34" spans="1:9" x14ac:dyDescent="0.15">
      <c r="A34" s="103" t="s">
        <v>640</v>
      </c>
      <c r="B34" s="265"/>
      <c r="C34" s="265">
        <f>SUM(C26:C32)</f>
        <v>20211600.280260935</v>
      </c>
      <c r="D34" s="265">
        <f>SUM(D23:D32)</f>
        <v>14509774.59524845</v>
      </c>
      <c r="E34" s="265">
        <f>SUM(E26:E32)</f>
        <v>23580200.326971091</v>
      </c>
      <c r="F34" s="292"/>
      <c r="G34" s="265">
        <f>SUM(G24:G32)</f>
        <v>14509774.59524845</v>
      </c>
      <c r="H34" s="293"/>
      <c r="I34" s="294">
        <f>I21</f>
        <v>718634.67663150001</v>
      </c>
    </row>
    <row r="37" spans="1:9" x14ac:dyDescent="0.15">
      <c r="B37" s="295" t="s">
        <v>641</v>
      </c>
      <c r="C37" s="296" t="s">
        <v>642</v>
      </c>
      <c r="D37" s="297" t="s">
        <v>643</v>
      </c>
      <c r="E37" s="297" t="s">
        <v>644</v>
      </c>
    </row>
    <row r="38" spans="1:9" x14ac:dyDescent="0.15">
      <c r="B38" s="298">
        <v>1</v>
      </c>
      <c r="C38" s="299">
        <f>J21/3</f>
        <v>1377383.1302103747</v>
      </c>
      <c r="D38" s="300">
        <f>G24</f>
        <v>5206077.3509994373</v>
      </c>
      <c r="E38" s="300">
        <f>SUM(C38:D38)</f>
        <v>6583460.4812098118</v>
      </c>
    </row>
    <row r="39" spans="1:9" x14ac:dyDescent="0.15">
      <c r="B39" s="298">
        <v>2</v>
      </c>
      <c r="C39" s="301">
        <f>J21/3</f>
        <v>1377383.1302103747</v>
      </c>
      <c r="D39" s="302">
        <f>G26</f>
        <v>4246026.3376870425</v>
      </c>
      <c r="E39" s="302">
        <f>SUM(C39:D39)</f>
        <v>5623409.467897417</v>
      </c>
    </row>
    <row r="40" spans="1:9" x14ac:dyDescent="0.15">
      <c r="B40" s="298">
        <v>3</v>
      </c>
      <c r="C40" s="301">
        <f>J21/3</f>
        <v>1377383.1302103747</v>
      </c>
      <c r="D40" s="302">
        <f>G28</f>
        <v>2965958.3199371831</v>
      </c>
      <c r="E40" s="302">
        <f>SUM(C40:D40)</f>
        <v>4343341.450147558</v>
      </c>
    </row>
    <row r="41" spans="1:9" x14ac:dyDescent="0.15">
      <c r="B41" s="298">
        <v>4</v>
      </c>
      <c r="C41" s="301"/>
      <c r="D41" s="302">
        <f>G30</f>
        <v>1685890.302187324</v>
      </c>
      <c r="E41" s="302">
        <f>SUM(C41:D41)</f>
        <v>1685890.302187324</v>
      </c>
    </row>
    <row r="42" spans="1:9" x14ac:dyDescent="0.15">
      <c r="B42" s="298">
        <v>5</v>
      </c>
      <c r="C42" s="301"/>
      <c r="D42" s="302">
        <f>G32</f>
        <v>405822.28443746484</v>
      </c>
      <c r="E42" s="302">
        <f>SUM(C42:D42)</f>
        <v>405822.28443746484</v>
      </c>
    </row>
    <row r="43" spans="1:9" x14ac:dyDescent="0.15">
      <c r="B43" s="303" t="s">
        <v>433</v>
      </c>
      <c r="C43" s="304">
        <f>SUM(C38:C42)</f>
        <v>4132149.3906311244</v>
      </c>
      <c r="D43" s="305">
        <f>SUM(D38:D42)</f>
        <v>14509774.59524845</v>
      </c>
      <c r="E43" s="305">
        <f>SUM(E38:E42)</f>
        <v>18641923.985879578</v>
      </c>
    </row>
  </sheetData>
  <mergeCells count="3">
    <mergeCell ref="B3:C3"/>
    <mergeCell ref="D3:E3"/>
    <mergeCell ref="F3:G3"/>
  </mergeCells>
  <pageMargins left="0.25972222222222202" right="0.45972222222222198" top="0.42986111111111103" bottom="1" header="0.51180555555555496" footer="0.51180555555555496"/>
  <pageSetup paperSize="9" firstPageNumber="0" fitToHeight="4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4"/>
  <sheetViews>
    <sheetView zoomScale="90" zoomScaleNormal="90" workbookViewId="0">
      <selection activeCell="E19" sqref="E19"/>
    </sheetView>
  </sheetViews>
  <sheetFormatPr baseColWidth="10" defaultColWidth="8.83203125" defaultRowHeight="13" x14ac:dyDescent="0.15"/>
  <cols>
    <col min="1" max="1" width="11.6640625" customWidth="1"/>
    <col min="2" max="2" width="9" customWidth="1"/>
    <col min="3" max="3" width="17" customWidth="1"/>
    <col min="4" max="4" width="14.83203125" customWidth="1"/>
    <col min="5" max="5" width="12.33203125" customWidth="1"/>
    <col min="6" max="6" width="13.83203125" customWidth="1"/>
    <col min="7" max="8" width="10.6640625" customWidth="1"/>
    <col min="9" max="9" width="7" customWidth="1"/>
    <col min="10" max="10" width="15.5" customWidth="1"/>
    <col min="11" max="11" width="12.33203125" customWidth="1"/>
    <col min="12" max="1025" width="10.6640625" customWidth="1"/>
  </cols>
  <sheetData>
    <row r="1" spans="1:6" x14ac:dyDescent="0.15">
      <c r="A1" s="149" t="s">
        <v>645</v>
      </c>
      <c r="B1" s="149" t="s">
        <v>646</v>
      </c>
      <c r="C1" s="149" t="s">
        <v>647</v>
      </c>
      <c r="D1" s="149" t="s">
        <v>648</v>
      </c>
      <c r="E1" s="149" t="s">
        <v>649</v>
      </c>
      <c r="F1" s="149" t="s">
        <v>650</v>
      </c>
    </row>
    <row r="2" spans="1:6" x14ac:dyDescent="0.15">
      <c r="A2" s="135" t="s">
        <v>651</v>
      </c>
      <c r="B2" s="135">
        <v>10834</v>
      </c>
      <c r="C2" s="135">
        <f>B2*('E-InvAT Datos y links'!D12)</f>
        <v>1430088</v>
      </c>
      <c r="D2" s="135">
        <f>InfoInicial!B40*C2</f>
        <v>572035.20000000007</v>
      </c>
      <c r="E2" s="135" t="s">
        <v>652</v>
      </c>
      <c r="F2" s="306">
        <f>(InfoInicial!B41/12)*D2</f>
        <v>7150.4400000000005</v>
      </c>
    </row>
    <row r="3" spans="1:6" x14ac:dyDescent="0.15">
      <c r="A3" s="135" t="s">
        <v>652</v>
      </c>
      <c r="B3" s="135">
        <v>10834</v>
      </c>
      <c r="C3" s="135">
        <f>B3*('E-InvAT Datos y links'!D12)</f>
        <v>1430088</v>
      </c>
      <c r="D3" s="135">
        <f>InfoInicial!B40*C3</f>
        <v>572035.20000000007</v>
      </c>
      <c r="E3" s="135" t="s">
        <v>653</v>
      </c>
      <c r="F3" s="135">
        <f>(InfoInicial!B41/12)*D3</f>
        <v>7150.4400000000005</v>
      </c>
    </row>
    <row r="4" spans="1:6" x14ac:dyDescent="0.15">
      <c r="A4" s="135" t="s">
        <v>653</v>
      </c>
      <c r="B4" s="135">
        <v>10834</v>
      </c>
      <c r="C4" s="135">
        <f>B4*('E-InvAT Datos y links'!D12)</f>
        <v>1430088</v>
      </c>
      <c r="D4" s="135">
        <f>InfoInicial!B40*C4</f>
        <v>572035.20000000007</v>
      </c>
      <c r="E4" s="135" t="s">
        <v>654</v>
      </c>
      <c r="F4" s="135">
        <f>(InfoInicial!B41/12)*D4</f>
        <v>7150.4400000000005</v>
      </c>
    </row>
    <row r="5" spans="1:6" x14ac:dyDescent="0.15">
      <c r="A5" s="135" t="s">
        <v>654</v>
      </c>
      <c r="B5" s="135">
        <v>10834</v>
      </c>
      <c r="C5" s="135">
        <f>B5*('E-InvAT Datos y links'!D12)</f>
        <v>1430088</v>
      </c>
      <c r="D5" s="135">
        <f>InfoInicial!B40*C5</f>
        <v>572035.20000000007</v>
      </c>
      <c r="E5" s="135" t="s">
        <v>655</v>
      </c>
      <c r="F5" s="135">
        <f>(InfoInicial!B41/12)*D5</f>
        <v>7150.4400000000005</v>
      </c>
    </row>
    <row r="6" spans="1:6" x14ac:dyDescent="0.15">
      <c r="A6" s="135" t="s">
        <v>655</v>
      </c>
      <c r="B6" s="135">
        <v>10834</v>
      </c>
      <c r="C6" s="135">
        <f>B6*('E-InvAT Datos y links'!D12)</f>
        <v>1430088</v>
      </c>
      <c r="D6" s="135">
        <f>InfoInicial!B40*C6</f>
        <v>572035.20000000007</v>
      </c>
      <c r="E6" s="135" t="s">
        <v>656</v>
      </c>
      <c r="F6" s="135">
        <f>(InfoInicial!B41/12)*D6</f>
        <v>7150.4400000000005</v>
      </c>
    </row>
    <row r="7" spans="1:6" x14ac:dyDescent="0.15">
      <c r="A7" s="135" t="s">
        <v>656</v>
      </c>
      <c r="B7" s="135">
        <v>10834</v>
      </c>
      <c r="C7" s="135">
        <f>B7*('E-InvAT Datos y links'!D12)</f>
        <v>1430088</v>
      </c>
      <c r="D7" s="135">
        <f>InfoInicial!B40*C7</f>
        <v>572035.20000000007</v>
      </c>
      <c r="E7" s="135" t="s">
        <v>657</v>
      </c>
      <c r="F7" s="135">
        <f>(InfoInicial!B41/12)*D7</f>
        <v>7150.4400000000005</v>
      </c>
    </row>
    <row r="8" spans="1:6" x14ac:dyDescent="0.15">
      <c r="A8" s="135" t="s">
        <v>657</v>
      </c>
      <c r="B8" s="135">
        <v>10834</v>
      </c>
      <c r="C8" s="135">
        <f>B8*('E-InvAT Datos y links'!D12)</f>
        <v>1430088</v>
      </c>
      <c r="D8" s="135">
        <f>InfoInicial!B40*C8</f>
        <v>572035.20000000007</v>
      </c>
      <c r="E8" s="135" t="s">
        <v>658</v>
      </c>
      <c r="F8" s="135">
        <f>(InfoInicial!B41/12)*D8</f>
        <v>7150.4400000000005</v>
      </c>
    </row>
    <row r="9" spans="1:6" x14ac:dyDescent="0.15">
      <c r="A9" s="135" t="s">
        <v>658</v>
      </c>
      <c r="B9" s="135">
        <v>10834</v>
      </c>
      <c r="C9" s="135">
        <f>B9*('E-InvAT Datos y links'!D12)</f>
        <v>1430088</v>
      </c>
      <c r="D9" s="135">
        <f>InfoInicial!B40*C9</f>
        <v>572035.20000000007</v>
      </c>
      <c r="E9" s="135" t="s">
        <v>659</v>
      </c>
      <c r="F9" s="135">
        <f>(InfoInicial!B41/12)*D9</f>
        <v>7150.4400000000005</v>
      </c>
    </row>
    <row r="10" spans="1:6" x14ac:dyDescent="0.15">
      <c r="A10" s="135" t="s">
        <v>659</v>
      </c>
      <c r="B10" s="135">
        <v>10834</v>
      </c>
      <c r="C10" s="135">
        <f>B10*('E-InvAT Datos y links'!D12)</f>
        <v>1430088</v>
      </c>
      <c r="D10" s="135">
        <f>InfoInicial!B40*C10</f>
        <v>572035.20000000007</v>
      </c>
      <c r="E10" s="135" t="s">
        <v>660</v>
      </c>
      <c r="F10" s="135">
        <f>(InfoInicial!B41/12)*D10</f>
        <v>7150.4400000000005</v>
      </c>
    </row>
    <row r="11" spans="1:6" x14ac:dyDescent="0.15">
      <c r="A11" s="135" t="s">
        <v>660</v>
      </c>
      <c r="B11" s="135">
        <v>10834</v>
      </c>
      <c r="C11" s="135">
        <f>B11*('E-InvAT Datos y links'!D12)</f>
        <v>1430088</v>
      </c>
      <c r="D11" s="135">
        <f>InfoInicial!B40*C11</f>
        <v>572035.20000000007</v>
      </c>
      <c r="E11" s="135" t="s">
        <v>661</v>
      </c>
      <c r="F11" s="135">
        <f>(InfoInicial!B41/12)*D11</f>
        <v>7150.4400000000005</v>
      </c>
    </row>
    <row r="12" spans="1:6" x14ac:dyDescent="0.15">
      <c r="A12" s="135" t="s">
        <v>661</v>
      </c>
      <c r="B12" s="135">
        <v>10834</v>
      </c>
      <c r="C12" s="135">
        <f>B12*('E-InvAT Datos y links'!D12)</f>
        <v>1430088</v>
      </c>
      <c r="D12" s="135">
        <f>InfoInicial!B40*C12</f>
        <v>572035.20000000007</v>
      </c>
      <c r="E12" s="135" t="s">
        <v>662</v>
      </c>
      <c r="F12" s="135">
        <f>(InfoInicial!B41/12)*D12</f>
        <v>7150.4400000000005</v>
      </c>
    </row>
    <row r="13" spans="1:6" x14ac:dyDescent="0.15">
      <c r="A13" s="135" t="s">
        <v>662</v>
      </c>
      <c r="B13" s="135">
        <v>10834</v>
      </c>
      <c r="C13" s="135">
        <f>B13*('E-InvAT Datos y links'!D12)</f>
        <v>1430088</v>
      </c>
      <c r="D13" s="135">
        <f>InfoInicial!B40*C13</f>
        <v>572035.20000000007</v>
      </c>
      <c r="E13" s="135" t="s">
        <v>663</v>
      </c>
      <c r="F13" s="135">
        <f>(InfoInicial!B41/12)*D13</f>
        <v>7150.4400000000005</v>
      </c>
    </row>
    <row r="14" spans="1:6" x14ac:dyDescent="0.15">
      <c r="A14" s="135"/>
      <c r="B14" s="135"/>
      <c r="C14" s="135"/>
      <c r="D14" s="135"/>
      <c r="E14" s="135"/>
      <c r="F14" s="306">
        <f>SUM(F2:F13)</f>
        <v>85805.280000000013</v>
      </c>
    </row>
    <row r="16" spans="1:6" x14ac:dyDescent="0.15">
      <c r="A16" t="s">
        <v>664</v>
      </c>
      <c r="E16">
        <f>F14/InfoInicial!B41</f>
        <v>572035.20000000007</v>
      </c>
    </row>
    <row r="18" spans="1:10" x14ac:dyDescent="0.15">
      <c r="A18" t="s">
        <v>665</v>
      </c>
    </row>
    <row r="19" spans="1:10" x14ac:dyDescent="0.15">
      <c r="A19" t="s">
        <v>666</v>
      </c>
      <c r="E19" s="36">
        <v>0.02</v>
      </c>
    </row>
    <row r="20" spans="1:10" x14ac:dyDescent="0.15">
      <c r="A20" s="13" t="s">
        <v>667</v>
      </c>
    </row>
    <row r="21" spans="1:10" x14ac:dyDescent="0.15">
      <c r="A21" s="13">
        <f>'F-Cred'!D5</f>
        <v>26948800.373681247</v>
      </c>
    </row>
    <row r="23" spans="1:10" x14ac:dyDescent="0.15">
      <c r="A23" s="13" t="s">
        <v>668</v>
      </c>
      <c r="B23" s="13"/>
      <c r="C23" t="s">
        <v>669</v>
      </c>
      <c r="H23" t="s">
        <v>670</v>
      </c>
      <c r="I23" t="s">
        <v>671</v>
      </c>
      <c r="J23" t="s">
        <v>672</v>
      </c>
    </row>
    <row r="24" spans="1:10" x14ac:dyDescent="0.15">
      <c r="A24" s="13">
        <f>'F-Cred'!D6</f>
        <v>572035.20000000007</v>
      </c>
      <c r="B24" s="13"/>
      <c r="H24" t="s">
        <v>629</v>
      </c>
      <c r="I24">
        <f>'F-Cred'!D6</f>
        <v>572035.20000000007</v>
      </c>
      <c r="J24">
        <f>I24*InfoInicial!B41/2</f>
        <v>42902.640000000007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K14"/>
  <sheetViews>
    <sheetView zoomScale="90" zoomScaleNormal="90" workbookViewId="0">
      <selection activeCell="C4" sqref="C4"/>
    </sheetView>
  </sheetViews>
  <sheetFormatPr baseColWidth="10" defaultColWidth="8.83203125" defaultRowHeight="13" x14ac:dyDescent="0.15"/>
  <cols>
    <col min="1" max="1" width="32" style="307" customWidth="1"/>
    <col min="2" max="6" width="13.83203125" style="307" customWidth="1"/>
    <col min="7" max="7" width="15.6640625" style="307" customWidth="1"/>
    <col min="8" max="8" width="17.33203125" style="307" customWidth="1"/>
    <col min="9" max="1025" width="11.33203125" style="307" customWidth="1"/>
  </cols>
  <sheetData>
    <row r="1" spans="1:7" x14ac:dyDescent="0.15">
      <c r="A1" s="1" t="s">
        <v>0</v>
      </c>
      <c r="E1" s="260"/>
      <c r="F1" s="2">
        <f>InfoInicial!E1</f>
        <v>14</v>
      </c>
    </row>
    <row r="2" spans="1:7" ht="16" x14ac:dyDescent="0.2">
      <c r="A2" s="308" t="s">
        <v>673</v>
      </c>
      <c r="B2" s="309"/>
      <c r="C2" s="309"/>
      <c r="D2" s="309"/>
      <c r="E2" s="309"/>
      <c r="F2" s="309"/>
      <c r="G2" s="310"/>
    </row>
    <row r="3" spans="1:7" x14ac:dyDescent="0.15">
      <c r="A3" s="311" t="s">
        <v>206</v>
      </c>
      <c r="B3" s="312" t="s">
        <v>56</v>
      </c>
      <c r="C3" s="312" t="s">
        <v>207</v>
      </c>
      <c r="D3" s="312" t="s">
        <v>208</v>
      </c>
      <c r="E3" s="312" t="s">
        <v>209</v>
      </c>
      <c r="F3" s="313" t="s">
        <v>210</v>
      </c>
      <c r="G3" s="314" t="s">
        <v>541</v>
      </c>
    </row>
    <row r="4" spans="1:7" x14ac:dyDescent="0.15">
      <c r="A4" s="307" t="s">
        <v>674</v>
      </c>
      <c r="B4" s="82">
        <f>'E-Costos'!B88</f>
        <v>31302400</v>
      </c>
      <c r="C4" s="82">
        <f>'E-Costos'!C88</f>
        <v>50000000</v>
      </c>
      <c r="D4" s="82">
        <f>'E-Costos'!D88</f>
        <v>50000000</v>
      </c>
      <c r="E4" s="82">
        <f>'E-Costos'!E88</f>
        <v>50000000</v>
      </c>
      <c r="F4" s="82">
        <f>'E-Costos'!F88</f>
        <v>50000000</v>
      </c>
      <c r="G4" s="83">
        <f t="shared" ref="G4:G14" si="0">SUM(B4:F4)</f>
        <v>231302400</v>
      </c>
    </row>
    <row r="5" spans="1:7" x14ac:dyDescent="0.15">
      <c r="A5" s="307" t="s">
        <v>675</v>
      </c>
      <c r="B5" s="82">
        <f>'E-Costos'!B107</f>
        <v>18115263.147257518</v>
      </c>
      <c r="C5" s="82">
        <f>'E-Costos'!C107</f>
        <v>27414551.807159793</v>
      </c>
      <c r="D5" s="82">
        <f>'E-Costos'!D107</f>
        <v>27384719.478046797</v>
      </c>
      <c r="E5" s="82">
        <f>'E-Costos'!E107</f>
        <v>27385998.548978113</v>
      </c>
      <c r="F5" s="82">
        <f>'E-Costos'!F107</f>
        <v>27386023.630436879</v>
      </c>
      <c r="G5" s="83">
        <f t="shared" si="0"/>
        <v>127686556.6118791</v>
      </c>
    </row>
    <row r="6" spans="1:7" x14ac:dyDescent="0.15">
      <c r="A6" s="307" t="s">
        <v>676</v>
      </c>
      <c r="B6" s="82">
        <f>B4-B5</f>
        <v>13187136.852742482</v>
      </c>
      <c r="C6" s="82">
        <f>C4-C5</f>
        <v>22585448.192840207</v>
      </c>
      <c r="D6" s="82">
        <f>D4-D5</f>
        <v>22615280.521953203</v>
      </c>
      <c r="E6" s="82">
        <f>E4-E5</f>
        <v>22614001.451021887</v>
      </c>
      <c r="F6" s="82">
        <f>F4-F5</f>
        <v>22613976.369563121</v>
      </c>
      <c r="G6" s="83">
        <f t="shared" si="0"/>
        <v>103615843.3881209</v>
      </c>
    </row>
    <row r="7" spans="1:7" x14ac:dyDescent="0.15">
      <c r="A7" s="307" t="s">
        <v>232</v>
      </c>
      <c r="B7" s="105"/>
      <c r="C7" s="105"/>
      <c r="D7" s="105"/>
      <c r="E7" s="105"/>
      <c r="F7" s="226"/>
      <c r="G7" s="83">
        <f t="shared" si="0"/>
        <v>0</v>
      </c>
    </row>
    <row r="8" spans="1:7" x14ac:dyDescent="0.15">
      <c r="A8" s="307" t="s">
        <v>677</v>
      </c>
      <c r="B8" s="82">
        <f>'E-Costos'!B109</f>
        <v>3508804.2966230074</v>
      </c>
      <c r="C8" s="82">
        <f>'E-Costos'!C109</f>
        <v>4522589.5449073417</v>
      </c>
      <c r="D8" s="82">
        <f>'E-Costos'!D109</f>
        <v>4522589.5449073417</v>
      </c>
      <c r="E8" s="82">
        <f>'E-Costos'!E109</f>
        <v>4522589.5449073417</v>
      </c>
      <c r="F8" s="82">
        <f>'E-Costos'!F109</f>
        <v>4522589.5449073417</v>
      </c>
      <c r="G8" s="83">
        <f t="shared" si="0"/>
        <v>21599162.476252377</v>
      </c>
    </row>
    <row r="9" spans="1:7" x14ac:dyDescent="0.15">
      <c r="A9" s="307" t="s">
        <v>678</v>
      </c>
      <c r="B9" s="82">
        <f>'E-Costos'!B110</f>
        <v>2933518.0584968678</v>
      </c>
      <c r="C9" s="82">
        <f>'E-Costos'!C110</f>
        <v>3334503.7136560753</v>
      </c>
      <c r="D9" s="82">
        <f>'E-Costos'!D110</f>
        <v>3334503.7136560753</v>
      </c>
      <c r="E9" s="82">
        <f>'E-Costos'!E110</f>
        <v>3334503.7136560753</v>
      </c>
      <c r="F9" s="82">
        <f>'E-Costos'!F110</f>
        <v>3334503.7136560753</v>
      </c>
      <c r="G9" s="83">
        <f t="shared" si="0"/>
        <v>16271532.913121169</v>
      </c>
    </row>
    <row r="10" spans="1:7" x14ac:dyDescent="0.15">
      <c r="A10" s="307" t="s">
        <v>679</v>
      </c>
      <c r="B10" s="82">
        <f>'F-Cred'!E38</f>
        <v>6583460.4812098118</v>
      </c>
      <c r="C10" s="82">
        <f>'F-Cred'!E39</f>
        <v>5623409.467897417</v>
      </c>
      <c r="D10" s="82">
        <f>'F-Cred'!E40</f>
        <v>4343341.450147558</v>
      </c>
      <c r="E10" s="82">
        <f>'F-Cred'!E41</f>
        <v>1685890.302187324</v>
      </c>
      <c r="F10" s="82">
        <f>'F-Cred'!E42</f>
        <v>405822.28443746484</v>
      </c>
      <c r="G10" s="83">
        <f t="shared" si="0"/>
        <v>18641923.985879578</v>
      </c>
    </row>
    <row r="11" spans="1:7" x14ac:dyDescent="0.15">
      <c r="A11" s="315" t="s">
        <v>680</v>
      </c>
      <c r="B11" s="82">
        <f>B6-B8-B9-B10</f>
        <v>161354.01641279552</v>
      </c>
      <c r="C11" s="82">
        <f>C6-C8-C9-C10</f>
        <v>9104945.4663793724</v>
      </c>
      <c r="D11" s="82">
        <f>D6-D8-D9-D10</f>
        <v>10414845.813242227</v>
      </c>
      <c r="E11" s="82">
        <f>E6-E8-E9-E10</f>
        <v>13071017.890271146</v>
      </c>
      <c r="F11" s="82">
        <f>F6-F8-F9-F10</f>
        <v>14351060.826562239</v>
      </c>
      <c r="G11" s="83">
        <f t="shared" si="0"/>
        <v>47103224.012867779</v>
      </c>
    </row>
    <row r="12" spans="1:7" x14ac:dyDescent="0.15">
      <c r="A12" s="307" t="s">
        <v>681</v>
      </c>
      <c r="B12" s="82">
        <f>'E-Costos'!B117</f>
        <v>236068.50741679134</v>
      </c>
      <c r="C12" s="82">
        <f>'E-Costos'!C117</f>
        <v>515492.42269968765</v>
      </c>
      <c r="D12" s="82">
        <f>'E-Costos'!D117</f>
        <v>516536.55421864241</v>
      </c>
      <c r="E12" s="82">
        <f>'E-Costos'!E117</f>
        <v>516491.78673604637</v>
      </c>
      <c r="F12" s="82">
        <f>'E-Costos'!F117</f>
        <v>516490.90888498968</v>
      </c>
      <c r="G12" s="83">
        <f t="shared" si="0"/>
        <v>2301080.1799561577</v>
      </c>
    </row>
    <row r="13" spans="1:7" x14ac:dyDescent="0.15">
      <c r="A13" s="316" t="s">
        <v>682</v>
      </c>
      <c r="B13" s="82">
        <f>(B11-B12)*InfoInicial!$B$4</f>
        <v>-26150.071851398534</v>
      </c>
      <c r="C13" s="82">
        <f>(C11-C12)*InfoInicial!$B$4</f>
        <v>3006308.5652878894</v>
      </c>
      <c r="D13" s="82">
        <f>(D11-D12)*InfoInicial!$B$4</f>
        <v>3464408.2406582544</v>
      </c>
      <c r="E13" s="82">
        <f>(E11-E12)*InfoInicial!$B$4</f>
        <v>4394084.1362372842</v>
      </c>
      <c r="F13" s="82">
        <f>(F11-F12)*InfoInicial!$B$4</f>
        <v>4842099.4711870374</v>
      </c>
      <c r="G13" s="83">
        <f t="shared" si="0"/>
        <v>15680750.341519065</v>
      </c>
    </row>
    <row r="14" spans="1:7" x14ac:dyDescent="0.15">
      <c r="A14" s="317" t="s">
        <v>683</v>
      </c>
      <c r="B14" s="95">
        <f>B11-B12-B13</f>
        <v>-48564.419152597286</v>
      </c>
      <c r="C14" s="95">
        <f>C11-C12-C13</f>
        <v>5583144.4783917945</v>
      </c>
      <c r="D14" s="95">
        <f>D11-D12-D13</f>
        <v>6433901.0183653301</v>
      </c>
      <c r="E14" s="95">
        <f>E11-E12-E13</f>
        <v>8160441.9672978148</v>
      </c>
      <c r="F14" s="95">
        <f>F11-F12-F13</f>
        <v>8992470.4464902133</v>
      </c>
      <c r="G14" s="83">
        <f t="shared" si="0"/>
        <v>29121393.491392557</v>
      </c>
    </row>
  </sheetData>
  <pageMargins left="0.25972222222222202" right="0.45972222222222198" top="1.27013888888889" bottom="1" header="0.51180555555555496" footer="0.51180555555555496"/>
  <pageSetup paperSize="9" firstPageNumber="0" fitToHeight="4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P52"/>
  <sheetViews>
    <sheetView topLeftCell="B38" zoomScale="90" zoomScaleNormal="90" workbookViewId="0">
      <selection activeCell="H51" sqref="H51"/>
    </sheetView>
  </sheetViews>
  <sheetFormatPr baseColWidth="10" defaultColWidth="8.83203125" defaultRowHeight="13" x14ac:dyDescent="0.15"/>
  <cols>
    <col min="1" max="1" width="54.33203125" style="307" customWidth="1"/>
    <col min="2" max="3" width="13.83203125" style="307" customWidth="1"/>
    <col min="4" max="6" width="14.6640625" style="307" customWidth="1"/>
    <col min="7" max="7" width="11.33203125" style="307" customWidth="1"/>
    <col min="8" max="11" width="13.83203125" style="307" customWidth="1"/>
    <col min="12" max="250" width="11.33203125" style="307" customWidth="1"/>
    <col min="251" max="1025" width="11.33203125" customWidth="1"/>
  </cols>
  <sheetData>
    <row r="1" spans="1:5" x14ac:dyDescent="0.15">
      <c r="A1" s="1" t="s">
        <v>0</v>
      </c>
      <c r="D1" s="307">
        <f>InfoInicial!E1</f>
        <v>14</v>
      </c>
      <c r="E1" s="2"/>
    </row>
    <row r="2" spans="1:5" ht="16" x14ac:dyDescent="0.2">
      <c r="A2" s="308" t="s">
        <v>684</v>
      </c>
      <c r="B2" s="309"/>
      <c r="C2" s="309"/>
      <c r="D2" s="310"/>
    </row>
    <row r="3" spans="1:5" x14ac:dyDescent="0.15">
      <c r="A3" s="311" t="s">
        <v>206</v>
      </c>
      <c r="B3" s="318" t="s">
        <v>55</v>
      </c>
      <c r="C3" s="318" t="s">
        <v>56</v>
      </c>
      <c r="D3" s="314" t="s">
        <v>541</v>
      </c>
    </row>
    <row r="4" spans="1:5" x14ac:dyDescent="0.15">
      <c r="A4" s="315" t="s">
        <v>685</v>
      </c>
      <c r="B4" s="105"/>
      <c r="C4" s="105"/>
      <c r="D4" s="106"/>
    </row>
    <row r="5" spans="1:5" x14ac:dyDescent="0.15">
      <c r="B5" s="82"/>
      <c r="C5" s="82"/>
      <c r="D5" s="83"/>
    </row>
    <row r="6" spans="1:5" x14ac:dyDescent="0.15">
      <c r="A6" s="307" t="s">
        <v>686</v>
      </c>
      <c r="B6" s="82">
        <f>'E-Inv AF y Am'!B20+'E-Inv AF y Am'!D20</f>
        <v>34482733.831574999</v>
      </c>
      <c r="C6" s="82">
        <f>'E-Inv AF y Am'!C20+'E-Inv AF y Am'!E20</f>
        <v>0</v>
      </c>
      <c r="D6" s="83">
        <f>B6+C6</f>
        <v>34482733.831574999</v>
      </c>
    </row>
    <row r="7" spans="1:5" x14ac:dyDescent="0.15">
      <c r="A7" s="307" t="s">
        <v>687</v>
      </c>
      <c r="B7" s="82">
        <f>'E-Inv AF y Am'!B31+'F-Cred'!J21</f>
        <v>5425899.3906311244</v>
      </c>
      <c r="C7" s="82">
        <f>'E-Inv AF y Am'!C31</f>
        <v>155250</v>
      </c>
      <c r="D7" s="83">
        <f>B7+C7</f>
        <v>5581149.3906311244</v>
      </c>
    </row>
    <row r="8" spans="1:5" x14ac:dyDescent="0.15">
      <c r="A8" s="315" t="s">
        <v>688</v>
      </c>
      <c r="B8" s="82">
        <f>B6+B7</f>
        <v>39908633.222206123</v>
      </c>
      <c r="C8" s="82">
        <f>C6+C7</f>
        <v>155250</v>
      </c>
      <c r="D8" s="83">
        <f>B8+C8</f>
        <v>40063883.222206123</v>
      </c>
    </row>
    <row r="9" spans="1:5" x14ac:dyDescent="0.15">
      <c r="A9" s="316" t="s">
        <v>689</v>
      </c>
      <c r="B9" s="82">
        <f>B8*InfoInicial!B3</f>
        <v>8380812.9766632859</v>
      </c>
      <c r="C9" s="82">
        <f>C8*InfoInicial!B3</f>
        <v>32602.5</v>
      </c>
      <c r="D9" s="83">
        <f>B9+C9</f>
        <v>8413415.4766632859</v>
      </c>
    </row>
    <row r="10" spans="1:5" x14ac:dyDescent="0.15">
      <c r="A10" s="315" t="s">
        <v>690</v>
      </c>
      <c r="B10" s="82">
        <f>B8+B9</f>
        <v>48289446.198869407</v>
      </c>
      <c r="C10" s="82">
        <f>C8+C9</f>
        <v>187852.5</v>
      </c>
      <c r="D10" s="83">
        <f>B10+C10</f>
        <v>48477298.698869407</v>
      </c>
    </row>
    <row r="11" spans="1:5" x14ac:dyDescent="0.15">
      <c r="A11" s="315" t="s">
        <v>691</v>
      </c>
      <c r="B11" s="105"/>
      <c r="C11" s="105"/>
      <c r="D11" s="83"/>
    </row>
    <row r="12" spans="1:5" x14ac:dyDescent="0.15">
      <c r="A12" s="316" t="s">
        <v>692</v>
      </c>
      <c r="B12" s="82">
        <f>'E-InvAT'!B6</f>
        <v>800000</v>
      </c>
      <c r="C12" s="82">
        <f>'E-InvAT'!C6-'E-InvAT'!B6</f>
        <v>200000</v>
      </c>
      <c r="D12" s="83">
        <f>B12+C12</f>
        <v>1000000</v>
      </c>
    </row>
    <row r="13" spans="1:5" x14ac:dyDescent="0.15">
      <c r="A13" s="307" t="s">
        <v>693</v>
      </c>
      <c r="B13" s="82">
        <f>'E-InvAT'!B7</f>
        <v>0</v>
      </c>
      <c r="C13" s="82">
        <f>'E-InvAT'!C7-'E-InvAT'!B7</f>
        <v>4109589.0410958906</v>
      </c>
      <c r="D13" s="83">
        <f>B13+C13</f>
        <v>4109589.0410958906</v>
      </c>
    </row>
    <row r="14" spans="1:5" x14ac:dyDescent="0.15">
      <c r="A14" s="307" t="s">
        <v>694</v>
      </c>
      <c r="B14" s="82">
        <f>SUM('E-InvAT'!B10:B13)</f>
        <v>1734042.1430414475</v>
      </c>
      <c r="C14" s="82">
        <f>SUM('E-InvAT'!C10:C13)-SUM('E-InvAT'!B10:B13)</f>
        <v>663850.53576036193</v>
      </c>
      <c r="D14" s="83">
        <f>B14+C14</f>
        <v>2397892.6788018094</v>
      </c>
    </row>
    <row r="15" spans="1:5" x14ac:dyDescent="0.15">
      <c r="A15" s="315" t="s">
        <v>695</v>
      </c>
      <c r="B15" s="82">
        <f>SUM(B12:B14)</f>
        <v>2534042.1430414477</v>
      </c>
      <c r="C15" s="82">
        <f>SUM(C12:C14)</f>
        <v>4973439.5768562518</v>
      </c>
      <c r="D15" s="83">
        <f>B15+C15</f>
        <v>7507481.7198976995</v>
      </c>
    </row>
    <row r="16" spans="1:5" x14ac:dyDescent="0.15">
      <c r="A16" s="307" t="s">
        <v>232</v>
      </c>
      <c r="B16" s="105"/>
      <c r="C16" s="105"/>
      <c r="D16" s="83"/>
    </row>
    <row r="17" spans="1:5" x14ac:dyDescent="0.15">
      <c r="A17" s="307" t="s">
        <v>696</v>
      </c>
      <c r="B17" s="82">
        <f>'E-InvAT'!B17+'E-InvAT'!B18</f>
        <v>0</v>
      </c>
      <c r="C17" s="82">
        <f>'E-InvAT'!C17+'E-InvAT'!C18</f>
        <v>8215.7291914218167</v>
      </c>
      <c r="D17" s="83">
        <f t="shared" ref="D17:D23" si="0">B17+C17</f>
        <v>8215.7291914218167</v>
      </c>
    </row>
    <row r="18" spans="1:5" x14ac:dyDescent="0.15">
      <c r="A18" s="307" t="s">
        <v>697</v>
      </c>
      <c r="B18" s="82">
        <v>0</v>
      </c>
      <c r="C18" s="82">
        <f>('E-Inv AF y Am'!D56+'F-Cred'!C38-'F-2 Estructura'!C17)*30/365</f>
        <v>319286.87502744817</v>
      </c>
      <c r="D18" s="83">
        <f t="shared" si="0"/>
        <v>319286.87502744817</v>
      </c>
    </row>
    <row r="19" spans="1:5" x14ac:dyDescent="0.15">
      <c r="A19" s="307" t="s">
        <v>698</v>
      </c>
      <c r="B19" s="82">
        <v>0</v>
      </c>
      <c r="C19" s="82">
        <f>'F-CRes'!B14/'F-CRes'!B4*'E-InvAT'!C7</f>
        <v>-6375.86270499071</v>
      </c>
      <c r="D19" s="83">
        <f t="shared" si="0"/>
        <v>-6375.86270499071</v>
      </c>
    </row>
    <row r="20" spans="1:5" x14ac:dyDescent="0.15">
      <c r="A20" s="315" t="s">
        <v>699</v>
      </c>
      <c r="B20" s="82">
        <f>B15-(B17+B18+B19)</f>
        <v>2534042.1430414477</v>
      </c>
      <c r="C20" s="82">
        <f>C15-(C17+C18+C19)</f>
        <v>4652312.8353423728</v>
      </c>
      <c r="D20" s="83">
        <f t="shared" si="0"/>
        <v>7186354.9783838205</v>
      </c>
    </row>
    <row r="21" spans="1:5" x14ac:dyDescent="0.15">
      <c r="A21" s="307" t="s">
        <v>600</v>
      </c>
      <c r="B21" s="82">
        <f>'E-InvAT'!B34</f>
        <v>388850.7500645066</v>
      </c>
      <c r="C21" s="82">
        <f>'E-InvAT'!C34</f>
        <v>143846.32053129212</v>
      </c>
      <c r="D21" s="83">
        <f t="shared" si="0"/>
        <v>532697.07059579878</v>
      </c>
    </row>
    <row r="22" spans="1:5" x14ac:dyDescent="0.15">
      <c r="A22" s="315" t="s">
        <v>700</v>
      </c>
      <c r="B22" s="319">
        <f>B15+B21</f>
        <v>2922892.8931059544</v>
      </c>
      <c r="C22" s="319">
        <f>C15+C21</f>
        <v>5117285.8973875437</v>
      </c>
      <c r="D22" s="83">
        <f t="shared" si="0"/>
        <v>8040178.7904934976</v>
      </c>
    </row>
    <row r="23" spans="1:5" x14ac:dyDescent="0.15">
      <c r="A23" s="315" t="s">
        <v>701</v>
      </c>
      <c r="B23" s="82">
        <f>B20+B21</f>
        <v>2922892.8931059544</v>
      </c>
      <c r="C23" s="82">
        <f>C20+C21</f>
        <v>4796159.1558736647</v>
      </c>
      <c r="D23" s="83">
        <f t="shared" si="0"/>
        <v>7719052.0489796195</v>
      </c>
    </row>
    <row r="24" spans="1:5" x14ac:dyDescent="0.15">
      <c r="A24" s="315" t="s">
        <v>702</v>
      </c>
      <c r="B24" s="105"/>
      <c r="C24" s="105"/>
      <c r="D24" s="83"/>
    </row>
    <row r="25" spans="1:5" x14ac:dyDescent="0.15">
      <c r="A25" s="307" t="s">
        <v>703</v>
      </c>
      <c r="B25" s="82">
        <f>B10</f>
        <v>48289446.198869407</v>
      </c>
      <c r="C25" s="82">
        <f>C10</f>
        <v>187852.5</v>
      </c>
      <c r="D25" s="83">
        <f>B25+C25</f>
        <v>48477298.698869407</v>
      </c>
    </row>
    <row r="26" spans="1:5" x14ac:dyDescent="0.15">
      <c r="A26" s="307" t="s">
        <v>704</v>
      </c>
      <c r="B26" s="82">
        <f>B23</f>
        <v>2922892.8931059544</v>
      </c>
      <c r="C26" s="82">
        <f>C23</f>
        <v>4796159.1558736647</v>
      </c>
      <c r="D26" s="83">
        <f>B26+C26</f>
        <v>7719052.0489796195</v>
      </c>
    </row>
    <row r="27" spans="1:5" x14ac:dyDescent="0.15">
      <c r="A27" s="315" t="s">
        <v>705</v>
      </c>
      <c r="B27" s="82">
        <f>B25+B26</f>
        <v>51212339.091975361</v>
      </c>
      <c r="C27" s="82">
        <f>C25+C26</f>
        <v>4984011.6558736647</v>
      </c>
      <c r="D27" s="83">
        <f>B27+C27</f>
        <v>56196350.747849025</v>
      </c>
      <c r="E27" s="320"/>
    </row>
    <row r="28" spans="1:5" x14ac:dyDescent="0.15">
      <c r="A28" s="315" t="s">
        <v>706</v>
      </c>
      <c r="B28" s="105"/>
      <c r="C28" s="105"/>
      <c r="D28" s="83"/>
      <c r="E28" s="321" t="s">
        <v>347</v>
      </c>
    </row>
    <row r="29" spans="1:5" x14ac:dyDescent="0.15">
      <c r="A29" s="315" t="s">
        <v>707</v>
      </c>
      <c r="B29" s="82">
        <v>0</v>
      </c>
      <c r="C29" s="82">
        <f>'F-Cred'!D6</f>
        <v>572035.20000000007</v>
      </c>
      <c r="D29" s="83">
        <f>B29+C29</f>
        <v>572035.20000000007</v>
      </c>
      <c r="E29" s="322">
        <f>D29/$D$32</f>
        <v>1.0179223248262172E-2</v>
      </c>
    </row>
    <row r="30" spans="1:5" x14ac:dyDescent="0.15">
      <c r="A30" s="315" t="s">
        <v>708</v>
      </c>
      <c r="B30" s="82">
        <f>'F-Cred'!D5</f>
        <v>26948800.373681247</v>
      </c>
      <c r="C30" s="82">
        <v>0</v>
      </c>
      <c r="D30" s="83">
        <f>B30+C30</f>
        <v>26948800.373681247</v>
      </c>
      <c r="E30" s="322">
        <f>D30/$D$32</f>
        <v>0.47954715946947396</v>
      </c>
    </row>
    <row r="31" spans="1:5" x14ac:dyDescent="0.15">
      <c r="A31" s="315" t="s">
        <v>709</v>
      </c>
      <c r="B31" s="82">
        <f>B27-B30</f>
        <v>24263538.718294114</v>
      </c>
      <c r="C31" s="82">
        <f>C27-C29-C30</f>
        <v>4411976.4558736645</v>
      </c>
      <c r="D31" s="83">
        <f>B31+C31</f>
        <v>28675515.174167778</v>
      </c>
      <c r="E31" s="322">
        <f>D31/$D$32</f>
        <v>0.51027361728226395</v>
      </c>
    </row>
    <row r="32" spans="1:5" x14ac:dyDescent="0.15">
      <c r="A32" s="317" t="s">
        <v>541</v>
      </c>
      <c r="B32" s="95">
        <f>B29+B30+B31</f>
        <v>51212339.091975361</v>
      </c>
      <c r="C32" s="95">
        <f>C29+C30+C31</f>
        <v>4984011.6558736647</v>
      </c>
      <c r="D32" s="83">
        <f>B32+C32</f>
        <v>56196350.747849025</v>
      </c>
      <c r="E32" s="323">
        <v>1</v>
      </c>
    </row>
    <row r="34" spans="1:6" ht="16" x14ac:dyDescent="0.2">
      <c r="A34" s="308" t="s">
        <v>710</v>
      </c>
      <c r="B34" s="309"/>
      <c r="C34" s="309"/>
      <c r="D34" s="309"/>
      <c r="E34" s="309"/>
      <c r="F34" s="309"/>
    </row>
    <row r="35" spans="1:6" x14ac:dyDescent="0.15">
      <c r="A35" s="311" t="s">
        <v>206</v>
      </c>
      <c r="B35" s="312" t="s">
        <v>56</v>
      </c>
      <c r="C35" s="312" t="s">
        <v>207</v>
      </c>
      <c r="D35" s="312" t="s">
        <v>208</v>
      </c>
      <c r="E35" s="312" t="s">
        <v>209</v>
      </c>
      <c r="F35" s="312" t="s">
        <v>210</v>
      </c>
    </row>
    <row r="36" spans="1:6" x14ac:dyDescent="0.15">
      <c r="A36" s="324" t="s">
        <v>272</v>
      </c>
      <c r="B36" s="29">
        <f>'E-Costos'!B20*'E-Costos'!B17</f>
        <v>16041768.327647338</v>
      </c>
      <c r="C36" s="29">
        <f>'E-Costos'!C20*'E-Costos'!C17</f>
        <v>23501807.714304104</v>
      </c>
      <c r="D36" s="29">
        <f>'E-Costos'!D20*'E-Costos'!D17</f>
        <v>23501807.714304104</v>
      </c>
      <c r="E36" s="29">
        <f>'E-Costos'!E20*'E-Costos'!E17</f>
        <v>23505832.294944104</v>
      </c>
      <c r="F36" s="29">
        <f>'E-Costos'!F20*'E-Costos'!F17</f>
        <v>23505832.294944104</v>
      </c>
    </row>
    <row r="37" spans="1:6" x14ac:dyDescent="0.15">
      <c r="A37" s="325" t="s">
        <v>271</v>
      </c>
      <c r="B37" s="29">
        <f>'E-Costos'!B19*'E-Costos'!B17</f>
        <v>3520732.9546850086</v>
      </c>
      <c r="C37" s="29">
        <f>'E-Costos'!C19*'E-Costos'!C17</f>
        <v>3917476.897615572</v>
      </c>
      <c r="D37" s="29">
        <f>'E-Costos'!D19*'E-Costos'!D17</f>
        <v>3917476.897615572</v>
      </c>
      <c r="E37" s="29">
        <f>'E-Costos'!E19*'E-Costos'!E17</f>
        <v>3914754.397615572</v>
      </c>
      <c r="F37" s="29">
        <f>'E-Costos'!F19*'E-Costos'!F17</f>
        <v>3914754.397615572</v>
      </c>
    </row>
    <row r="38" spans="1:6" x14ac:dyDescent="0.15">
      <c r="A38" s="324" t="s">
        <v>274</v>
      </c>
      <c r="B38" s="29">
        <f>'E-Costos'!B64*'E-Costos'!B61</f>
        <v>0</v>
      </c>
      <c r="C38" s="29">
        <f>'E-Costos'!C64*'E-Costos'!C61</f>
        <v>0</v>
      </c>
      <c r="D38" s="29">
        <f>'E-Costos'!D64*'E-Costos'!D61</f>
        <v>0</v>
      </c>
      <c r="E38" s="29">
        <f>'E-Costos'!E64*'E-Costos'!E61</f>
        <v>0</v>
      </c>
      <c r="F38" s="29">
        <f>'E-Costos'!F64*'E-Costos'!F61</f>
        <v>0</v>
      </c>
    </row>
    <row r="39" spans="1:6" x14ac:dyDescent="0.15">
      <c r="A39" s="325" t="s">
        <v>273</v>
      </c>
      <c r="B39" s="29">
        <f>'E-Costos'!B63*'E-Costos'!B61</f>
        <v>3508804.2966230074</v>
      </c>
      <c r="C39" s="29">
        <f>'E-Costos'!C63*'E-Costos'!C61</f>
        <v>4522589.5449073417</v>
      </c>
      <c r="D39" s="29">
        <f>'E-Costos'!D63*'E-Costos'!D61</f>
        <v>4522589.5449073417</v>
      </c>
      <c r="E39" s="29">
        <f>'E-Costos'!E63*'E-Costos'!E61</f>
        <v>4522589.5449073417</v>
      </c>
      <c r="F39" s="29">
        <f>'E-Costos'!F63*'E-Costos'!F61</f>
        <v>4522589.5449073417</v>
      </c>
    </row>
    <row r="40" spans="1:6" x14ac:dyDescent="0.15">
      <c r="A40" s="324" t="s">
        <v>276</v>
      </c>
      <c r="B40" s="29">
        <f>'E-Costos'!B81*'E-Costos'!B78</f>
        <v>194600.54688279727</v>
      </c>
      <c r="C40" s="29">
        <f>'E-Costos'!C81*'E-Costos'!C78</f>
        <v>201380.497573895</v>
      </c>
      <c r="D40" s="29">
        <f>'E-Costos'!D81*'E-Costos'!D78</f>
        <v>201380.497573895</v>
      </c>
      <c r="E40" s="29">
        <f>'E-Costos'!E81*'E-Costos'!E78</f>
        <v>201380.497573895</v>
      </c>
      <c r="F40" s="29">
        <f>'E-Costos'!F81*'E-Costos'!F78</f>
        <v>201380.497573895</v>
      </c>
    </row>
    <row r="41" spans="1:6" x14ac:dyDescent="0.15">
      <c r="A41" s="325" t="s">
        <v>275</v>
      </c>
      <c r="B41" s="29">
        <f>'E-Costos'!B80*'E-Costos'!B78</f>
        <v>2738917.5116140707</v>
      </c>
      <c r="C41" s="29">
        <f>'E-Costos'!C80*'E-Costos'!C78</f>
        <v>3133123.2160821804</v>
      </c>
      <c r="D41" s="29">
        <f>'E-Costos'!D80*'E-Costos'!D78</f>
        <v>3133123.2160821804</v>
      </c>
      <c r="E41" s="29">
        <f>'E-Costos'!E80*'E-Costos'!E78</f>
        <v>3133123.2160821804</v>
      </c>
      <c r="F41" s="29">
        <f>'E-Costos'!F80*'E-Costos'!F78</f>
        <v>3133123.2160821804</v>
      </c>
    </row>
    <row r="42" spans="1:6" x14ac:dyDescent="0.15">
      <c r="A42" s="325" t="s">
        <v>711</v>
      </c>
      <c r="B42" s="29">
        <f>'F-CRes'!B10</f>
        <v>6583460.4812098118</v>
      </c>
      <c r="C42" s="29">
        <f>'F-CRes'!C10</f>
        <v>5623409.467897417</v>
      </c>
      <c r="D42" s="29">
        <f>'F-CRes'!D10</f>
        <v>4343341.450147558</v>
      </c>
      <c r="E42" s="29">
        <f>'F-CRes'!E10</f>
        <v>1685890.302187324</v>
      </c>
      <c r="F42" s="29">
        <f>SUM(B42:E42)</f>
        <v>18236101.701442111</v>
      </c>
    </row>
    <row r="43" spans="1:6" x14ac:dyDescent="0.15">
      <c r="A43" s="324" t="s">
        <v>277</v>
      </c>
      <c r="B43" s="29">
        <f>'E-Costos'!B134</f>
        <v>15066031.125469865</v>
      </c>
      <c r="C43" s="29">
        <f>'E-Costos'!C134</f>
        <v>26296811.788122002</v>
      </c>
      <c r="D43" s="29">
        <f>'E-Costos'!D134</f>
        <v>26296811.788122002</v>
      </c>
      <c r="E43" s="29">
        <f>'E-Costos'!E134</f>
        <v>26292787.207482003</v>
      </c>
      <c r="F43" s="29">
        <f>'E-Costos'!F134</f>
        <v>26292787.207482003</v>
      </c>
    </row>
    <row r="44" spans="1:6" x14ac:dyDescent="0.15">
      <c r="A44" s="326" t="s">
        <v>278</v>
      </c>
      <c r="B44" s="327">
        <f>(B37+B39+B41+B42)/B43</f>
        <v>1.0853498912854485</v>
      </c>
      <c r="C44" s="327">
        <f>(C37+C39+C41+C42)/C43</f>
        <v>0.65394235868053163</v>
      </c>
      <c r="D44" s="327">
        <f>(D37+D39+D41+D42)/D43</f>
        <v>0.60526466999098283</v>
      </c>
      <c r="E44" s="327">
        <f>(E37+E39+E41+E42)/E43</f>
        <v>0.50418228224279404</v>
      </c>
      <c r="F44" s="327">
        <f>(F37+F39+F41+F42)/F43</f>
        <v>1.1336405161171086</v>
      </c>
    </row>
    <row r="45" spans="1:6" ht="16" x14ac:dyDescent="0.2">
      <c r="A45" s="328" t="s">
        <v>279</v>
      </c>
    </row>
    <row r="49" spans="1:11" x14ac:dyDescent="0.15">
      <c r="A49" s="411" t="s">
        <v>202</v>
      </c>
      <c r="B49" s="411"/>
      <c r="C49" s="411"/>
      <c r="D49" s="411"/>
      <c r="E49" s="411"/>
      <c r="G49" s="411" t="s">
        <v>280</v>
      </c>
      <c r="H49" s="411"/>
      <c r="I49" s="411"/>
      <c r="J49" s="411"/>
      <c r="K49" s="411"/>
    </row>
    <row r="50" spans="1:11" x14ac:dyDescent="0.15">
      <c r="A50" s="329" t="s">
        <v>712</v>
      </c>
      <c r="B50" s="329" t="s">
        <v>713</v>
      </c>
      <c r="C50" s="329" t="s">
        <v>714</v>
      </c>
      <c r="D50" s="329" t="s">
        <v>715</v>
      </c>
      <c r="E50" s="329" t="s">
        <v>285</v>
      </c>
      <c r="G50" s="329" t="s">
        <v>712</v>
      </c>
      <c r="H50" s="329" t="s">
        <v>713</v>
      </c>
      <c r="I50" s="329" t="s">
        <v>714</v>
      </c>
      <c r="J50" s="329" t="s">
        <v>715</v>
      </c>
      <c r="K50" s="329" t="s">
        <v>285</v>
      </c>
    </row>
    <row r="51" spans="1:11" x14ac:dyDescent="0.15">
      <c r="A51" s="329">
        <v>0</v>
      </c>
      <c r="B51" s="330">
        <v>0</v>
      </c>
      <c r="C51" s="330">
        <f>B37+B39+B41+B42</f>
        <v>16351915.2441319</v>
      </c>
      <c r="D51" s="330">
        <f>SUM(B51:C51)</f>
        <v>16351915.2441319</v>
      </c>
      <c r="E51" s="330">
        <v>0</v>
      </c>
      <c r="F51" s="331"/>
      <c r="G51" s="329">
        <v>0</v>
      </c>
      <c r="H51" s="330">
        <v>0</v>
      </c>
      <c r="I51" s="330">
        <f>F37+F39+F41+F42</f>
        <v>29806568.860047206</v>
      </c>
      <c r="J51" s="330">
        <f>H51+I51</f>
        <v>29806568.860047206</v>
      </c>
      <c r="K51" s="330">
        <v>0</v>
      </c>
    </row>
    <row r="52" spans="1:11" x14ac:dyDescent="0.15">
      <c r="A52" s="329">
        <f>'E-Costos'!B86</f>
        <v>78256</v>
      </c>
      <c r="B52" s="330">
        <f>SUM(B36,B38,B40)</f>
        <v>16236368.874530135</v>
      </c>
      <c r="C52" s="330">
        <f>B37+B39+B41+B42</f>
        <v>16351915.2441319</v>
      </c>
      <c r="D52" s="330">
        <f>SUM(B52:C52)</f>
        <v>32588284.118662037</v>
      </c>
      <c r="E52" s="330">
        <f>'E-Costos'!B88</f>
        <v>31302400</v>
      </c>
      <c r="F52" s="331"/>
      <c r="G52" s="329">
        <f>'E-Costos'!F86</f>
        <v>125000</v>
      </c>
      <c r="H52" s="330">
        <f>F36+F38+F40</f>
        <v>23707212.792517997</v>
      </c>
      <c r="I52" s="330">
        <f>F37+F39+F41+F42</f>
        <v>29806568.860047206</v>
      </c>
      <c r="J52" s="330">
        <f>H52+I52</f>
        <v>53513781.652565204</v>
      </c>
      <c r="K52" s="330">
        <f>'E-Costos'!C88</f>
        <v>50000000</v>
      </c>
    </row>
  </sheetData>
  <mergeCells count="2">
    <mergeCell ref="A49:E49"/>
    <mergeCell ref="G49:K49"/>
  </mergeCells>
  <pageMargins left="0.25972222222222202" right="0.45972222222222198" top="0.7" bottom="1" header="0.51180555555555496" footer="0.51180555555555496"/>
  <pageSetup paperSize="9" firstPageNumber="0" fitToHeight="4" orientation="landscape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MK21"/>
  <sheetViews>
    <sheetView zoomScale="90" zoomScaleNormal="90" workbookViewId="0">
      <selection activeCell="D25" sqref="D25"/>
    </sheetView>
  </sheetViews>
  <sheetFormatPr baseColWidth="10" defaultColWidth="8.83203125" defaultRowHeight="13" x14ac:dyDescent="0.15"/>
  <cols>
    <col min="1" max="1" width="42.83203125" style="307" customWidth="1"/>
    <col min="2" max="7" width="13.83203125" style="307" customWidth="1"/>
    <col min="8" max="8" width="17.33203125" style="307" customWidth="1"/>
    <col min="9" max="1025" width="11.33203125" style="307" customWidth="1"/>
  </cols>
  <sheetData>
    <row r="1" spans="1:7" x14ac:dyDescent="0.15">
      <c r="A1" s="1" t="s">
        <v>0</v>
      </c>
      <c r="E1" s="2">
        <f>InfoInicial!E1</f>
        <v>14</v>
      </c>
    </row>
    <row r="2" spans="1:7" ht="16" x14ac:dyDescent="0.2">
      <c r="A2" s="308" t="s">
        <v>560</v>
      </c>
      <c r="B2" s="309"/>
      <c r="C2" s="309"/>
      <c r="D2" s="309"/>
      <c r="E2" s="309"/>
      <c r="F2" s="309"/>
      <c r="G2" s="310"/>
    </row>
    <row r="3" spans="1:7" ht="16" x14ac:dyDescent="0.2">
      <c r="A3" s="332"/>
      <c r="B3" s="333" t="s">
        <v>561</v>
      </c>
      <c r="C3" s="333"/>
      <c r="D3" s="333"/>
      <c r="E3" s="333"/>
      <c r="F3" s="333"/>
      <c r="G3" s="334"/>
    </row>
    <row r="4" spans="1:7" ht="14" x14ac:dyDescent="0.15">
      <c r="A4" s="335" t="s">
        <v>206</v>
      </c>
      <c r="B4" s="336" t="s">
        <v>55</v>
      </c>
      <c r="C4" s="312" t="s">
        <v>56</v>
      </c>
      <c r="D4" s="312" t="s">
        <v>207</v>
      </c>
      <c r="E4" s="312" t="s">
        <v>208</v>
      </c>
      <c r="F4" s="312" t="s">
        <v>209</v>
      </c>
      <c r="G4" s="314" t="s">
        <v>210</v>
      </c>
    </row>
    <row r="5" spans="1:7" x14ac:dyDescent="0.15">
      <c r="A5" s="337" t="s">
        <v>716</v>
      </c>
      <c r="B5" s="338"/>
      <c r="C5" s="191"/>
      <c r="D5" s="191"/>
      <c r="E5" s="191"/>
      <c r="F5" s="191"/>
      <c r="G5" s="223"/>
    </row>
    <row r="6" spans="1:7" x14ac:dyDescent="0.15">
      <c r="A6" s="339" t="s">
        <v>717</v>
      </c>
      <c r="B6" s="249">
        <v>0</v>
      </c>
      <c r="C6" s="82">
        <f>'E-IVA '!C17</f>
        <v>2329658.4972512214</v>
      </c>
      <c r="D6" s="82">
        <f>'E-IVA '!D17</f>
        <v>3731945.6139646899</v>
      </c>
      <c r="E6" s="82">
        <f>'E-IVA '!E17</f>
        <v>3732107.9368318259</v>
      </c>
      <c r="F6" s="82">
        <f>'E-IVA '!F17</f>
        <v>3732936.8446119037</v>
      </c>
      <c r="G6" s="83">
        <f>'E-IVA '!G17</f>
        <v>3732953.0987662259</v>
      </c>
    </row>
    <row r="7" spans="1:7" x14ac:dyDescent="0.15">
      <c r="A7" s="339" t="s">
        <v>718</v>
      </c>
      <c r="B7" s="249">
        <v>0</v>
      </c>
      <c r="C7" s="82">
        <f>'E-IVA '!C18</f>
        <v>41780.837913074916</v>
      </c>
      <c r="D7" s="82">
        <f>'E-IVA '!D18</f>
        <v>44308.955535983252</v>
      </c>
      <c r="E7" s="82">
        <f>'E-IVA '!E18</f>
        <v>44308.955535983252</v>
      </c>
      <c r="F7" s="82">
        <f>'E-IVA '!F18</f>
        <v>44308.955535983252</v>
      </c>
      <c r="G7" s="83">
        <f>'E-IVA '!G18</f>
        <v>44308.955535983252</v>
      </c>
    </row>
    <row r="8" spans="1:7" x14ac:dyDescent="0.15">
      <c r="A8" s="340" t="s">
        <v>719</v>
      </c>
      <c r="B8" s="249">
        <v>0</v>
      </c>
      <c r="C8" s="82">
        <f>'E-IVA '!C19</f>
        <v>41160.053945452448</v>
      </c>
      <c r="D8" s="82">
        <f>'E-IVA '!D19</f>
        <v>42685.862238624934</v>
      </c>
      <c r="E8" s="82">
        <f>'E-IVA '!E19</f>
        <v>42685.862238624934</v>
      </c>
      <c r="F8" s="82">
        <f>'E-IVA '!F19</f>
        <v>42685.862238624934</v>
      </c>
      <c r="G8" s="83">
        <f>'E-IVA '!G19</f>
        <v>42685.862238624934</v>
      </c>
    </row>
    <row r="9" spans="1:7" x14ac:dyDescent="0.15">
      <c r="A9" s="340" t="s">
        <v>720</v>
      </c>
      <c r="B9" s="249">
        <v>0</v>
      </c>
      <c r="C9" s="82">
        <f>'F-Cred'!G24*InfoInicial!B3</f>
        <v>1093276.2437098818</v>
      </c>
      <c r="D9" s="82">
        <f>'F-Cred'!G26*InfoInicial!B3</f>
        <v>891665.53091427893</v>
      </c>
      <c r="E9" s="82">
        <f>'F-Cred'!G28*InfoInicial!B3</f>
        <v>622851.24718680838</v>
      </c>
      <c r="F9" s="82">
        <f>'F-Cred'!G30*InfoInicial!B3</f>
        <v>354036.96345933806</v>
      </c>
      <c r="G9" s="83">
        <f>'F-Cred'!G32*InfoInicial!B3</f>
        <v>85222.679731867611</v>
      </c>
    </row>
    <row r="10" spans="1:7" x14ac:dyDescent="0.15">
      <c r="A10" s="341" t="s">
        <v>721</v>
      </c>
      <c r="B10" s="249">
        <f t="shared" ref="B10:G10" si="0">SUM(B6:B9)</f>
        <v>0</v>
      </c>
      <c r="C10" s="82">
        <f t="shared" si="0"/>
        <v>3505875.6328196307</v>
      </c>
      <c r="D10" s="82">
        <f t="shared" si="0"/>
        <v>4710605.9626535773</v>
      </c>
      <c r="E10" s="82">
        <f t="shared" si="0"/>
        <v>4441954.001793243</v>
      </c>
      <c r="F10" s="82">
        <f t="shared" si="0"/>
        <v>4173968.62584585</v>
      </c>
      <c r="G10" s="83">
        <f t="shared" si="0"/>
        <v>3905170.5962727019</v>
      </c>
    </row>
    <row r="11" spans="1:7" x14ac:dyDescent="0.15">
      <c r="A11" s="341"/>
      <c r="B11" s="250"/>
      <c r="C11" s="105"/>
      <c r="D11" s="105"/>
      <c r="E11" s="105"/>
      <c r="F11" s="105"/>
      <c r="G11" s="106"/>
    </row>
    <row r="12" spans="1:7" x14ac:dyDescent="0.15">
      <c r="A12" s="339" t="s">
        <v>574</v>
      </c>
      <c r="B12" s="249">
        <f t="shared" ref="B12:G12" si="1">B10</f>
        <v>0</v>
      </c>
      <c r="C12" s="82">
        <f t="shared" si="1"/>
        <v>3505875.6328196307</v>
      </c>
      <c r="D12" s="82">
        <f t="shared" si="1"/>
        <v>4710605.9626535773</v>
      </c>
      <c r="E12" s="82">
        <f t="shared" si="1"/>
        <v>4441954.001793243</v>
      </c>
      <c r="F12" s="82">
        <f t="shared" si="1"/>
        <v>4173968.62584585</v>
      </c>
      <c r="G12" s="83">
        <f t="shared" si="1"/>
        <v>3905170.5962727019</v>
      </c>
    </row>
    <row r="13" spans="1:7" x14ac:dyDescent="0.15">
      <c r="A13" s="339" t="s">
        <v>575</v>
      </c>
      <c r="B13" s="249">
        <v>0</v>
      </c>
      <c r="C13" s="82">
        <f>'E-IVA '!C22</f>
        <v>6573504</v>
      </c>
      <c r="D13" s="82">
        <f>'E-IVA '!D22</f>
        <v>10500000</v>
      </c>
      <c r="E13" s="82">
        <f>'E-IVA '!E22</f>
        <v>10500000</v>
      </c>
      <c r="F13" s="82">
        <f>'E-IVA '!F22</f>
        <v>10500000</v>
      </c>
      <c r="G13" s="83">
        <f>'E-IVA '!G22</f>
        <v>10500000</v>
      </c>
    </row>
    <row r="14" spans="1:7" x14ac:dyDescent="0.15">
      <c r="A14" s="341" t="s">
        <v>722</v>
      </c>
      <c r="B14" s="249">
        <v>0</v>
      </c>
      <c r="C14" s="82">
        <f>C13-C12</f>
        <v>3067628.3671803693</v>
      </c>
      <c r="D14" s="82">
        <f>D13-D12</f>
        <v>5789394.0373464227</v>
      </c>
      <c r="E14" s="82">
        <f>E13-E12</f>
        <v>6058045.998206757</v>
      </c>
      <c r="F14" s="82">
        <f>F13-F12</f>
        <v>6326031.3741541505</v>
      </c>
      <c r="G14" s="83">
        <f>G13-G12</f>
        <v>6594829.4037272986</v>
      </c>
    </row>
    <row r="15" spans="1:7" x14ac:dyDescent="0.15">
      <c r="A15" s="339"/>
      <c r="B15" s="250"/>
      <c r="C15" s="105"/>
      <c r="D15" s="105"/>
      <c r="E15" s="105"/>
      <c r="F15" s="105"/>
      <c r="G15" s="106"/>
    </row>
    <row r="16" spans="1:7" x14ac:dyDescent="0.15">
      <c r="A16" s="342" t="s">
        <v>723</v>
      </c>
      <c r="B16" s="249">
        <v>0</v>
      </c>
      <c r="C16" s="82">
        <f>B18</f>
        <v>8769663.726727793</v>
      </c>
      <c r="D16" s="82">
        <f>C18</f>
        <v>5878484.1800787151</v>
      </c>
      <c r="E16" s="82">
        <f>D18</f>
        <v>94236.371904334985</v>
      </c>
      <c r="F16" s="82">
        <f>E18</f>
        <v>0</v>
      </c>
      <c r="G16" s="83">
        <f>F18</f>
        <v>0</v>
      </c>
    </row>
    <row r="17" spans="1:7" x14ac:dyDescent="0.15">
      <c r="A17" s="342" t="s">
        <v>724</v>
      </c>
      <c r="B17" s="249">
        <f>'F-2 Estructura'!B9+'F-2 Estructura'!B21</f>
        <v>8769663.726727793</v>
      </c>
      <c r="C17" s="82">
        <f>'F-2 Estructura'!C9+'F-2 Estructura'!C21</f>
        <v>176448.82053129212</v>
      </c>
      <c r="D17" s="82">
        <f>'E-IVA '!D26</f>
        <v>5146.2291720422163</v>
      </c>
      <c r="E17" s="82">
        <f>'E-IVA '!E26</f>
        <v>0</v>
      </c>
      <c r="F17" s="82">
        <f>'E-IVA '!F26</f>
        <v>422.58096720000611</v>
      </c>
      <c r="G17" s="83">
        <f>'E-IVA '!G26</f>
        <v>0</v>
      </c>
    </row>
    <row r="18" spans="1:7" x14ac:dyDescent="0.15">
      <c r="A18" s="341" t="s">
        <v>725</v>
      </c>
      <c r="B18" s="249">
        <f>B17-B16</f>
        <v>8769663.726727793</v>
      </c>
      <c r="C18" s="82">
        <f>IF(C17+C16-C14&lt;0,0,C17+C16-C14)</f>
        <v>5878484.1800787151</v>
      </c>
      <c r="D18" s="82">
        <f>IF(D17+D16-D14&lt;0,0,D17+D16-D14)</f>
        <v>94236.371904334985</v>
      </c>
      <c r="E18" s="82">
        <f>IF(E17+E16-E14&lt;0,0,E17+E16-E14)</f>
        <v>0</v>
      </c>
      <c r="F18" s="82">
        <f>IF(F17+F16-F14&lt;0,0,F17+F16-F14)</f>
        <v>0</v>
      </c>
      <c r="G18" s="83">
        <f>IF(G17+G16-G14&lt;0,0,G17+G16-G14)</f>
        <v>0</v>
      </c>
    </row>
    <row r="19" spans="1:7" x14ac:dyDescent="0.15">
      <c r="A19" s="341" t="s">
        <v>726</v>
      </c>
      <c r="B19" s="249">
        <f t="shared" ref="B19:G19" si="2">B16+B17-B18</f>
        <v>0</v>
      </c>
      <c r="C19" s="82">
        <f t="shared" si="2"/>
        <v>3067628.3671803698</v>
      </c>
      <c r="D19" s="82">
        <f t="shared" si="2"/>
        <v>5789394.0373464227</v>
      </c>
      <c r="E19" s="82">
        <f t="shared" si="2"/>
        <v>94236.371904334985</v>
      </c>
      <c r="F19" s="82">
        <f t="shared" si="2"/>
        <v>422.58096720000611</v>
      </c>
      <c r="G19" s="83">
        <f t="shared" si="2"/>
        <v>0</v>
      </c>
    </row>
    <row r="20" spans="1:7" x14ac:dyDescent="0.15">
      <c r="A20" s="339"/>
      <c r="B20" s="250"/>
      <c r="C20" s="105"/>
      <c r="D20" s="105"/>
      <c r="E20" s="105"/>
      <c r="F20" s="105"/>
      <c r="G20" s="106"/>
    </row>
    <row r="21" spans="1:7" x14ac:dyDescent="0.15">
      <c r="A21" s="343" t="s">
        <v>727</v>
      </c>
      <c r="B21" s="252">
        <f t="shared" ref="B21:G21" si="3">B14-B19</f>
        <v>0</v>
      </c>
      <c r="C21" s="95">
        <f t="shared" si="3"/>
        <v>0</v>
      </c>
      <c r="D21" s="95">
        <f t="shared" si="3"/>
        <v>0</v>
      </c>
      <c r="E21" s="95">
        <f t="shared" si="3"/>
        <v>5963809.626302422</v>
      </c>
      <c r="F21" s="95">
        <f t="shared" si="3"/>
        <v>6325608.7931869505</v>
      </c>
      <c r="G21" s="344">
        <f t="shared" si="3"/>
        <v>6594829.4037272986</v>
      </c>
    </row>
  </sheetData>
  <pageMargins left="0.25972222222222202" right="0.45972222222222198" top="1.27013888888889" bottom="1" header="0.51180555555555496" footer="0.51180555555555496"/>
  <pageSetup paperSize="9" firstPageNumber="0" fitToHeight="4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MK30"/>
  <sheetViews>
    <sheetView topLeftCell="C1" zoomScale="90" zoomScaleNormal="90" workbookViewId="0">
      <selection activeCell="H30" sqref="H30"/>
    </sheetView>
  </sheetViews>
  <sheetFormatPr baseColWidth="10" defaultColWidth="8.83203125" defaultRowHeight="13" x14ac:dyDescent="0.15"/>
  <cols>
    <col min="1" max="1" width="40.83203125" style="307" customWidth="1"/>
    <col min="2" max="2" width="14.83203125" style="307" customWidth="1"/>
    <col min="3" max="3" width="18.83203125" style="307" customWidth="1"/>
    <col min="4" max="7" width="14.83203125" style="307" customWidth="1"/>
    <col min="8" max="8" width="21.6640625" style="307" customWidth="1"/>
    <col min="9" max="9" width="17.33203125" style="307" customWidth="1"/>
    <col min="10" max="1025" width="11.33203125" style="307" customWidth="1"/>
  </cols>
  <sheetData>
    <row r="1" spans="1:8" x14ac:dyDescent="0.15">
      <c r="A1" s="1" t="s">
        <v>0</v>
      </c>
      <c r="E1" s="2">
        <f>InfoInicial!E1</f>
        <v>14</v>
      </c>
    </row>
    <row r="3" spans="1:8" ht="16" x14ac:dyDescent="0.2">
      <c r="A3" s="345" t="s">
        <v>728</v>
      </c>
      <c r="B3" s="346"/>
      <c r="C3" s="346"/>
      <c r="D3" s="346"/>
      <c r="E3" s="346"/>
      <c r="F3" s="346"/>
      <c r="G3" s="347"/>
      <c r="H3" s="348"/>
    </row>
    <row r="4" spans="1:8" x14ac:dyDescent="0.15">
      <c r="A4" s="349"/>
      <c r="B4" s="350" t="s">
        <v>55</v>
      </c>
      <c r="C4" s="350" t="s">
        <v>56</v>
      </c>
      <c r="D4" s="350" t="s">
        <v>207</v>
      </c>
      <c r="E4" s="350" t="s">
        <v>208</v>
      </c>
      <c r="F4" s="350" t="s">
        <v>209</v>
      </c>
      <c r="G4" s="351" t="s">
        <v>210</v>
      </c>
      <c r="H4" s="352" t="s">
        <v>541</v>
      </c>
    </row>
    <row r="5" spans="1:8" x14ac:dyDescent="0.15">
      <c r="A5" s="315" t="s">
        <v>729</v>
      </c>
      <c r="B5" s="111">
        <f t="shared" ref="B5:G5" si="0">SUM(B6:B11)</f>
        <v>51212339.091975361</v>
      </c>
      <c r="C5" s="111">
        <f t="shared" si="0"/>
        <v>39354040.023054034</v>
      </c>
      <c r="D5" s="111">
        <f t="shared" si="0"/>
        <v>59011603.9058422</v>
      </c>
      <c r="E5" s="111">
        <f t="shared" si="0"/>
        <v>61815005.289037816</v>
      </c>
      <c r="F5" s="111">
        <f t="shared" si="0"/>
        <v>65405001.503642082</v>
      </c>
      <c r="G5" s="353">
        <f t="shared" si="0"/>
        <v>69338575.58471404</v>
      </c>
      <c r="H5" s="354"/>
    </row>
    <row r="6" spans="1:8" x14ac:dyDescent="0.15">
      <c r="A6" s="307" t="s">
        <v>730</v>
      </c>
      <c r="B6" s="82">
        <v>0</v>
      </c>
      <c r="C6" s="82">
        <f>B27</f>
        <v>0</v>
      </c>
      <c r="D6" s="82">
        <f>C27</f>
        <v>3222209.8684957745</v>
      </c>
      <c r="E6" s="82">
        <f>D27</f>
        <v>11720768.917133484</v>
      </c>
      <c r="F6" s="82">
        <f>E27</f>
        <v>15404578.922674876</v>
      </c>
      <c r="G6" s="225">
        <f>F27</f>
        <v>19338575.58471404</v>
      </c>
      <c r="H6" s="83"/>
    </row>
    <row r="7" spans="1:8" x14ac:dyDescent="0.15">
      <c r="A7" s="307" t="s">
        <v>731</v>
      </c>
      <c r="B7" s="355">
        <f>'F-2 Estructura'!B31</f>
        <v>24263538.718294114</v>
      </c>
      <c r="C7" s="355">
        <f>'F-2 Estructura'!C31</f>
        <v>4411976.4558736645</v>
      </c>
      <c r="D7" s="355">
        <v>0</v>
      </c>
      <c r="E7" s="355">
        <v>0</v>
      </c>
      <c r="F7" s="355">
        <v>0</v>
      </c>
      <c r="G7" s="356">
        <v>0</v>
      </c>
      <c r="H7" s="357">
        <f>SUM(B7:G7)</f>
        <v>28675515.174167778</v>
      </c>
    </row>
    <row r="8" spans="1:8" x14ac:dyDescent="0.15">
      <c r="A8" s="307" t="s">
        <v>732</v>
      </c>
      <c r="B8" s="82">
        <f>'F-2 Estructura'!B29</f>
        <v>0</v>
      </c>
      <c r="C8" s="82">
        <f>'F-2 Estructura'!C29</f>
        <v>572035.20000000007</v>
      </c>
      <c r="D8" s="82">
        <v>0</v>
      </c>
      <c r="E8" s="82">
        <v>0</v>
      </c>
      <c r="F8" s="82">
        <v>0</v>
      </c>
      <c r="G8" s="225">
        <v>0</v>
      </c>
      <c r="H8" s="83">
        <f>SUM(B8:G8)</f>
        <v>572035.20000000007</v>
      </c>
    </row>
    <row r="9" spans="1:8" x14ac:dyDescent="0.15">
      <c r="A9" s="307" t="s">
        <v>733</v>
      </c>
      <c r="B9" s="355">
        <f>'F-2 Estructura'!B30</f>
        <v>26948800.373681247</v>
      </c>
      <c r="C9" s="355">
        <f>'F-2 Estructura'!C30</f>
        <v>0</v>
      </c>
      <c r="D9" s="355">
        <v>0</v>
      </c>
      <c r="E9" s="355">
        <v>0</v>
      </c>
      <c r="F9" s="355">
        <v>0</v>
      </c>
      <c r="G9" s="356">
        <v>0</v>
      </c>
      <c r="H9" s="357">
        <f>SUM(B9:G9)</f>
        <v>26948800.373681247</v>
      </c>
    </row>
    <row r="10" spans="1:8" x14ac:dyDescent="0.15">
      <c r="A10" s="307" t="s">
        <v>734</v>
      </c>
      <c r="B10" s="82">
        <v>0</v>
      </c>
      <c r="C10" s="82">
        <f>'F-CRes'!B4</f>
        <v>31302400</v>
      </c>
      <c r="D10" s="82">
        <f>'F-CRes'!C4</f>
        <v>50000000</v>
      </c>
      <c r="E10" s="82">
        <f>'F-CRes'!D4</f>
        <v>50000000</v>
      </c>
      <c r="F10" s="82">
        <f>'F-CRes'!E4</f>
        <v>50000000</v>
      </c>
      <c r="G10" s="225">
        <f>'F-CRes'!F4</f>
        <v>50000000</v>
      </c>
      <c r="H10" s="83">
        <f>SUM(B10:G10)</f>
        <v>231302400</v>
      </c>
    </row>
    <row r="11" spans="1:8" x14ac:dyDescent="0.15">
      <c r="A11" s="307" t="s">
        <v>735</v>
      </c>
      <c r="B11" s="111">
        <f>'F-IVA'!B19</f>
        <v>0</v>
      </c>
      <c r="C11" s="111">
        <f>'F-IVA'!C19</f>
        <v>3067628.3671803698</v>
      </c>
      <c r="D11" s="111">
        <f>'F-IVA'!D19</f>
        <v>5789394.0373464227</v>
      </c>
      <c r="E11" s="111">
        <f>'F-IVA'!E19</f>
        <v>94236.371904334985</v>
      </c>
      <c r="F11" s="111">
        <f>'F-IVA'!F19</f>
        <v>422.58096720000611</v>
      </c>
      <c r="G11" s="353">
        <f>'F-IVA'!G19</f>
        <v>0</v>
      </c>
      <c r="H11" s="354">
        <f>SUM(B11:G11)</f>
        <v>8951681.3573983293</v>
      </c>
    </row>
    <row r="12" spans="1:8" x14ac:dyDescent="0.15">
      <c r="B12" s="82"/>
      <c r="C12" s="82"/>
      <c r="D12" s="82"/>
      <c r="E12" s="82"/>
      <c r="F12" s="82"/>
      <c r="G12" s="225"/>
      <c r="H12" s="83"/>
    </row>
    <row r="13" spans="1:8" x14ac:dyDescent="0.15">
      <c r="A13" s="315" t="s">
        <v>736</v>
      </c>
      <c r="B13" s="82">
        <f t="shared" ref="B13:G13" si="1">SUM(B14:B22)</f>
        <v>51212339.091975361</v>
      </c>
      <c r="C13" s="82">
        <f t="shared" si="1"/>
        <v>40024702.8632503</v>
      </c>
      <c r="D13" s="82">
        <f t="shared" si="1"/>
        <v>51183707.697400756</v>
      </c>
      <c r="E13" s="82">
        <f t="shared" si="1"/>
        <v>50303299.075054981</v>
      </c>
      <c r="F13" s="82">
        <f t="shared" si="1"/>
        <v>48579192.997409709</v>
      </c>
      <c r="G13" s="225">
        <f t="shared" si="1"/>
        <v>44376129.600219943</v>
      </c>
      <c r="H13" s="83">
        <f t="shared" ref="H13:H22" si="2">SUM(B13:G13)</f>
        <v>285679371.32531106</v>
      </c>
    </row>
    <row r="14" spans="1:8" x14ac:dyDescent="0.15">
      <c r="A14" s="307" t="s">
        <v>737</v>
      </c>
      <c r="B14" s="355">
        <f>'F-2 Estructura'!B8</f>
        <v>39908633.222206123</v>
      </c>
      <c r="C14" s="355">
        <f>'F-2 Estructura'!C8</f>
        <v>155250</v>
      </c>
      <c r="D14" s="355">
        <v>0</v>
      </c>
      <c r="E14" s="355">
        <v>0</v>
      </c>
      <c r="F14" s="355">
        <v>0</v>
      </c>
      <c r="G14" s="356">
        <v>0</v>
      </c>
      <c r="H14" s="357">
        <f t="shared" si="2"/>
        <v>40063883.222206123</v>
      </c>
    </row>
    <row r="15" spans="1:8" x14ac:dyDescent="0.15">
      <c r="A15" s="307" t="s">
        <v>610</v>
      </c>
      <c r="B15" s="82">
        <f>'E-InvAT'!B24</f>
        <v>2534042.1430414477</v>
      </c>
      <c r="C15" s="82">
        <f>'E-InvAT'!C24</f>
        <v>4973439.5768562518</v>
      </c>
      <c r="D15" s="82">
        <f>'E-InvAT'!D24</f>
        <v>24505.853200200945</v>
      </c>
      <c r="E15" s="82">
        <f>'E-InvAT'!E24</f>
        <v>0</v>
      </c>
      <c r="F15" s="82">
        <f>'E-InvAT'!F24</f>
        <v>2012.2903199996799</v>
      </c>
      <c r="G15" s="225">
        <f>'E-InvAT'!G24</f>
        <v>0</v>
      </c>
      <c r="H15" s="83">
        <f t="shared" si="2"/>
        <v>7533999.8634179002</v>
      </c>
    </row>
    <row r="16" spans="1:8" x14ac:dyDescent="0.15">
      <c r="A16" s="307" t="s">
        <v>738</v>
      </c>
      <c r="B16" s="82">
        <v>0</v>
      </c>
      <c r="C16" s="82">
        <f>'F-CRes'!B5+'F-CRes'!B8+'F-CRes'!B9+'F-CRes'!B10</f>
        <v>31141045.983587202</v>
      </c>
      <c r="D16" s="82">
        <f>'F-CRes'!C5+'F-CRes'!C8+'F-CRes'!C9+'F-CRes'!C10</f>
        <v>40895054.533620626</v>
      </c>
      <c r="E16" s="82">
        <f>'F-CRes'!D5+'F-CRes'!D8+'F-CRes'!D9+'F-CRes'!D10</f>
        <v>39585154.186757773</v>
      </c>
      <c r="F16" s="82">
        <f>'F-CRes'!E5+'F-CRes'!E8+'F-CRes'!E9+'F-CRes'!E10</f>
        <v>36928982.109728858</v>
      </c>
      <c r="G16" s="225">
        <f>'F-CRes'!F5+'F-CRes'!F8+'F-CRes'!F9+'F-CRes'!F10</f>
        <v>35648939.173437759</v>
      </c>
      <c r="H16" s="83">
        <f t="shared" si="2"/>
        <v>184199175.98713225</v>
      </c>
    </row>
    <row r="17" spans="1:8" x14ac:dyDescent="0.15">
      <c r="A17" s="307" t="s">
        <v>739</v>
      </c>
      <c r="B17" s="82">
        <v>0</v>
      </c>
      <c r="C17" s="82">
        <f>'F-CRes'!B13</f>
        <v>-26150.071851398534</v>
      </c>
      <c r="D17" s="82">
        <f>'F-CRes'!C13</f>
        <v>3006308.5652878894</v>
      </c>
      <c r="E17" s="82">
        <f>'F-CRes'!D13</f>
        <v>3464408.2406582544</v>
      </c>
      <c r="F17" s="82">
        <f>'F-CRes'!E13</f>
        <v>4394084.1362372842</v>
      </c>
      <c r="G17" s="225">
        <f>'F-CRes'!F13</f>
        <v>4842099.4711870374</v>
      </c>
      <c r="H17" s="83">
        <f t="shared" si="2"/>
        <v>15680750.341519065</v>
      </c>
    </row>
    <row r="18" spans="1:8" x14ac:dyDescent="0.15">
      <c r="A18" s="307" t="s">
        <v>740</v>
      </c>
      <c r="B18" s="355">
        <v>0</v>
      </c>
      <c r="C18" s="82">
        <f>'F-Cred'!E24</f>
        <v>3368600.0467101559</v>
      </c>
      <c r="D18" s="82">
        <f>'F-Cred'!E26</f>
        <v>6737200.0934203118</v>
      </c>
      <c r="E18" s="82">
        <f>'F-Cred'!E28</f>
        <v>6737200.0934203118</v>
      </c>
      <c r="F18" s="82">
        <f>'F-Cred'!E30</f>
        <v>6737200.0934203118</v>
      </c>
      <c r="G18" s="225">
        <f>'F-Cred'!E32</f>
        <v>3368600.0467101559</v>
      </c>
      <c r="H18" s="357">
        <f t="shared" si="2"/>
        <v>26948800.373681247</v>
      </c>
    </row>
    <row r="19" spans="1:8" x14ac:dyDescent="0.15">
      <c r="A19" s="307" t="s">
        <v>741</v>
      </c>
      <c r="B19" s="82">
        <v>0</v>
      </c>
      <c r="C19" s="82">
        <f>'F-CRes'!B12</f>
        <v>236068.50741679134</v>
      </c>
      <c r="D19" s="82">
        <f>'F-CRes'!C12</f>
        <v>515492.42269968765</v>
      </c>
      <c r="E19" s="82">
        <f>'F-CRes'!D12</f>
        <v>516536.55421864241</v>
      </c>
      <c r="F19" s="82">
        <f>'F-CRes'!E12</f>
        <v>516491.78673604637</v>
      </c>
      <c r="G19" s="225">
        <f>'F-CRes'!F12</f>
        <v>516490.90888498968</v>
      </c>
      <c r="H19" s="83">
        <f t="shared" si="2"/>
        <v>2301080.1799561577</v>
      </c>
    </row>
    <row r="20" spans="1:8" x14ac:dyDescent="0.15">
      <c r="A20" s="307" t="s">
        <v>742</v>
      </c>
      <c r="B20" s="355">
        <v>0</v>
      </c>
      <c r="C20" s="355">
        <v>0</v>
      </c>
      <c r="D20" s="355">
        <v>0</v>
      </c>
      <c r="E20" s="355">
        <v>0</v>
      </c>
      <c r="F20" s="355">
        <v>0</v>
      </c>
      <c r="G20" s="356">
        <v>0</v>
      </c>
      <c r="H20" s="357">
        <f t="shared" si="2"/>
        <v>0</v>
      </c>
    </row>
    <row r="21" spans="1:8" x14ac:dyDescent="0.15">
      <c r="A21" s="307" t="s">
        <v>743</v>
      </c>
      <c r="B21" s="82">
        <f>'F-IVA'!B17</f>
        <v>8769663.726727793</v>
      </c>
      <c r="C21" s="82">
        <f>'F-IVA'!C17</f>
        <v>176448.82053129212</v>
      </c>
      <c r="D21" s="82">
        <f>'F-IVA'!D17</f>
        <v>5146.2291720422163</v>
      </c>
      <c r="E21" s="82">
        <f>'F-IVA'!E17</f>
        <v>0</v>
      </c>
      <c r="F21" s="82">
        <f>'F-IVA'!F17</f>
        <v>422.58096720000611</v>
      </c>
      <c r="G21" s="225">
        <f>'F-IVA'!G17</f>
        <v>0</v>
      </c>
      <c r="H21" s="83">
        <f t="shared" si="2"/>
        <v>8951681.3573983274</v>
      </c>
    </row>
    <row r="22" spans="1:8" x14ac:dyDescent="0.15">
      <c r="A22" s="307" t="s">
        <v>744</v>
      </c>
      <c r="B22" s="111">
        <v>0</v>
      </c>
      <c r="C22" s="111">
        <v>0</v>
      </c>
      <c r="D22" s="111">
        <v>0</v>
      </c>
      <c r="E22" s="111">
        <v>0</v>
      </c>
      <c r="F22" s="111">
        <v>0</v>
      </c>
      <c r="G22" s="353">
        <v>0</v>
      </c>
      <c r="H22" s="354">
        <f t="shared" si="2"/>
        <v>0</v>
      </c>
    </row>
    <row r="23" spans="1:8" x14ac:dyDescent="0.15">
      <c r="B23" s="105"/>
      <c r="C23" s="105"/>
      <c r="D23" s="105"/>
      <c r="E23" s="105"/>
      <c r="F23" s="105"/>
      <c r="G23" s="226"/>
      <c r="H23" s="106"/>
    </row>
    <row r="24" spans="1:8" x14ac:dyDescent="0.15">
      <c r="A24" s="315" t="s">
        <v>745</v>
      </c>
      <c r="B24" s="82">
        <f t="shared" ref="B24:G24" si="3">B5-B13</f>
        <v>0</v>
      </c>
      <c r="C24" s="82">
        <f t="shared" si="3"/>
        <v>-670662.84019626677</v>
      </c>
      <c r="D24" s="82">
        <f t="shared" si="3"/>
        <v>7827896.2084414437</v>
      </c>
      <c r="E24" s="82">
        <f t="shared" si="3"/>
        <v>11511706.213982835</v>
      </c>
      <c r="F24" s="82">
        <f t="shared" si="3"/>
        <v>16825808.506232373</v>
      </c>
      <c r="G24" s="225">
        <f t="shared" si="3"/>
        <v>24962445.984494098</v>
      </c>
      <c r="H24" s="83">
        <f>SUM(B24:G24)</f>
        <v>60457194.072954483</v>
      </c>
    </row>
    <row r="25" spans="1:8" x14ac:dyDescent="0.15">
      <c r="A25" s="315" t="s">
        <v>746</v>
      </c>
      <c r="B25" s="82">
        <v>0</v>
      </c>
      <c r="C25" s="82">
        <f>'E-Inv AF y Am'!D56+('F-Cred'!J21/3)</f>
        <v>3892872.7086920412</v>
      </c>
      <c r="D25" s="82">
        <f>'E-Inv AF y Am'!D56+'F-Cred'!J21/3</f>
        <v>3892872.7086920412</v>
      </c>
      <c r="E25" s="82">
        <f>D25</f>
        <v>3892872.7086920412</v>
      </c>
      <c r="F25" s="82">
        <f>'E-Inv AF y Am'!E56</f>
        <v>2512767.0784816667</v>
      </c>
      <c r="G25" s="225">
        <f>F25</f>
        <v>2512767.0784816667</v>
      </c>
      <c r="H25" s="83">
        <f>SUM(B25:G25)</f>
        <v>16704152.283039458</v>
      </c>
    </row>
    <row r="26" spans="1:8" x14ac:dyDescent="0.15">
      <c r="A26" s="315"/>
      <c r="B26" s="105"/>
      <c r="C26" s="105"/>
      <c r="D26" s="105"/>
      <c r="E26" s="105"/>
      <c r="F26" s="105"/>
      <c r="G26" s="226"/>
      <c r="H26" s="106"/>
    </row>
    <row r="27" spans="1:8" x14ac:dyDescent="0.15">
      <c r="A27" s="315" t="s">
        <v>747</v>
      </c>
      <c r="B27" s="113">
        <f t="shared" ref="B27:G27" si="4">SUM(B24:B25)</f>
        <v>0</v>
      </c>
      <c r="C27" s="113">
        <f t="shared" si="4"/>
        <v>3222209.8684957745</v>
      </c>
      <c r="D27" s="113">
        <f t="shared" si="4"/>
        <v>11720768.917133484</v>
      </c>
      <c r="E27" s="113">
        <f t="shared" si="4"/>
        <v>15404578.922674876</v>
      </c>
      <c r="F27" s="113">
        <f t="shared" si="4"/>
        <v>19338575.58471404</v>
      </c>
      <c r="G27" s="358">
        <f t="shared" si="4"/>
        <v>27475213.062975764</v>
      </c>
      <c r="H27" s="114">
        <f>SUM(B27:G27)</f>
        <v>77161346.355993941</v>
      </c>
    </row>
    <row r="28" spans="1:8" x14ac:dyDescent="0.15">
      <c r="A28" s="326" t="s">
        <v>748</v>
      </c>
      <c r="B28" s="38">
        <v>0</v>
      </c>
      <c r="C28" s="38">
        <f>C27-B27</f>
        <v>3222209.8684957745</v>
      </c>
      <c r="D28" s="38">
        <f>D27-C27</f>
        <v>8498559.0486377105</v>
      </c>
      <c r="E28" s="38">
        <f>E27-D27</f>
        <v>3683810.0055413917</v>
      </c>
      <c r="F28" s="38">
        <f>F27-E27</f>
        <v>3933996.6620391645</v>
      </c>
      <c r="G28" s="359">
        <f>G27-F27</f>
        <v>8136637.4782617241</v>
      </c>
      <c r="H28" s="360">
        <f>SUM(B28:G28)</f>
        <v>27475213.062975764</v>
      </c>
    </row>
    <row r="30" spans="1:8" x14ac:dyDescent="0.15">
      <c r="H30" s="397"/>
    </row>
  </sheetData>
  <pageMargins left="0.32013888888888897" right="0.75" top="0.6" bottom="0.24027777777777801" header="0.51180555555555496" footer="0.51180555555555496"/>
  <pageSetup paperSize="9" firstPageNumber="0" fitToHeight="4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K38"/>
  <sheetViews>
    <sheetView zoomScale="90" zoomScaleNormal="90" workbookViewId="0">
      <selection activeCell="F29" sqref="F29"/>
    </sheetView>
  </sheetViews>
  <sheetFormatPr baseColWidth="10" defaultColWidth="8.83203125" defaultRowHeight="13" x14ac:dyDescent="0.15"/>
  <cols>
    <col min="1" max="1" width="37.6640625" style="307" customWidth="1"/>
    <col min="2" max="7" width="14.83203125" style="307" customWidth="1"/>
    <col min="8" max="8" width="17.33203125" style="307" customWidth="1"/>
    <col min="9" max="1025" width="11.33203125" style="307" customWidth="1"/>
  </cols>
  <sheetData>
    <row r="1" spans="1:7" x14ac:dyDescent="0.15">
      <c r="A1" s="1" t="s">
        <v>0</v>
      </c>
      <c r="E1" s="2">
        <f>InfoInicial!E1</f>
        <v>14</v>
      </c>
    </row>
    <row r="3" spans="1:7" ht="16" x14ac:dyDescent="0.2">
      <c r="A3" s="345" t="s">
        <v>749</v>
      </c>
      <c r="B3" s="346"/>
      <c r="C3" s="346"/>
      <c r="D3" s="346"/>
      <c r="E3" s="346"/>
      <c r="F3" s="346"/>
      <c r="G3" s="348"/>
    </row>
    <row r="4" spans="1:7" x14ac:dyDescent="0.15">
      <c r="A4" s="361"/>
      <c r="B4" s="362" t="s">
        <v>55</v>
      </c>
      <c r="C4" s="362" t="s">
        <v>56</v>
      </c>
      <c r="D4" s="362" t="s">
        <v>207</v>
      </c>
      <c r="E4" s="362" t="s">
        <v>208</v>
      </c>
      <c r="F4" s="362" t="s">
        <v>209</v>
      </c>
      <c r="G4" s="363" t="s">
        <v>210</v>
      </c>
    </row>
    <row r="5" spans="1:7" x14ac:dyDescent="0.15">
      <c r="A5" s="364" t="s">
        <v>750</v>
      </c>
      <c r="B5" s="365">
        <f t="shared" ref="B5:G5" si="0">SUM(B7:B11)</f>
        <v>5601670.5102218175</v>
      </c>
      <c r="C5" s="365">
        <f t="shared" si="0"/>
        <v>16513939.396567855</v>
      </c>
      <c r="D5" s="365">
        <f t="shared" si="0"/>
        <v>19346992.86213572</v>
      </c>
      <c r="E5" s="365">
        <f t="shared" si="0"/>
        <v>22936566.495772775</v>
      </c>
      <c r="F5" s="365">
        <f t="shared" si="0"/>
        <v>26872575.448131941</v>
      </c>
      <c r="G5" s="365">
        <f t="shared" si="0"/>
        <v>35009212.926393665</v>
      </c>
    </row>
    <row r="6" spans="1:7" x14ac:dyDescent="0.15">
      <c r="A6" s="324" t="s">
        <v>751</v>
      </c>
      <c r="B6" s="105"/>
      <c r="C6" s="105"/>
      <c r="D6" s="105"/>
      <c r="E6" s="105"/>
      <c r="F6" s="105"/>
      <c r="G6" s="106"/>
    </row>
    <row r="7" spans="1:7" x14ac:dyDescent="0.15">
      <c r="A7" s="349" t="s">
        <v>752</v>
      </c>
      <c r="B7" s="355">
        <f>'E-InvAT'!B6</f>
        <v>800000</v>
      </c>
      <c r="C7" s="355">
        <f>'E-InvAT'!C6</f>
        <v>1000000</v>
      </c>
      <c r="D7" s="355">
        <f>'E-InvAT'!D6</f>
        <v>1000000</v>
      </c>
      <c r="E7" s="355">
        <f>'E-InvAT'!E6</f>
        <v>1000000</v>
      </c>
      <c r="F7" s="355">
        <f>'E-InvAT'!F6</f>
        <v>1000000</v>
      </c>
      <c r="G7" s="355">
        <f>'E-InvAT'!G6</f>
        <v>1000000</v>
      </c>
    </row>
    <row r="8" spans="1:7" x14ac:dyDescent="0.15">
      <c r="A8" s="349" t="s">
        <v>753</v>
      </c>
      <c r="B8" s="82">
        <f>'F- CFyU'!B27</f>
        <v>0</v>
      </c>
      <c r="C8" s="82">
        <f>'F- CFyU'!C27</f>
        <v>3222209.8684957745</v>
      </c>
      <c r="D8" s="82">
        <f>'F- CFyU'!D27</f>
        <v>11720768.917133484</v>
      </c>
      <c r="E8" s="82">
        <f>'F- CFyU'!E27</f>
        <v>15404578.922674876</v>
      </c>
      <c r="F8" s="82">
        <f>'F- CFyU'!F27</f>
        <v>19338575.58471404</v>
      </c>
      <c r="G8" s="82">
        <f>'F- CFyU'!G27</f>
        <v>27475213.062975764</v>
      </c>
    </row>
    <row r="9" spans="1:7" x14ac:dyDescent="0.15">
      <c r="A9" s="324" t="s">
        <v>754</v>
      </c>
      <c r="B9" s="355">
        <f>'E-InvAT'!B7</f>
        <v>0</v>
      </c>
      <c r="C9" s="355">
        <f>'E-InvAT'!C7</f>
        <v>4109589.0410958906</v>
      </c>
      <c r="D9" s="355">
        <f>'E-InvAT'!D7</f>
        <v>4109589.0410958906</v>
      </c>
      <c r="E9" s="355">
        <f>'E-InvAT'!E7</f>
        <v>4109589.0410958906</v>
      </c>
      <c r="F9" s="355">
        <f>'E-InvAT'!F7</f>
        <v>4109589.0410958906</v>
      </c>
      <c r="G9" s="355">
        <f>'E-InvAT'!G7</f>
        <v>4109589.0410958906</v>
      </c>
    </row>
    <row r="10" spans="1:7" x14ac:dyDescent="0.15">
      <c r="A10" s="324" t="s">
        <v>755</v>
      </c>
      <c r="B10" s="82">
        <f>SUM('E-InvAT'!B10:B13)</f>
        <v>1734042.1430414475</v>
      </c>
      <c r="C10" s="82">
        <f>SUM('E-InvAT'!C10:C13)</f>
        <v>2397892.6788018094</v>
      </c>
      <c r="D10" s="82">
        <f>SUM('E-InvAT'!D10:D13)</f>
        <v>2422398.5320020104</v>
      </c>
      <c r="E10" s="82">
        <f>SUM('E-InvAT'!E10:E13)</f>
        <v>2422398.5320020104</v>
      </c>
      <c r="F10" s="82">
        <f>SUM('E-InvAT'!F10:F13)</f>
        <v>2424410.8223220101</v>
      </c>
      <c r="G10" s="82">
        <f>SUM('E-InvAT'!G10:G13)</f>
        <v>2424410.8223220101</v>
      </c>
    </row>
    <row r="11" spans="1:7" x14ac:dyDescent="0.15">
      <c r="A11" s="324" t="s">
        <v>756</v>
      </c>
      <c r="B11" s="111">
        <f>'F-IVA'!C19</f>
        <v>3067628.3671803698</v>
      </c>
      <c r="C11" s="111">
        <f>'F-IVA'!D19-'F-IVA'!D17</f>
        <v>5784247.8081743801</v>
      </c>
      <c r="D11" s="111">
        <f>'F-IVA'!E19-'F-IVA'!E17</f>
        <v>94236.371904334985</v>
      </c>
      <c r="E11" s="111">
        <f>'F-IVA'!F19-'F-IVA'!F17</f>
        <v>0</v>
      </c>
      <c r="F11" s="111">
        <f>'F-IVA'!G19-'F-IVA'!G17</f>
        <v>0</v>
      </c>
      <c r="G11" s="111">
        <f>'F-IVA'!H19-'F-IVA'!H17</f>
        <v>0</v>
      </c>
    </row>
    <row r="12" spans="1:7" x14ac:dyDescent="0.15">
      <c r="A12" s="324" t="s">
        <v>757</v>
      </c>
      <c r="B12" s="111">
        <f t="shared" ref="B12:G12" si="1">B17+B22+B23</f>
        <v>45610668.581753545</v>
      </c>
      <c r="C12" s="111">
        <f t="shared" si="1"/>
        <v>36265246.885418415</v>
      </c>
      <c r="D12" s="111">
        <f t="shared" si="1"/>
        <v>32278137.804822043</v>
      </c>
      <c r="E12" s="111">
        <f t="shared" si="1"/>
        <v>28385265.096129999</v>
      </c>
      <c r="F12" s="111">
        <f t="shared" si="1"/>
        <v>25872498.017648332</v>
      </c>
      <c r="G12" s="111">
        <f t="shared" si="1"/>
        <v>23359730.939166665</v>
      </c>
    </row>
    <row r="13" spans="1:7" x14ac:dyDescent="0.15">
      <c r="A13" s="324" t="s">
        <v>758</v>
      </c>
      <c r="B13" s="366"/>
      <c r="C13" s="366"/>
      <c r="D13" s="366"/>
      <c r="E13" s="366"/>
      <c r="F13" s="366"/>
      <c r="G13" s="367"/>
    </row>
    <row r="14" spans="1:7" x14ac:dyDescent="0.15">
      <c r="A14" s="349" t="s">
        <v>759</v>
      </c>
      <c r="B14" s="82">
        <f>'F-2 Estructura'!B7</f>
        <v>5425899.3906311244</v>
      </c>
      <c r="C14" s="82">
        <f>B17</f>
        <v>5425899.3906311244</v>
      </c>
      <c r="D14" s="82">
        <f>C17</f>
        <v>3913966.2604207499</v>
      </c>
      <c r="E14" s="82">
        <f>D17</f>
        <v>2246783.1302103754</v>
      </c>
      <c r="F14" s="82">
        <f>E17</f>
        <v>579600.0000000007</v>
      </c>
      <c r="G14" s="82">
        <f>F17</f>
        <v>289800.0000000007</v>
      </c>
    </row>
    <row r="15" spans="1:7" x14ac:dyDescent="0.15">
      <c r="A15" s="349" t="s">
        <v>760</v>
      </c>
      <c r="B15" s="355">
        <v>0</v>
      </c>
      <c r="C15" s="355">
        <f>'F-2 Estructura'!C7</f>
        <v>155250</v>
      </c>
      <c r="D15" s="355">
        <v>0</v>
      </c>
      <c r="E15" s="355">
        <v>0</v>
      </c>
      <c r="F15" s="355">
        <v>0</v>
      </c>
      <c r="G15" s="357">
        <v>0</v>
      </c>
    </row>
    <row r="16" spans="1:7" x14ac:dyDescent="0.15">
      <c r="A16" s="349" t="s">
        <v>761</v>
      </c>
      <c r="B16" s="82">
        <v>0</v>
      </c>
      <c r="C16" s="82">
        <f>'E-Inv AF y Am'!D53+'F-Cred'!C38</f>
        <v>1667183.1302103747</v>
      </c>
      <c r="D16" s="82">
        <f>'E-Inv AF y Am'!D53+'F-Cred'!C39</f>
        <v>1667183.1302103747</v>
      </c>
      <c r="E16" s="82">
        <f>'E-Inv AF y Am'!D53+'F-Cred'!C40</f>
        <v>1667183.1302103747</v>
      </c>
      <c r="F16" s="82">
        <f>'E-Inv AF y Am'!E53+'F-Cred'!C41</f>
        <v>289800</v>
      </c>
      <c r="G16" s="83">
        <f>'E-Inv AF y Am'!E53+'F-Cred'!C42</f>
        <v>289800</v>
      </c>
    </row>
    <row r="17" spans="1:7" x14ac:dyDescent="0.15">
      <c r="A17" s="349" t="s">
        <v>762</v>
      </c>
      <c r="B17" s="82">
        <f t="shared" ref="B17:G17" si="2">B14+B15-B16</f>
        <v>5425899.3906311244</v>
      </c>
      <c r="C17" s="82">
        <f t="shared" si="2"/>
        <v>3913966.2604207499</v>
      </c>
      <c r="D17" s="82">
        <f t="shared" si="2"/>
        <v>2246783.1302103754</v>
      </c>
      <c r="E17" s="82">
        <f t="shared" si="2"/>
        <v>579600.0000000007</v>
      </c>
      <c r="F17" s="82">
        <f t="shared" si="2"/>
        <v>289800.0000000007</v>
      </c>
      <c r="G17" s="82">
        <f t="shared" si="2"/>
        <v>6.9849193096160889E-10</v>
      </c>
    </row>
    <row r="18" spans="1:7" x14ac:dyDescent="0.15">
      <c r="A18" s="324" t="s">
        <v>89</v>
      </c>
      <c r="B18" s="355"/>
      <c r="C18" s="355"/>
      <c r="D18" s="355"/>
      <c r="E18" s="355"/>
      <c r="F18" s="355"/>
      <c r="G18" s="357"/>
    </row>
    <row r="19" spans="1:7" x14ac:dyDescent="0.15">
      <c r="A19" s="349" t="s">
        <v>759</v>
      </c>
      <c r="B19" s="82">
        <f>'F-2 Estructura'!B6</f>
        <v>34482733.831574999</v>
      </c>
      <c r="C19" s="82">
        <f>B22</f>
        <v>34482733.831574999</v>
      </c>
      <c r="D19" s="82">
        <f>C22</f>
        <v>32257044.253093332</v>
      </c>
      <c r="E19" s="82">
        <f>D22</f>
        <v>30031354.674611665</v>
      </c>
      <c r="F19" s="82">
        <f>E22</f>
        <v>27805665.096129999</v>
      </c>
      <c r="G19" s="82">
        <f>F22</f>
        <v>25582698.017648332</v>
      </c>
    </row>
    <row r="20" spans="1:7" x14ac:dyDescent="0.15">
      <c r="A20" s="349" t="s">
        <v>763</v>
      </c>
      <c r="B20" s="82">
        <v>0</v>
      </c>
      <c r="C20" s="82">
        <v>0</v>
      </c>
      <c r="D20" s="82">
        <v>0</v>
      </c>
      <c r="E20" s="82">
        <v>0</v>
      </c>
      <c r="F20" s="82">
        <v>0</v>
      </c>
      <c r="G20" s="83">
        <v>0</v>
      </c>
    </row>
    <row r="21" spans="1:7" x14ac:dyDescent="0.15">
      <c r="A21" s="349" t="s">
        <v>764</v>
      </c>
      <c r="B21" s="82">
        <v>0</v>
      </c>
      <c r="C21" s="82">
        <f>'E-Inv AF y Am'!D51</f>
        <v>2225689.5784816667</v>
      </c>
      <c r="D21" s="82">
        <f>C21</f>
        <v>2225689.5784816667</v>
      </c>
      <c r="E21" s="82">
        <f>D21</f>
        <v>2225689.5784816667</v>
      </c>
      <c r="F21" s="82">
        <f>'E-Inv AF y Am'!E51</f>
        <v>2222967.0784816667</v>
      </c>
      <c r="G21" s="83">
        <f>F21</f>
        <v>2222967.0784816667</v>
      </c>
    </row>
    <row r="22" spans="1:7" x14ac:dyDescent="0.15">
      <c r="A22" s="349" t="s">
        <v>762</v>
      </c>
      <c r="B22" s="355">
        <f t="shared" ref="B22:G22" si="3">B19+B20-B21</f>
        <v>34482733.831574999</v>
      </c>
      <c r="C22" s="355">
        <f t="shared" si="3"/>
        <v>32257044.253093332</v>
      </c>
      <c r="D22" s="355">
        <f t="shared" si="3"/>
        <v>30031354.674611665</v>
      </c>
      <c r="E22" s="355">
        <f t="shared" si="3"/>
        <v>27805665.096129999</v>
      </c>
      <c r="F22" s="355">
        <f t="shared" si="3"/>
        <v>25582698.017648332</v>
      </c>
      <c r="G22" s="355">
        <f t="shared" si="3"/>
        <v>23359730.939166665</v>
      </c>
    </row>
    <row r="23" spans="1:7" x14ac:dyDescent="0.15">
      <c r="A23" s="324" t="s">
        <v>765</v>
      </c>
      <c r="B23" s="355">
        <f>'F-IVA'!B18-'F-IVA'!C19</f>
        <v>5702035.3595474232</v>
      </c>
      <c r="C23" s="355">
        <f>'F-IVA'!D18</f>
        <v>94236.371904334985</v>
      </c>
      <c r="D23" s="355">
        <v>0</v>
      </c>
      <c r="E23" s="355">
        <v>0</v>
      </c>
      <c r="F23" s="355">
        <v>0</v>
      </c>
      <c r="G23" s="357">
        <v>0</v>
      </c>
    </row>
    <row r="24" spans="1:7" x14ac:dyDescent="0.15">
      <c r="A24" s="324" t="s">
        <v>766</v>
      </c>
      <c r="B24" s="355">
        <f t="shared" ref="B24:G24" si="4">B5+B12</f>
        <v>51212339.091975361</v>
      </c>
      <c r="C24" s="355">
        <f t="shared" si="4"/>
        <v>52779186.281986266</v>
      </c>
      <c r="D24" s="355">
        <f t="shared" si="4"/>
        <v>51625130.666957766</v>
      </c>
      <c r="E24" s="355">
        <f t="shared" si="4"/>
        <v>51321831.591902778</v>
      </c>
      <c r="F24" s="355">
        <f t="shared" si="4"/>
        <v>52745073.465780273</v>
      </c>
      <c r="G24" s="355">
        <f t="shared" si="4"/>
        <v>58368943.86556033</v>
      </c>
    </row>
    <row r="25" spans="1:7" x14ac:dyDescent="0.15">
      <c r="A25" s="324" t="s">
        <v>767</v>
      </c>
      <c r="B25" s="355">
        <f t="shared" ref="B25:G25" si="5">SUM(B26:B27)</f>
        <v>3368600.0467101559</v>
      </c>
      <c r="C25" s="355">
        <f t="shared" si="5"/>
        <v>7309235.293420312</v>
      </c>
      <c r="D25" s="355">
        <f t="shared" si="5"/>
        <v>7309235.293420312</v>
      </c>
      <c r="E25" s="355">
        <f t="shared" si="5"/>
        <v>7309235.293420312</v>
      </c>
      <c r="F25" s="355">
        <f t="shared" si="5"/>
        <v>3940635.2467101561</v>
      </c>
      <c r="G25" s="355">
        <f t="shared" si="5"/>
        <v>572035.20000000007</v>
      </c>
    </row>
    <row r="26" spans="1:7" x14ac:dyDescent="0.15">
      <c r="A26" s="324" t="s">
        <v>768</v>
      </c>
      <c r="B26" s="355">
        <v>0</v>
      </c>
      <c r="C26" s="355">
        <f>'F-Cred'!D6</f>
        <v>572035.20000000007</v>
      </c>
      <c r="D26" s="355">
        <f>C26</f>
        <v>572035.20000000007</v>
      </c>
      <c r="E26" s="355">
        <f>D26</f>
        <v>572035.20000000007</v>
      </c>
      <c r="F26" s="355">
        <f>E26</f>
        <v>572035.20000000007</v>
      </c>
      <c r="G26" s="357">
        <f>F26</f>
        <v>572035.20000000007</v>
      </c>
    </row>
    <row r="27" spans="1:7" x14ac:dyDescent="0.15">
      <c r="A27" s="324" t="s">
        <v>769</v>
      </c>
      <c r="B27" s="82">
        <f>'F-Cred'!E24</f>
        <v>3368600.0467101559</v>
      </c>
      <c r="C27" s="82">
        <f>'F-Cred'!E26</f>
        <v>6737200.0934203118</v>
      </c>
      <c r="D27" s="82">
        <f>'F-Cred'!E28</f>
        <v>6737200.0934203118</v>
      </c>
      <c r="E27" s="82">
        <f>'F-Cred'!E30</f>
        <v>6737200.0934203118</v>
      </c>
      <c r="F27" s="82">
        <f>'F-Cred'!E32</f>
        <v>3368600.0467101559</v>
      </c>
      <c r="G27" s="83">
        <v>0</v>
      </c>
    </row>
    <row r="28" spans="1:7" x14ac:dyDescent="0.15">
      <c r="A28" s="324" t="s">
        <v>770</v>
      </c>
      <c r="B28" s="82">
        <f t="shared" ref="B28:G28" si="6">B29</f>
        <v>23580200.326971091</v>
      </c>
      <c r="C28" s="82">
        <f t="shared" si="6"/>
        <v>16843000.23355078</v>
      </c>
      <c r="D28" s="82">
        <f t="shared" si="6"/>
        <v>10105800.140130468</v>
      </c>
      <c r="E28" s="82">
        <f t="shared" si="6"/>
        <v>3368600.046710155</v>
      </c>
      <c r="F28" s="82">
        <f t="shared" si="6"/>
        <v>0</v>
      </c>
      <c r="G28" s="82">
        <f t="shared" si="6"/>
        <v>0</v>
      </c>
    </row>
    <row r="29" spans="1:7" x14ac:dyDescent="0.15">
      <c r="A29" s="324" t="s">
        <v>769</v>
      </c>
      <c r="B29" s="355">
        <f>'F-Cred'!B24-'F-Cred'!D6</f>
        <v>23580200.326971091</v>
      </c>
      <c r="C29" s="355">
        <f>'F-Cred'!B26-'F-Cred'!D6</f>
        <v>16843000.23355078</v>
      </c>
      <c r="D29" s="355">
        <f>'F-Cred'!B28-'F-Cred'!D6</f>
        <v>10105800.140130468</v>
      </c>
      <c r="E29" s="355">
        <f>'F-Cred'!B30-'F-Cred'!D6</f>
        <v>3368600.046710155</v>
      </c>
      <c r="F29" s="355">
        <f>'F-Cred'!B32-'F-Cred'!D6</f>
        <v>0</v>
      </c>
      <c r="G29" s="357"/>
    </row>
    <row r="30" spans="1:7" x14ac:dyDescent="0.15">
      <c r="A30" s="324" t="s">
        <v>771</v>
      </c>
      <c r="B30" s="82">
        <f t="shared" ref="B30:G30" si="7">B25+B28</f>
        <v>26948800.373681247</v>
      </c>
      <c r="C30" s="82">
        <f t="shared" si="7"/>
        <v>24152235.526971091</v>
      </c>
      <c r="D30" s="82">
        <f t="shared" si="7"/>
        <v>17415035.433550779</v>
      </c>
      <c r="E30" s="82">
        <f t="shared" si="7"/>
        <v>10677835.340130467</v>
      </c>
      <c r="F30" s="82">
        <f t="shared" si="7"/>
        <v>3940635.2467101561</v>
      </c>
      <c r="G30" s="82">
        <f t="shared" si="7"/>
        <v>572035.20000000007</v>
      </c>
    </row>
    <row r="31" spans="1:7" x14ac:dyDescent="0.15">
      <c r="A31" s="324" t="s">
        <v>772</v>
      </c>
      <c r="B31" s="82">
        <f t="shared" ref="B31:G31" si="8">SUM(B32:B34)</f>
        <v>24263538.718294114</v>
      </c>
      <c r="C31" s="82">
        <f t="shared" si="8"/>
        <v>28626950.75501518</v>
      </c>
      <c r="D31" s="82">
        <f t="shared" si="8"/>
        <v>34210095.233406976</v>
      </c>
      <c r="E31" s="82">
        <f t="shared" si="8"/>
        <v>40643996.251772299</v>
      </c>
      <c r="F31" s="82">
        <f t="shared" si="8"/>
        <v>48804438.219070122</v>
      </c>
      <c r="G31" s="82">
        <f t="shared" si="8"/>
        <v>57796908.665560335</v>
      </c>
    </row>
    <row r="32" spans="1:7" x14ac:dyDescent="0.15">
      <c r="A32" s="324" t="s">
        <v>773</v>
      </c>
      <c r="B32" s="82">
        <f>'F-2 Estructura'!B31</f>
        <v>24263538.718294114</v>
      </c>
      <c r="C32" s="82">
        <f>'F-2 Estructura'!$D$31</f>
        <v>28675515.174167778</v>
      </c>
      <c r="D32" s="82">
        <f>'F-2 Estructura'!$D$31</f>
        <v>28675515.174167778</v>
      </c>
      <c r="E32" s="82">
        <f>'F-2 Estructura'!$D$31</f>
        <v>28675515.174167778</v>
      </c>
      <c r="F32" s="82">
        <f>'F-2 Estructura'!$D$31</f>
        <v>28675515.174167778</v>
      </c>
      <c r="G32" s="82">
        <f>'F-2 Estructura'!$D$31</f>
        <v>28675515.174167778</v>
      </c>
    </row>
    <row r="33" spans="1:7" x14ac:dyDescent="0.15">
      <c r="A33" s="324" t="s">
        <v>774</v>
      </c>
      <c r="B33" s="355">
        <v>0</v>
      </c>
      <c r="C33" s="355">
        <f>'F-CRes'!B14</f>
        <v>-48564.419152597286</v>
      </c>
      <c r="D33" s="355">
        <f>'F-CRes'!C14</f>
        <v>5583144.4783917945</v>
      </c>
      <c r="E33" s="355">
        <f>'F-CRes'!D14</f>
        <v>6433901.0183653301</v>
      </c>
      <c r="F33" s="355">
        <f>'F-CRes'!E14</f>
        <v>8160441.9672978148</v>
      </c>
      <c r="G33" s="355">
        <f>'F-CRes'!F14</f>
        <v>8992470.4464902133</v>
      </c>
    </row>
    <row r="34" spans="1:7" x14ac:dyDescent="0.15">
      <c r="A34" s="324" t="s">
        <v>775</v>
      </c>
      <c r="B34" s="82">
        <f>B33</f>
        <v>0</v>
      </c>
      <c r="C34" s="82">
        <f>B33+B34</f>
        <v>0</v>
      </c>
      <c r="D34" s="82">
        <f>C33+C34</f>
        <v>-48564.419152597286</v>
      </c>
      <c r="E34" s="82">
        <f>D33+D34</f>
        <v>5534580.0592391975</v>
      </c>
      <c r="F34" s="82">
        <f>E33+E34</f>
        <v>11968481.077604529</v>
      </c>
      <c r="G34" s="82">
        <f>F33+F34</f>
        <v>20128923.044902343</v>
      </c>
    </row>
    <row r="35" spans="1:7" x14ac:dyDescent="0.15">
      <c r="A35" s="326" t="s">
        <v>776</v>
      </c>
      <c r="B35" s="38">
        <f t="shared" ref="B35:G35" si="9">B30+B31</f>
        <v>51212339.091975361</v>
      </c>
      <c r="C35" s="38">
        <f t="shared" si="9"/>
        <v>52779186.281986266</v>
      </c>
      <c r="D35" s="38">
        <f t="shared" si="9"/>
        <v>51625130.666957751</v>
      </c>
      <c r="E35" s="38">
        <f t="shared" si="9"/>
        <v>51321831.591902763</v>
      </c>
      <c r="F35" s="38">
        <f t="shared" si="9"/>
        <v>52745073.465780281</v>
      </c>
      <c r="G35" s="38">
        <f t="shared" si="9"/>
        <v>58368943.865560338</v>
      </c>
    </row>
    <row r="38" spans="1:7" x14ac:dyDescent="0.15">
      <c r="A38" s="368" t="s">
        <v>777</v>
      </c>
      <c r="B38" s="259" t="str">
        <f t="shared" ref="B38:G38" si="10">IF(B24=B35,"OK","MAL")</f>
        <v>OK</v>
      </c>
      <c r="C38" s="259" t="str">
        <f t="shared" si="10"/>
        <v>OK</v>
      </c>
      <c r="D38" s="259" t="str">
        <f t="shared" si="10"/>
        <v>OK</v>
      </c>
      <c r="E38" s="259" t="str">
        <f t="shared" si="10"/>
        <v>OK</v>
      </c>
      <c r="F38" s="259" t="str">
        <f t="shared" si="10"/>
        <v>OK</v>
      </c>
      <c r="G38" s="259" t="str">
        <f t="shared" si="10"/>
        <v>OK</v>
      </c>
    </row>
  </sheetData>
  <conditionalFormatting sqref="B38">
    <cfRule type="cellIs" dxfId="31" priority="2" operator="equal">
      <formula>"OK"</formula>
    </cfRule>
    <cfRule type="cellIs" dxfId="30" priority="3" operator="equal">
      <formula>"MAL"</formula>
    </cfRule>
  </conditionalFormatting>
  <conditionalFormatting sqref="C38">
    <cfRule type="cellIs" dxfId="29" priority="4" operator="equal">
      <formula>"OK"</formula>
    </cfRule>
    <cfRule type="cellIs" dxfId="28" priority="5" operator="equal">
      <formula>"MAL"</formula>
    </cfRule>
  </conditionalFormatting>
  <conditionalFormatting sqref="D38">
    <cfRule type="cellIs" dxfId="27" priority="6" operator="equal">
      <formula>"OK"</formula>
    </cfRule>
    <cfRule type="cellIs" dxfId="26" priority="7" operator="equal">
      <formula>"MAL"</formula>
    </cfRule>
  </conditionalFormatting>
  <conditionalFormatting sqref="E38">
    <cfRule type="cellIs" dxfId="25" priority="8" operator="equal">
      <formula>"OK"</formula>
    </cfRule>
    <cfRule type="cellIs" dxfId="24" priority="9" operator="equal">
      <formula>"MAL"</formula>
    </cfRule>
  </conditionalFormatting>
  <conditionalFormatting sqref="F38">
    <cfRule type="cellIs" dxfId="23" priority="10" operator="equal">
      <formula>"OK"</formula>
    </cfRule>
    <cfRule type="cellIs" dxfId="22" priority="11" operator="equal">
      <formula>"MAL"</formula>
    </cfRule>
  </conditionalFormatting>
  <conditionalFormatting sqref="G38">
    <cfRule type="cellIs" dxfId="21" priority="12" operator="equal">
      <formula>"OK"</formula>
    </cfRule>
    <cfRule type="cellIs" dxfId="20" priority="13" operator="equal">
      <formula>"MAL"</formula>
    </cfRule>
  </conditionalFormatting>
  <pageMargins left="0.32013888888888897" right="0.75" top="0.6" bottom="0.24027777777777801" header="0.51180555555555496" footer="0.51180555555555496"/>
  <pageSetup paperSize="9" firstPageNumber="0" fitToHeight="4" orientation="landscape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MK36"/>
  <sheetViews>
    <sheetView tabSelected="1" zoomScale="90" zoomScaleNormal="90" workbookViewId="0">
      <selection activeCell="G31" sqref="G31"/>
    </sheetView>
  </sheetViews>
  <sheetFormatPr baseColWidth="10" defaultColWidth="8.83203125" defaultRowHeight="13" x14ac:dyDescent="0.15"/>
  <cols>
    <col min="1" max="1" width="7.83203125" style="307" customWidth="1"/>
    <col min="2" max="2" width="17.6640625" style="307" customWidth="1"/>
    <col min="3" max="6" width="14.83203125" style="307" customWidth="1"/>
    <col min="7" max="7" width="20.83203125" style="307" customWidth="1"/>
    <col min="8" max="8" width="15.6640625" style="307" customWidth="1"/>
    <col min="9" max="9" width="14.83203125" style="307" customWidth="1"/>
    <col min="10" max="10" width="20.83203125" style="307" customWidth="1"/>
    <col min="11" max="11" width="14.83203125" style="307" customWidth="1"/>
    <col min="12" max="12" width="16.6640625" style="307" customWidth="1"/>
    <col min="13" max="13" width="18.5" style="307" customWidth="1"/>
    <col min="14" max="15" width="17.33203125" style="307" customWidth="1"/>
    <col min="16" max="1025" width="11.33203125" style="307" customWidth="1"/>
  </cols>
  <sheetData>
    <row r="1" spans="1:14" x14ac:dyDescent="0.15">
      <c r="A1" s="1" t="s">
        <v>0</v>
      </c>
      <c r="G1" s="2">
        <f>InfoInicial!E1</f>
        <v>14</v>
      </c>
    </row>
    <row r="3" spans="1:14" ht="16" x14ac:dyDescent="0.2">
      <c r="A3" s="308" t="s">
        <v>778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10"/>
    </row>
    <row r="4" spans="1:14" ht="28" x14ac:dyDescent="0.15">
      <c r="A4" s="335" t="s">
        <v>406</v>
      </c>
      <c r="B4" s="336" t="s">
        <v>737</v>
      </c>
      <c r="C4" s="336" t="s">
        <v>779</v>
      </c>
      <c r="D4" s="336" t="s">
        <v>585</v>
      </c>
      <c r="E4" s="336" t="s">
        <v>5</v>
      </c>
      <c r="F4" s="336" t="s">
        <v>586</v>
      </c>
      <c r="G4" s="336" t="s">
        <v>587</v>
      </c>
      <c r="H4" s="336" t="s">
        <v>780</v>
      </c>
      <c r="I4" s="336" t="s">
        <v>781</v>
      </c>
      <c r="J4" s="336" t="s">
        <v>214</v>
      </c>
      <c r="K4" s="336" t="s">
        <v>589</v>
      </c>
      <c r="L4" s="336" t="s">
        <v>590</v>
      </c>
      <c r="M4" s="369" t="s">
        <v>591</v>
      </c>
      <c r="N4" s="370" t="s">
        <v>592</v>
      </c>
    </row>
    <row r="5" spans="1:14" x14ac:dyDescent="0.15">
      <c r="A5" s="371">
        <v>0</v>
      </c>
      <c r="B5" s="246">
        <f>'F- CFyU'!B14</f>
        <v>39908633.222206123</v>
      </c>
      <c r="C5" s="81">
        <f>'F- CFyU'!B15</f>
        <v>2534042.1430414477</v>
      </c>
      <c r="D5" s="81">
        <f>'F- CFyU'!B21</f>
        <v>8769663.726727793</v>
      </c>
      <c r="E5" s="81">
        <f>'F- CFyU'!B19</f>
        <v>0</v>
      </c>
      <c r="F5" s="81">
        <f>'F- CFyU'!B17</f>
        <v>0</v>
      </c>
      <c r="G5" s="81">
        <f t="shared" ref="G5:G10" si="0">SUM(B5:F5)</f>
        <v>51212339.091975361</v>
      </c>
      <c r="H5" s="81">
        <v>0</v>
      </c>
      <c r="I5" s="81">
        <f>'F-Cred'!J21</f>
        <v>4132149.3906311244</v>
      </c>
      <c r="J5" s="81">
        <f>'F- CFyU'!B25</f>
        <v>0</v>
      </c>
      <c r="K5" s="81">
        <f>'F- CFyU'!B11</f>
        <v>0</v>
      </c>
      <c r="L5" s="81">
        <f t="shared" ref="L5:L10" si="1">SUM(H5:K5)</f>
        <v>4132149.3906311244</v>
      </c>
      <c r="M5" s="247">
        <f t="shared" ref="M5:M10" si="2">L5-G5</f>
        <v>-47080189.701344237</v>
      </c>
      <c r="N5" s="94">
        <f>M5</f>
        <v>-47080189.701344237</v>
      </c>
    </row>
    <row r="6" spans="1:14" x14ac:dyDescent="0.15">
      <c r="A6" s="372">
        <v>1</v>
      </c>
      <c r="B6" s="246">
        <f>'F- CFyU'!C14</f>
        <v>155250</v>
      </c>
      <c r="C6" s="82">
        <f>'F- CFyU'!C15</f>
        <v>4973439.5768562518</v>
      </c>
      <c r="D6" s="82">
        <f>'F- CFyU'!C21</f>
        <v>176448.82053129212</v>
      </c>
      <c r="E6" s="82">
        <f>'F- CFyU'!C19</f>
        <v>236068.50741679134</v>
      </c>
      <c r="F6" s="82">
        <f>'F- CFyU'!C17</f>
        <v>-26150.071851398534</v>
      </c>
      <c r="G6" s="81">
        <f t="shared" si="0"/>
        <v>5515056.8329529362</v>
      </c>
      <c r="H6" s="82">
        <f>'F-CRes'!B11</f>
        <v>161354.01641279552</v>
      </c>
      <c r="I6" s="82">
        <f>'F-Cred'!G24</f>
        <v>5206077.3509994373</v>
      </c>
      <c r="J6" s="82">
        <f>'F- CFyU'!C25</f>
        <v>3892872.7086920412</v>
      </c>
      <c r="K6" s="82">
        <f>'F- CFyU'!C11</f>
        <v>3067628.3671803698</v>
      </c>
      <c r="L6" s="81">
        <f t="shared" si="1"/>
        <v>12327932.443284644</v>
      </c>
      <c r="M6" s="247">
        <f t="shared" si="2"/>
        <v>6812875.6103317076</v>
      </c>
      <c r="N6" s="83">
        <f>M6+N5</f>
        <v>-40267314.09101253</v>
      </c>
    </row>
    <row r="7" spans="1:14" x14ac:dyDescent="0.15">
      <c r="A7" s="372">
        <v>2</v>
      </c>
      <c r="B7" s="246">
        <f>'F- CFyU'!D14</f>
        <v>0</v>
      </c>
      <c r="C7" s="82">
        <f>'F- CFyU'!D15</f>
        <v>24505.853200200945</v>
      </c>
      <c r="D7" s="82">
        <f>'F- CFyU'!D21</f>
        <v>5146.2291720422163</v>
      </c>
      <c r="E7" s="82">
        <f>'F- CFyU'!D19</f>
        <v>515492.42269968765</v>
      </c>
      <c r="F7" s="82">
        <f>'F- CFyU'!D17</f>
        <v>3006308.5652878894</v>
      </c>
      <c r="G7" s="81">
        <f t="shared" si="0"/>
        <v>3551453.0703598205</v>
      </c>
      <c r="H7" s="82">
        <f>'F-CRes'!C11</f>
        <v>9104945.4663793724</v>
      </c>
      <c r="I7" s="82">
        <f>'F-Cred'!G26</f>
        <v>4246026.3376870425</v>
      </c>
      <c r="J7" s="82">
        <f>'F- CFyU'!D25</f>
        <v>3892872.7086920412</v>
      </c>
      <c r="K7" s="82">
        <f>'F- CFyU'!D11</f>
        <v>5789394.0373464227</v>
      </c>
      <c r="L7" s="81">
        <f t="shared" si="1"/>
        <v>23033238.550104879</v>
      </c>
      <c r="M7" s="247">
        <f t="shared" si="2"/>
        <v>19481785.47974506</v>
      </c>
      <c r="N7" s="83">
        <f>M7+N6</f>
        <v>-20785528.61126747</v>
      </c>
    </row>
    <row r="8" spans="1:14" x14ac:dyDescent="0.15">
      <c r="A8" s="372">
        <v>3</v>
      </c>
      <c r="B8" s="246">
        <f>'F- CFyU'!E14</f>
        <v>0</v>
      </c>
      <c r="C8" s="82">
        <f>'F- CFyU'!E15</f>
        <v>0</v>
      </c>
      <c r="D8" s="82">
        <f>'F- CFyU'!E21</f>
        <v>0</v>
      </c>
      <c r="E8" s="82">
        <f>'F- CFyU'!E19</f>
        <v>516536.55421864241</v>
      </c>
      <c r="F8" s="82">
        <f>'F- CFyU'!E17</f>
        <v>3464408.2406582544</v>
      </c>
      <c r="G8" s="81">
        <f t="shared" si="0"/>
        <v>3980944.7948768968</v>
      </c>
      <c r="H8" s="82">
        <f>'F-CRes'!D11</f>
        <v>10414845.813242227</v>
      </c>
      <c r="I8" s="82">
        <f>'F-Cred'!G28</f>
        <v>2965958.3199371831</v>
      </c>
      <c r="J8" s="82">
        <f>'F- CFyU'!E25</f>
        <v>3892872.7086920412</v>
      </c>
      <c r="K8" s="82">
        <f>'F- CFyU'!E11</f>
        <v>94236.371904334985</v>
      </c>
      <c r="L8" s="81">
        <f t="shared" si="1"/>
        <v>17367913.213775788</v>
      </c>
      <c r="M8" s="247">
        <f t="shared" si="2"/>
        <v>13386968.418898892</v>
      </c>
      <c r="N8" s="83">
        <f>M8+N7</f>
        <v>-7398560.1923685782</v>
      </c>
    </row>
    <row r="9" spans="1:14" x14ac:dyDescent="0.15">
      <c r="A9" s="372">
        <v>4</v>
      </c>
      <c r="B9" s="246">
        <f>'F- CFyU'!F14</f>
        <v>0</v>
      </c>
      <c r="C9" s="82">
        <f>'F- CFyU'!F15</f>
        <v>2012.2903199996799</v>
      </c>
      <c r="D9" s="82">
        <f>'F- CFyU'!F21</f>
        <v>422.58096720000611</v>
      </c>
      <c r="E9" s="82">
        <f>'F- CFyU'!F19</f>
        <v>516491.78673604637</v>
      </c>
      <c r="F9" s="82">
        <f>'F- CFyU'!F17</f>
        <v>4394084.1362372842</v>
      </c>
      <c r="G9" s="81">
        <f t="shared" si="0"/>
        <v>4913010.7942605298</v>
      </c>
      <c r="H9" s="82">
        <f>'F-CRes'!E11</f>
        <v>13071017.890271146</v>
      </c>
      <c r="I9" s="82">
        <f>'F-Cred'!G30</f>
        <v>1685890.302187324</v>
      </c>
      <c r="J9" s="82">
        <f>'F- CFyU'!F25</f>
        <v>2512767.0784816667</v>
      </c>
      <c r="K9" s="82">
        <f>'F- CFyU'!F11</f>
        <v>422.58096720000611</v>
      </c>
      <c r="L9" s="81">
        <f t="shared" si="1"/>
        <v>17270097.851907335</v>
      </c>
      <c r="M9" s="247">
        <f t="shared" si="2"/>
        <v>12357087.057646805</v>
      </c>
      <c r="N9" s="83">
        <f>M9+N8</f>
        <v>4958526.8652782273</v>
      </c>
    </row>
    <row r="10" spans="1:14" x14ac:dyDescent="0.15">
      <c r="A10" s="372">
        <v>5</v>
      </c>
      <c r="B10" s="246">
        <f>-'E-Inv AF y Am'!G56</f>
        <v>-23359730.939166665</v>
      </c>
      <c r="C10" s="82">
        <f>-'E-InvAT'!G15</f>
        <v>-7533999.8634179002</v>
      </c>
      <c r="D10" s="82">
        <f>'F- CFyU'!G21</f>
        <v>0</v>
      </c>
      <c r="E10" s="82">
        <f>'F- CFyU'!G19</f>
        <v>516490.90888498968</v>
      </c>
      <c r="F10" s="82">
        <f>'F- CFyU'!G17</f>
        <v>4842099.4711870374</v>
      </c>
      <c r="G10" s="81">
        <f t="shared" si="0"/>
        <v>-25535140.422512539</v>
      </c>
      <c r="H10" s="82">
        <f>'F-CRes'!F11</f>
        <v>14351060.826562239</v>
      </c>
      <c r="I10" s="82">
        <f>'F-Cred'!G32</f>
        <v>405822.28443746484</v>
      </c>
      <c r="J10" s="82">
        <f>'F- CFyU'!G25</f>
        <v>2512767.0784816667</v>
      </c>
      <c r="K10" s="82">
        <f>'F- CFyU'!G11</f>
        <v>0</v>
      </c>
      <c r="L10" s="81">
        <f t="shared" si="1"/>
        <v>17269650.18948137</v>
      </c>
      <c r="M10" s="247">
        <f t="shared" si="2"/>
        <v>42804790.611993909</v>
      </c>
      <c r="N10" s="83">
        <f>M10+N9</f>
        <v>47763317.477272138</v>
      </c>
    </row>
    <row r="11" spans="1:14" x14ac:dyDescent="0.15">
      <c r="A11" s="372"/>
      <c r="B11" s="250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226"/>
      <c r="N11" s="106"/>
    </row>
    <row r="12" spans="1:14" x14ac:dyDescent="0.15">
      <c r="A12" s="373" t="s">
        <v>593</v>
      </c>
      <c r="B12" s="252">
        <f t="shared" ref="B12:M12" si="3">SUM(B5:B10)</f>
        <v>16704152.283039458</v>
      </c>
      <c r="C12" s="252">
        <f t="shared" si="3"/>
        <v>0</v>
      </c>
      <c r="D12" s="252">
        <f t="shared" si="3"/>
        <v>8951681.3573983274</v>
      </c>
      <c r="E12" s="252">
        <f t="shared" si="3"/>
        <v>2301080.1799561577</v>
      </c>
      <c r="F12" s="252">
        <f t="shared" si="3"/>
        <v>15680750.341519065</v>
      </c>
      <c r="G12" s="252">
        <f t="shared" si="3"/>
        <v>43637664.161913</v>
      </c>
      <c r="H12" s="252">
        <f t="shared" si="3"/>
        <v>47103224.012867779</v>
      </c>
      <c r="I12" s="252">
        <f t="shared" si="3"/>
        <v>18641923.985879578</v>
      </c>
      <c r="J12" s="252">
        <f t="shared" si="3"/>
        <v>16704152.283039458</v>
      </c>
      <c r="K12" s="252">
        <f t="shared" si="3"/>
        <v>8951681.3573983293</v>
      </c>
      <c r="L12" s="252">
        <f t="shared" si="3"/>
        <v>91400981.63918516</v>
      </c>
      <c r="M12" s="252">
        <f t="shared" si="3"/>
        <v>47763317.477272138</v>
      </c>
      <c r="N12" s="344"/>
    </row>
    <row r="14" spans="1:14" x14ac:dyDescent="0.15">
      <c r="C14" s="374" t="s">
        <v>594</v>
      </c>
      <c r="D14" s="253">
        <f>M12</f>
        <v>47763317.477272138</v>
      </c>
    </row>
    <row r="15" spans="1:14" x14ac:dyDescent="0.15">
      <c r="A15" s="315"/>
      <c r="C15" s="374" t="s">
        <v>595</v>
      </c>
      <c r="D15" s="375">
        <f>3-N8/M9</f>
        <v>3.5987301180167868</v>
      </c>
      <c r="E15" s="307" t="s">
        <v>596</v>
      </c>
    </row>
    <row r="16" spans="1:14" x14ac:dyDescent="0.15">
      <c r="C16" s="374" t="s">
        <v>782</v>
      </c>
      <c r="D16" s="256">
        <f>IRR(M5:M10)</f>
        <v>0.22301149643812512</v>
      </c>
      <c r="J16" s="376"/>
      <c r="K16" s="376"/>
    </row>
    <row r="17" spans="1:15" x14ac:dyDescent="0.15">
      <c r="C17" s="374"/>
      <c r="D17" s="256"/>
      <c r="K17" s="377"/>
    </row>
    <row r="18" spans="1:15" x14ac:dyDescent="0.15">
      <c r="A18" s="257"/>
      <c r="B18" s="378"/>
      <c r="C18" s="378"/>
      <c r="D18" s="378"/>
      <c r="E18" s="379"/>
      <c r="F18" s="380"/>
      <c r="G18" s="380"/>
      <c r="H18" s="380"/>
      <c r="I18" s="380"/>
      <c r="J18" s="381"/>
      <c r="K18" s="382"/>
      <c r="L18" s="380"/>
      <c r="M18" s="380"/>
      <c r="N18" s="380"/>
      <c r="O18" s="378"/>
    </row>
    <row r="19" spans="1:15" ht="16" x14ac:dyDescent="0.2">
      <c r="A19" s="383"/>
      <c r="B19" s="380"/>
      <c r="C19" s="384"/>
      <c r="D19" s="380"/>
      <c r="E19" s="385"/>
      <c r="F19" s="380"/>
      <c r="G19" s="380"/>
      <c r="H19" s="380"/>
      <c r="I19" s="380"/>
      <c r="J19" s="381"/>
      <c r="K19" s="377"/>
      <c r="L19" s="380"/>
      <c r="M19" s="380"/>
      <c r="N19" s="380"/>
    </row>
    <row r="20" spans="1:15" x14ac:dyDescent="0.15">
      <c r="J20" s="381"/>
      <c r="K20" s="377"/>
    </row>
    <row r="21" spans="1:15" x14ac:dyDescent="0.15">
      <c r="A21" s="386"/>
      <c r="J21" s="66"/>
      <c r="K21" s="377"/>
    </row>
    <row r="22" spans="1:15" ht="16" x14ac:dyDescent="0.2">
      <c r="A22" s="308" t="s">
        <v>783</v>
      </c>
      <c r="B22" s="309"/>
      <c r="C22" s="309"/>
      <c r="D22" s="309"/>
      <c r="E22" s="309"/>
      <c r="F22" s="309"/>
      <c r="G22" s="309"/>
      <c r="H22" s="310"/>
    </row>
    <row r="23" spans="1:15" ht="28" x14ac:dyDescent="0.15">
      <c r="A23" s="335" t="s">
        <v>406</v>
      </c>
      <c r="B23" s="336" t="s">
        <v>784</v>
      </c>
      <c r="C23" s="336" t="s">
        <v>587</v>
      </c>
      <c r="D23" s="336" t="s">
        <v>742</v>
      </c>
      <c r="E23" s="336" t="s">
        <v>785</v>
      </c>
      <c r="F23" s="336" t="s">
        <v>590</v>
      </c>
      <c r="G23" s="369" t="s">
        <v>591</v>
      </c>
      <c r="H23" s="370" t="s">
        <v>592</v>
      </c>
      <c r="K23" s="408" t="s">
        <v>598</v>
      </c>
      <c r="L23" s="408"/>
    </row>
    <row r="24" spans="1:15" x14ac:dyDescent="0.15">
      <c r="A24" s="371">
        <v>0</v>
      </c>
      <c r="B24" s="246">
        <f>'F- CFyU'!B7</f>
        <v>24263538.718294114</v>
      </c>
      <c r="C24" s="81">
        <f t="shared" ref="C24:C29" si="4">B24</f>
        <v>24263538.718294114</v>
      </c>
      <c r="D24" s="81">
        <v>0</v>
      </c>
      <c r="E24" s="81">
        <f>'F- CFyU'!B28</f>
        <v>0</v>
      </c>
      <c r="F24" s="81">
        <f t="shared" ref="F24:F29" si="5">D24+E24</f>
        <v>0</v>
      </c>
      <c r="G24" s="247">
        <f t="shared" ref="G24:G29" si="6">F24-C24</f>
        <v>-24263538.718294114</v>
      </c>
      <c r="H24" s="94">
        <f>G24</f>
        <v>-24263538.718294114</v>
      </c>
      <c r="K24" s="412" t="s">
        <v>599</v>
      </c>
      <c r="L24" s="412"/>
    </row>
    <row r="25" spans="1:15" x14ac:dyDescent="0.15">
      <c r="A25" s="372">
        <v>1</v>
      </c>
      <c r="B25" s="249">
        <f>'F- CFyU'!C7</f>
        <v>4411976.4558736645</v>
      </c>
      <c r="C25" s="81">
        <f t="shared" si="4"/>
        <v>4411976.4558736645</v>
      </c>
      <c r="D25" s="82">
        <v>0</v>
      </c>
      <c r="E25" s="82">
        <f>'F- CFyU'!C28</f>
        <v>3222209.8684957745</v>
      </c>
      <c r="F25" s="81">
        <f t="shared" si="5"/>
        <v>3222209.8684957745</v>
      </c>
      <c r="G25" s="247">
        <f t="shared" si="6"/>
        <v>-1189766.58737789</v>
      </c>
      <c r="H25" s="83">
        <f>G25+H24</f>
        <v>-25453305.305672005</v>
      </c>
      <c r="K25" s="258" t="s">
        <v>214</v>
      </c>
      <c r="L25" s="259" t="str">
        <f>IF(B12=J12,"OK","MAL")</f>
        <v>OK</v>
      </c>
    </row>
    <row r="26" spans="1:15" x14ac:dyDescent="0.15">
      <c r="A26" s="372">
        <v>2</v>
      </c>
      <c r="B26" s="249">
        <f>'F- CFyU'!D7</f>
        <v>0</v>
      </c>
      <c r="C26" s="81">
        <f t="shared" si="4"/>
        <v>0</v>
      </c>
      <c r="D26" s="82">
        <v>0</v>
      </c>
      <c r="E26" s="82">
        <f>'F- CFyU'!D28</f>
        <v>8498559.0486377105</v>
      </c>
      <c r="F26" s="81">
        <f t="shared" si="5"/>
        <v>8498559.0486377105</v>
      </c>
      <c r="G26" s="247">
        <f t="shared" si="6"/>
        <v>8498559.0486377105</v>
      </c>
      <c r="H26" s="83">
        <f>G26+H25</f>
        <v>-16954746.257034294</v>
      </c>
      <c r="K26" s="258" t="s">
        <v>600</v>
      </c>
      <c r="L26" s="259" t="str">
        <f>IF(D12=K12,"OK","MAL")</f>
        <v>OK</v>
      </c>
    </row>
    <row r="27" spans="1:15" x14ac:dyDescent="0.15">
      <c r="A27" s="372">
        <v>3</v>
      </c>
      <c r="B27" s="249">
        <f>'F- CFyU'!E7</f>
        <v>0</v>
      </c>
      <c r="C27" s="81">
        <f t="shared" si="4"/>
        <v>0</v>
      </c>
      <c r="D27" s="82">
        <v>0</v>
      </c>
      <c r="E27" s="82">
        <f>'F- CFyU'!E28</f>
        <v>3683810.0055413917</v>
      </c>
      <c r="F27" s="81">
        <f t="shared" si="5"/>
        <v>3683810.0055413917</v>
      </c>
      <c r="G27" s="247">
        <f t="shared" si="6"/>
        <v>3683810.0055413917</v>
      </c>
      <c r="H27" s="83">
        <f>G27+H26</f>
        <v>-13270936.251492903</v>
      </c>
      <c r="K27" s="258" t="s">
        <v>601</v>
      </c>
      <c r="L27" s="259" t="str">
        <f>IF(C12=0,"OK","MAL")</f>
        <v>OK</v>
      </c>
    </row>
    <row r="28" spans="1:15" x14ac:dyDescent="0.15">
      <c r="A28" s="372">
        <v>4</v>
      </c>
      <c r="B28" s="249">
        <f>'F- CFyU'!F7</f>
        <v>0</v>
      </c>
      <c r="C28" s="81">
        <f t="shared" si="4"/>
        <v>0</v>
      </c>
      <c r="D28" s="82">
        <v>0</v>
      </c>
      <c r="E28" s="82">
        <f>'F- CFyU'!F28</f>
        <v>3933996.6620391645</v>
      </c>
      <c r="F28" s="81">
        <f t="shared" si="5"/>
        <v>3933996.6620391645</v>
      </c>
      <c r="G28" s="247">
        <f t="shared" si="6"/>
        <v>3933996.6620391645</v>
      </c>
      <c r="H28" s="83">
        <f>G28+H27</f>
        <v>-9336939.5894537382</v>
      </c>
      <c r="K28" s="258" t="s">
        <v>602</v>
      </c>
      <c r="L28" s="259" t="str">
        <f>IF((H12-F12-E12+I12)=M12,IF(M12=N10,"OK","MAL"),"MAL")</f>
        <v>OK</v>
      </c>
    </row>
    <row r="29" spans="1:15" x14ac:dyDescent="0.15">
      <c r="A29" s="372">
        <v>5</v>
      </c>
      <c r="B29" s="249">
        <f>B10+C10+'F-Cred'!D6</f>
        <v>-30321695.602584567</v>
      </c>
      <c r="C29" s="81">
        <f t="shared" si="4"/>
        <v>-30321695.602584567</v>
      </c>
      <c r="D29" s="82">
        <v>0</v>
      </c>
      <c r="E29" s="82">
        <f>'F- CFyU'!G28</f>
        <v>8136637.4782617241</v>
      </c>
      <c r="F29" s="81">
        <f t="shared" si="5"/>
        <v>8136637.4782617241</v>
      </c>
      <c r="G29" s="247">
        <f t="shared" si="6"/>
        <v>38458333.080846295</v>
      </c>
      <c r="H29" s="83">
        <f>G29+H28</f>
        <v>29121393.491392557</v>
      </c>
      <c r="K29" s="412" t="s">
        <v>786</v>
      </c>
      <c r="L29" s="412"/>
    </row>
    <row r="30" spans="1:15" x14ac:dyDescent="0.15">
      <c r="A30" s="372"/>
      <c r="B30" s="250"/>
      <c r="C30" s="105"/>
      <c r="D30" s="105"/>
      <c r="E30" s="105"/>
      <c r="F30" s="105"/>
      <c r="G30" s="226"/>
      <c r="H30" s="106"/>
      <c r="K30" s="258" t="s">
        <v>787</v>
      </c>
      <c r="L30" s="259" t="str">
        <f>IF((H12-E12-F12)=G31,"OK","MAL")</f>
        <v>OK</v>
      </c>
    </row>
    <row r="31" spans="1:15" x14ac:dyDescent="0.15">
      <c r="A31" s="373" t="s">
        <v>593</v>
      </c>
      <c r="B31" s="252">
        <f t="shared" ref="B31:G31" si="7">SUM(B24:B29)</f>
        <v>-1646180.4284167886</v>
      </c>
      <c r="C31" s="252">
        <f t="shared" si="7"/>
        <v>-1646180.4284167886</v>
      </c>
      <c r="D31" s="252">
        <f t="shared" si="7"/>
        <v>0</v>
      </c>
      <c r="E31" s="252">
        <f t="shared" si="7"/>
        <v>27475213.062975764</v>
      </c>
      <c r="F31" s="252">
        <f t="shared" si="7"/>
        <v>27475213.062975764</v>
      </c>
      <c r="G31" s="398">
        <f t="shared" si="7"/>
        <v>29121393.491392557</v>
      </c>
      <c r="H31" s="344"/>
      <c r="J31" s="387">
        <f>'F- CFyU'!H28-'F- CFyU'!H7-'F- CFyU'!H8+'F- CFyU'!H14-'F- CFyU'!H25+'F- CFyU'!H15</f>
        <v>29121393.491392553</v>
      </c>
      <c r="K31" s="258" t="s">
        <v>788</v>
      </c>
      <c r="L31" s="259" t="str">
        <f>IF(('F- CFyU'!H28-'F- CFyU'!H7-'F- CFyU'!H8+'F- CFyU'!H14-'F- CFyU'!H25+'F- CFyU'!H15)='F- Form'!G31,"OK","MAL")</f>
        <v>OK</v>
      </c>
      <c r="M31" s="388">
        <f>G31-J31</f>
        <v>0</v>
      </c>
    </row>
    <row r="32" spans="1:15" x14ac:dyDescent="0.15">
      <c r="J32" s="389"/>
      <c r="K32" s="258" t="s">
        <v>789</v>
      </c>
      <c r="L32" s="259" t="str">
        <f>IF('F-CRes'!G14=G31,"OK","MAL")</f>
        <v>OK</v>
      </c>
    </row>
    <row r="33" spans="3:13" x14ac:dyDescent="0.15">
      <c r="K33" s="258" t="s">
        <v>790</v>
      </c>
      <c r="L33" s="259" t="str">
        <f>IF(('F-Balance'!G33+'F-Balance'!G34)='F- Form'!G31,"OK","MAL")</f>
        <v>OK</v>
      </c>
    </row>
    <row r="34" spans="3:13" x14ac:dyDescent="0.15">
      <c r="C34" s="374" t="s">
        <v>594</v>
      </c>
      <c r="D34" s="253">
        <f>G31</f>
        <v>29121393.491392557</v>
      </c>
      <c r="E34" s="307" t="s">
        <v>791</v>
      </c>
      <c r="J34" s="388">
        <f>'F- CFyU'!H10-'F- CFyU'!H16-'F- CFyU'!H19-'F- CFyU'!H17</f>
        <v>29121393.491392523</v>
      </c>
      <c r="K34" s="258" t="s">
        <v>792</v>
      </c>
      <c r="L34" s="259" t="str">
        <f>IF(('F- CFyU'!H10-'F- CFyU'!H16-'F- CFyU'!H19-'F- CFyU'!H17)=G31,"OK","MAL")</f>
        <v>MAL</v>
      </c>
      <c r="M34" s="388">
        <f>G31-J34</f>
        <v>3.3527612686157227E-8</v>
      </c>
    </row>
    <row r="35" spans="3:13" x14ac:dyDescent="0.15">
      <c r="C35" s="374" t="s">
        <v>595</v>
      </c>
      <c r="D35" s="375">
        <f>4-H28/G29</f>
        <v>4.242780662641457</v>
      </c>
      <c r="E35" s="307" t="s">
        <v>793</v>
      </c>
      <c r="K35" s="412" t="s">
        <v>794</v>
      </c>
      <c r="L35" s="412"/>
    </row>
    <row r="36" spans="3:13" x14ac:dyDescent="0.15">
      <c r="C36" s="374" t="s">
        <v>795</v>
      </c>
      <c r="D36" s="256">
        <f>IRR(G24:G29)</f>
        <v>0.20154934894367016</v>
      </c>
      <c r="K36" s="258" t="s">
        <v>796</v>
      </c>
      <c r="L36" s="259" t="str">
        <f>IF(SUM('F-Balance'!B35:G35)=SUM('F-Balance'!B24:G24),"OK","MAL")</f>
        <v>OK</v>
      </c>
    </row>
  </sheetData>
  <mergeCells count="4">
    <mergeCell ref="K23:L23"/>
    <mergeCell ref="K24:L24"/>
    <mergeCell ref="K29:L29"/>
    <mergeCell ref="K35:L35"/>
  </mergeCells>
  <conditionalFormatting sqref="L25">
    <cfRule type="cellIs" dxfId="19" priority="2" operator="equal">
      <formula>"OK"</formula>
    </cfRule>
    <cfRule type="cellIs" dxfId="18" priority="3" operator="equal">
      <formula>"MAL"</formula>
    </cfRule>
  </conditionalFormatting>
  <conditionalFormatting sqref="L26">
    <cfRule type="cellIs" dxfId="17" priority="4" operator="equal">
      <formula>"OK"</formula>
    </cfRule>
    <cfRule type="cellIs" dxfId="16" priority="5" operator="equal">
      <formula>"MAL"</formula>
    </cfRule>
  </conditionalFormatting>
  <conditionalFormatting sqref="L27">
    <cfRule type="cellIs" dxfId="15" priority="6" operator="equal">
      <formula>"OK"</formula>
    </cfRule>
    <cfRule type="cellIs" dxfId="14" priority="7" operator="equal">
      <formula>"MAL"</formula>
    </cfRule>
  </conditionalFormatting>
  <conditionalFormatting sqref="L28">
    <cfRule type="cellIs" dxfId="13" priority="8" operator="equal">
      <formula>"OK"</formula>
    </cfRule>
    <cfRule type="cellIs" dxfId="12" priority="9" operator="equal">
      <formula>"MAL"</formula>
    </cfRule>
  </conditionalFormatting>
  <conditionalFormatting sqref="L30">
    <cfRule type="cellIs" dxfId="11" priority="10" operator="equal">
      <formula>"OK"</formula>
    </cfRule>
    <cfRule type="cellIs" dxfId="10" priority="11" operator="equal">
      <formula>"MAL"</formula>
    </cfRule>
  </conditionalFormatting>
  <conditionalFormatting sqref="L31">
    <cfRule type="cellIs" dxfId="9" priority="12" operator="equal">
      <formula>"OK"</formula>
    </cfRule>
    <cfRule type="cellIs" dxfId="8" priority="13" operator="equal">
      <formula>"MAL"</formula>
    </cfRule>
  </conditionalFormatting>
  <conditionalFormatting sqref="L32">
    <cfRule type="cellIs" dxfId="7" priority="14" operator="equal">
      <formula>"OK"</formula>
    </cfRule>
    <cfRule type="cellIs" dxfId="6" priority="15" operator="equal">
      <formula>"MAL"</formula>
    </cfRule>
  </conditionalFormatting>
  <conditionalFormatting sqref="L33">
    <cfRule type="cellIs" dxfId="5" priority="16" operator="equal">
      <formula>"OK"</formula>
    </cfRule>
    <cfRule type="cellIs" dxfId="4" priority="17" operator="equal">
      <formula>"MAL"</formula>
    </cfRule>
  </conditionalFormatting>
  <conditionalFormatting sqref="L34">
    <cfRule type="cellIs" dxfId="3" priority="18" operator="equal">
      <formula>"OK"</formula>
    </cfRule>
    <cfRule type="cellIs" dxfId="2" priority="19" operator="equal">
      <formula>"MAL"</formula>
    </cfRule>
  </conditionalFormatting>
  <conditionalFormatting sqref="L36">
    <cfRule type="cellIs" dxfId="1" priority="20" operator="equal">
      <formula>"OK"</formula>
    </cfRule>
    <cfRule type="cellIs" dxfId="0" priority="21" operator="equal">
      <formula>"MAL"</formula>
    </cfRule>
  </conditionalFormatting>
  <pageMargins left="0.25972222222222202" right="0.45972222222222198" top="1.27013888888889" bottom="1" header="0.51180555555555496" footer="0.51180555555555496"/>
  <pageSetup paperSize="9" firstPageNumber="0" fitToHeight="4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6"/>
  <sheetViews>
    <sheetView zoomScale="90" zoomScaleNormal="90" workbookViewId="0">
      <selection activeCell="E51" sqref="E51"/>
    </sheetView>
  </sheetViews>
  <sheetFormatPr baseColWidth="10" defaultColWidth="8.83203125" defaultRowHeight="13" x14ac:dyDescent="0.15"/>
  <cols>
    <col min="1" max="1" width="45.33203125" customWidth="1"/>
    <col min="2" max="2" width="24.33203125" customWidth="1"/>
    <col min="3" max="6" width="14.83203125" customWidth="1"/>
    <col min="7" max="7" width="22.5" customWidth="1"/>
    <col min="8" max="17" width="11.33203125" customWidth="1"/>
    <col min="18" max="18" width="16.1640625" customWidth="1"/>
    <col min="19" max="19" width="11.33203125" customWidth="1"/>
    <col min="20" max="20" width="13.1640625" customWidth="1"/>
    <col min="21" max="1025" width="11.33203125" customWidth="1"/>
  </cols>
  <sheetData>
    <row r="1" spans="1:19" x14ac:dyDescent="0.15">
      <c r="A1" s="1" t="s">
        <v>51</v>
      </c>
      <c r="E1" s="2">
        <f>InfoInicial!E1</f>
        <v>14</v>
      </c>
    </row>
    <row r="3" spans="1:19" ht="16" x14ac:dyDescent="0.2">
      <c r="A3" s="18" t="s">
        <v>52</v>
      </c>
      <c r="B3" s="404" t="s">
        <v>53</v>
      </c>
      <c r="C3" s="404"/>
      <c r="D3" s="405" t="s">
        <v>54</v>
      </c>
      <c r="E3" s="405"/>
    </row>
    <row r="4" spans="1:19" ht="16" x14ac:dyDescent="0.2">
      <c r="A4" s="21"/>
      <c r="B4" s="22" t="s">
        <v>55</v>
      </c>
      <c r="C4" s="22" t="s">
        <v>56</v>
      </c>
      <c r="D4" s="22" t="s">
        <v>55</v>
      </c>
      <c r="E4" s="23" t="s">
        <v>56</v>
      </c>
    </row>
    <row r="5" spans="1:19" x14ac:dyDescent="0.15">
      <c r="A5" s="24"/>
      <c r="B5" s="25"/>
      <c r="C5" s="25"/>
      <c r="D5" s="25"/>
      <c r="E5" s="25"/>
    </row>
    <row r="6" spans="1:19" x14ac:dyDescent="0.15">
      <c r="A6" s="26" t="s">
        <v>57</v>
      </c>
      <c r="B6" s="27"/>
      <c r="C6" s="27"/>
      <c r="D6" s="27"/>
      <c r="E6" s="27"/>
    </row>
    <row r="7" spans="1:19" x14ac:dyDescent="0.15">
      <c r="A7" s="28" t="s">
        <v>58</v>
      </c>
      <c r="B7" s="29">
        <f>190*InfoInicial!B32*InfoInicial!B27</f>
        <v>4085000</v>
      </c>
      <c r="C7" s="29"/>
      <c r="D7" s="29"/>
      <c r="E7" s="29"/>
      <c r="S7" s="30"/>
    </row>
    <row r="8" spans="1:19" x14ac:dyDescent="0.15">
      <c r="A8" s="28" t="s">
        <v>59</v>
      </c>
      <c r="B8" s="29">
        <f>700*InfoInicial!B32*InfoInicial!B27</f>
        <v>15050000</v>
      </c>
      <c r="C8" s="29"/>
      <c r="D8" s="29"/>
      <c r="E8" s="29"/>
      <c r="S8" s="31"/>
    </row>
    <row r="9" spans="1:19" x14ac:dyDescent="0.15">
      <c r="A9" s="28" t="s">
        <v>60</v>
      </c>
      <c r="B9" s="29">
        <f>B8*'E-Inv AF y Am Datos y links'!D13</f>
        <v>12040000</v>
      </c>
      <c r="C9" s="29"/>
      <c r="D9" s="29"/>
      <c r="E9" s="29"/>
    </row>
    <row r="10" spans="1:19" x14ac:dyDescent="0.15">
      <c r="A10" s="28" t="s">
        <v>61</v>
      </c>
      <c r="B10" s="29"/>
      <c r="C10" s="29"/>
      <c r="D10" s="29"/>
      <c r="E10" s="29"/>
      <c r="S10" s="31"/>
    </row>
    <row r="11" spans="1:19" x14ac:dyDescent="0.15">
      <c r="A11" s="28" t="s">
        <v>62</v>
      </c>
      <c r="B11" s="29"/>
      <c r="C11" s="29"/>
      <c r="D11" s="29">
        <f>'E-Inv AF y Am Datos y links'!D17*'E-Inv AF y Am Datos y links'!F17+'E-Inv AF y Am Datos y links'!D17*'E-Inv AF y Am Datos y links'!F17*'E-Inv AF y Am Datos y links'!I17+'E-Inv AF y Am Datos y links'!D18*InfoInicial!B32+'E-Inv AF y Am Datos y links'!D18*InfoInicial!B32*'E-Inv AF y Am Datos y links'!I18</f>
        <v>171517.5</v>
      </c>
      <c r="E11" s="29"/>
      <c r="S11" s="31"/>
    </row>
    <row r="12" spans="1:19" x14ac:dyDescent="0.15">
      <c r="A12" s="28" t="s">
        <v>63</v>
      </c>
      <c r="B12" s="29">
        <f>'E-Inv AF y Am Datos y links'!D22+'E-Inv AF y Am Datos y links'!D21+'E-Inv AF y Am Datos y links'!D20*30</f>
        <v>1210246</v>
      </c>
      <c r="C12" s="29"/>
      <c r="D12" s="29"/>
      <c r="E12" s="29"/>
    </row>
    <row r="13" spans="1:19" x14ac:dyDescent="0.15">
      <c r="A13" s="32" t="s">
        <v>64</v>
      </c>
      <c r="B13" s="33">
        <f>D11*'E-Inv AF y Am Datos y links'!D24</f>
        <v>18866.924999999999</v>
      </c>
      <c r="C13" s="29"/>
      <c r="D13" s="29"/>
      <c r="E13" s="29"/>
    </row>
    <row r="14" spans="1:19" x14ac:dyDescent="0.15">
      <c r="A14" s="28" t="s">
        <v>65</v>
      </c>
      <c r="B14" s="29">
        <f>5*'E-Inv AF y Am Datos y links'!E29+'E-Inv AF y Am Datos y links'!E26*B12*'E-Inv AF y Am Datos y links'!G26+'E-Inv AF y Am Datos y links'!E27*D11*'E-Inv AF y Am Datos y links'!G27</f>
        <v>30235.27</v>
      </c>
      <c r="C14" s="29"/>
      <c r="D14" s="29">
        <f>'E-Inv AF y Am Datos y links'!E27*D11*'E-Inv AF y Am Datos y links'!I27</f>
        <v>3430.35</v>
      </c>
      <c r="E14" s="29"/>
    </row>
    <row r="15" spans="1:19" x14ac:dyDescent="0.15">
      <c r="A15" s="28" t="s">
        <v>66</v>
      </c>
      <c r="B15" s="29">
        <f>'E-Inv AF y Am Datos y links'!E31*'E-Inv AF y Am Datos y links'!G31</f>
        <v>23980</v>
      </c>
      <c r="C15" s="29"/>
      <c r="D15" s="29"/>
      <c r="E15" s="29"/>
    </row>
    <row r="16" spans="1:19" x14ac:dyDescent="0.15">
      <c r="A16" s="28" t="s">
        <v>67</v>
      </c>
      <c r="B16" s="29">
        <f>SUM('E-Inv AF y Am Datos y links'!I33:I68)</f>
        <v>683375</v>
      </c>
      <c r="C16" s="29"/>
      <c r="D16" s="29"/>
      <c r="E16" s="29"/>
    </row>
    <row r="17" spans="1:7" x14ac:dyDescent="0.15">
      <c r="A17" s="28" t="s">
        <v>68</v>
      </c>
      <c r="B17" s="29">
        <f>'E-Inv AF y Am Datos y links'!D70</f>
        <v>0</v>
      </c>
      <c r="C17" s="29"/>
      <c r="D17" s="29"/>
      <c r="E17" s="29"/>
    </row>
    <row r="18" spans="1:7" x14ac:dyDescent="0.15">
      <c r="A18" s="28" t="s">
        <v>21</v>
      </c>
      <c r="B18" s="29">
        <f>SUM(B7:B17)*InfoInicial!B15</f>
        <v>1159959.611825</v>
      </c>
      <c r="C18" s="29"/>
      <c r="D18" s="29">
        <f>SUM(D7:D17)*InfoInicial!B15</f>
        <v>6123.174750000001</v>
      </c>
      <c r="E18" s="29"/>
      <c r="G18" s="34"/>
    </row>
    <row r="19" spans="1:7" x14ac:dyDescent="0.15">
      <c r="A19" s="28"/>
      <c r="B19" s="29"/>
      <c r="C19" s="29"/>
      <c r="D19" s="29"/>
      <c r="E19" s="29"/>
    </row>
    <row r="20" spans="1:7" x14ac:dyDescent="0.15">
      <c r="A20" s="26" t="s">
        <v>69</v>
      </c>
      <c r="B20" s="29">
        <f>SUM(B7:B18)</f>
        <v>34301662.806824997</v>
      </c>
      <c r="C20" s="29"/>
      <c r="D20" s="29">
        <f>SUM(D7:D18)</f>
        <v>181071.02475000001</v>
      </c>
      <c r="E20" s="29"/>
    </row>
    <row r="21" spans="1:7" x14ac:dyDescent="0.15">
      <c r="A21" s="28"/>
      <c r="B21" s="35"/>
      <c r="C21" s="35"/>
      <c r="D21" s="35"/>
      <c r="E21" s="35"/>
    </row>
    <row r="22" spans="1:7" x14ac:dyDescent="0.15">
      <c r="A22" s="26" t="s">
        <v>70</v>
      </c>
      <c r="B22" s="35"/>
      <c r="C22" s="35"/>
      <c r="D22" s="35"/>
      <c r="E22" s="35"/>
    </row>
    <row r="23" spans="1:7" x14ac:dyDescent="0.15">
      <c r="A23" s="28" t="s">
        <v>71</v>
      </c>
      <c r="B23" s="29">
        <f>'E-Inv AF y Am Datos y links'!D73</f>
        <v>150000</v>
      </c>
      <c r="C23" s="29"/>
      <c r="D23" s="29"/>
      <c r="E23" s="29"/>
    </row>
    <row r="24" spans="1:7" x14ac:dyDescent="0.15">
      <c r="A24" s="28" t="s">
        <v>72</v>
      </c>
      <c r="B24" s="29">
        <f>'E-Inv AF y Am Datos y links'!D74</f>
        <v>100000</v>
      </c>
      <c r="C24" s="29"/>
      <c r="D24" s="29"/>
      <c r="E24" s="29"/>
    </row>
    <row r="25" spans="1:7" x14ac:dyDescent="0.15">
      <c r="A25" s="28" t="s">
        <v>73</v>
      </c>
      <c r="B25" s="29">
        <f>'E-Inv AF y Am Datos y links'!D75</f>
        <v>1000000</v>
      </c>
      <c r="C25" s="29"/>
      <c r="D25" s="29"/>
      <c r="E25" s="29"/>
    </row>
    <row r="26" spans="1:7" x14ac:dyDescent="0.15">
      <c r="A26" s="32" t="s">
        <v>74</v>
      </c>
      <c r="B26" s="29"/>
      <c r="C26" s="29">
        <f>'E-Inv AF y Am Datos y links'!E76</f>
        <v>150000</v>
      </c>
      <c r="D26" s="29"/>
      <c r="E26" s="29"/>
    </row>
    <row r="27" spans="1:7" x14ac:dyDescent="0.15">
      <c r="A27" s="32" t="s">
        <v>75</v>
      </c>
      <c r="B27" s="29">
        <f>'E-Inv AF y Am Datos y links'!D77</f>
        <v>0</v>
      </c>
      <c r="C27" s="29"/>
      <c r="D27" s="29"/>
      <c r="E27" s="29"/>
    </row>
    <row r="28" spans="1:7" x14ac:dyDescent="0.15">
      <c r="A28" s="32" t="s">
        <v>76</v>
      </c>
      <c r="B28" s="29">
        <f>'E-Inv AF y Am Datos y links'!D78</f>
        <v>0</v>
      </c>
      <c r="C28" s="29"/>
      <c r="D28" s="29"/>
      <c r="E28" s="29"/>
    </row>
    <row r="29" spans="1:7" x14ac:dyDescent="0.15">
      <c r="A29" s="28" t="s">
        <v>21</v>
      </c>
      <c r="B29" s="29">
        <f>SUM(B23:B28)*InfoInicial!B15</f>
        <v>43750.000000000007</v>
      </c>
      <c r="C29" s="29">
        <f>SUM(C23:C28)*InfoInicial!B15</f>
        <v>5250.0000000000009</v>
      </c>
      <c r="D29" s="29"/>
      <c r="E29" s="29"/>
      <c r="G29" s="36"/>
    </row>
    <row r="30" spans="1:7" x14ac:dyDescent="0.15">
      <c r="A30" s="28"/>
      <c r="B30" s="29"/>
      <c r="C30" s="29"/>
      <c r="D30" s="29"/>
      <c r="E30" s="29"/>
    </row>
    <row r="31" spans="1:7" x14ac:dyDescent="0.15">
      <c r="A31" s="26" t="s">
        <v>77</v>
      </c>
      <c r="B31" s="29">
        <f>SUM(B23:B29)</f>
        <v>1293750</v>
      </c>
      <c r="C31" s="29">
        <f>SUM(C23:C29)</f>
        <v>155250</v>
      </c>
      <c r="D31" s="29"/>
      <c r="E31" s="29"/>
    </row>
    <row r="32" spans="1:7" x14ac:dyDescent="0.15">
      <c r="A32" s="28"/>
      <c r="B32" s="35"/>
      <c r="C32" s="35"/>
      <c r="D32" s="35"/>
      <c r="E32" s="35"/>
    </row>
    <row r="33" spans="1:7" x14ac:dyDescent="0.15">
      <c r="A33" s="26" t="s">
        <v>78</v>
      </c>
      <c r="B33" s="29">
        <f>B20+B31</f>
        <v>35595412.806824997</v>
      </c>
      <c r="C33" s="29">
        <f>C20+C31</f>
        <v>155250</v>
      </c>
      <c r="D33" s="29">
        <f>D20+D31</f>
        <v>181071.02475000001</v>
      </c>
      <c r="E33" s="29"/>
    </row>
    <row r="34" spans="1:7" x14ac:dyDescent="0.15">
      <c r="A34" s="26" t="s">
        <v>79</v>
      </c>
      <c r="B34" s="29">
        <f>B33*InfoInicial!B3</f>
        <v>7475036.6894332487</v>
      </c>
      <c r="C34" s="29">
        <f>C33*InfoInicial!B3</f>
        <v>32602.5</v>
      </c>
      <c r="D34" s="29">
        <f>D33*InfoInicial!B3</f>
        <v>38024.915197499999</v>
      </c>
      <c r="E34" s="29"/>
    </row>
    <row r="35" spans="1:7" x14ac:dyDescent="0.15">
      <c r="A35" s="28"/>
      <c r="B35" s="35"/>
      <c r="C35" s="35"/>
      <c r="D35" s="35"/>
      <c r="E35" s="35"/>
    </row>
    <row r="36" spans="1:7" x14ac:dyDescent="0.15">
      <c r="A36" s="37" t="s">
        <v>80</v>
      </c>
      <c r="B36" s="38">
        <f>B33+B34</f>
        <v>43070449.496258244</v>
      </c>
      <c r="C36" s="38">
        <f>C33+C34</f>
        <v>187852.5</v>
      </c>
      <c r="D36" s="38">
        <f>D33+D34</f>
        <v>219095.93994750001</v>
      </c>
      <c r="E36" s="38"/>
    </row>
    <row r="39" spans="1:7" x14ac:dyDescent="0.15">
      <c r="A39" s="39" t="s">
        <v>81</v>
      </c>
      <c r="B39" s="19" t="s">
        <v>82</v>
      </c>
      <c r="C39" s="19" t="s">
        <v>83</v>
      </c>
      <c r="D39" s="404" t="s">
        <v>84</v>
      </c>
      <c r="E39" s="404"/>
      <c r="F39" s="404"/>
      <c r="G39" s="40" t="s">
        <v>85</v>
      </c>
    </row>
    <row r="40" spans="1:7" x14ac:dyDescent="0.15">
      <c r="A40" s="41"/>
      <c r="B40" s="22" t="s">
        <v>86</v>
      </c>
      <c r="C40" s="22"/>
      <c r="D40" s="22" t="s">
        <v>87</v>
      </c>
      <c r="E40" s="22" t="s">
        <v>88</v>
      </c>
      <c r="F40" s="22"/>
      <c r="G40" s="42"/>
    </row>
    <row r="41" spans="1:7" x14ac:dyDescent="0.15">
      <c r="A41" s="43" t="s">
        <v>89</v>
      </c>
      <c r="B41" s="44"/>
      <c r="C41" s="44"/>
      <c r="D41" s="44"/>
      <c r="E41" s="44"/>
      <c r="F41" s="45"/>
      <c r="G41" s="46"/>
    </row>
    <row r="42" spans="1:7" x14ac:dyDescent="0.15">
      <c r="A42" s="47"/>
      <c r="B42" s="48"/>
      <c r="C42" s="48"/>
      <c r="D42" s="48"/>
      <c r="E42" s="48"/>
      <c r="F42" s="49"/>
      <c r="G42" s="50"/>
    </row>
    <row r="43" spans="1:7" x14ac:dyDescent="0.15">
      <c r="A43" s="28" t="s">
        <v>58</v>
      </c>
      <c r="B43" s="29">
        <f>B7</f>
        <v>4085000</v>
      </c>
      <c r="C43" s="51"/>
      <c r="D43" s="29">
        <f t="shared" ref="D43:E49" si="0">$B43*$C43</f>
        <v>0</v>
      </c>
      <c r="E43" s="29">
        <f t="shared" si="0"/>
        <v>0</v>
      </c>
      <c r="F43" s="29"/>
      <c r="G43" s="52">
        <f t="shared" ref="G43:G50" si="1">B43-3*D43-2*E43</f>
        <v>4085000</v>
      </c>
    </row>
    <row r="44" spans="1:7" x14ac:dyDescent="0.15">
      <c r="A44" s="28" t="s">
        <v>59</v>
      </c>
      <c r="B44" s="29">
        <f>B8</f>
        <v>15050000</v>
      </c>
      <c r="C44" s="51">
        <f>1/InfoInicial!B8</f>
        <v>3.3333333333333333E-2</v>
      </c>
      <c r="D44" s="29">
        <f t="shared" si="0"/>
        <v>501666.66666666669</v>
      </c>
      <c r="E44" s="29">
        <f t="shared" si="0"/>
        <v>501666.66666666669</v>
      </c>
      <c r="F44" s="29"/>
      <c r="G44" s="52">
        <f t="shared" si="1"/>
        <v>12541666.666666666</v>
      </c>
    </row>
    <row r="45" spans="1:7" x14ac:dyDescent="0.15">
      <c r="A45" s="28" t="s">
        <v>60</v>
      </c>
      <c r="B45" s="29">
        <f>B9</f>
        <v>12040000</v>
      </c>
      <c r="C45" s="51">
        <f>1/InfoInicial!B9</f>
        <v>0.1</v>
      </c>
      <c r="D45" s="29">
        <f t="shared" si="0"/>
        <v>1204000</v>
      </c>
      <c r="E45" s="29">
        <f t="shared" si="0"/>
        <v>1204000</v>
      </c>
      <c r="F45" s="29"/>
      <c r="G45" s="52">
        <f t="shared" si="1"/>
        <v>6020000</v>
      </c>
    </row>
    <row r="46" spans="1:7" x14ac:dyDescent="0.15">
      <c r="A46" s="32" t="s">
        <v>61</v>
      </c>
      <c r="B46" s="29">
        <f>D11+B12+B13+B14+D14-0.05/1.05*D11</f>
        <v>1426128.5450000002</v>
      </c>
      <c r="C46" s="51">
        <f>1/InfoInicial!B10</f>
        <v>0.1</v>
      </c>
      <c r="D46" s="29">
        <f t="shared" si="0"/>
        <v>142612.85450000002</v>
      </c>
      <c r="E46" s="29">
        <f t="shared" si="0"/>
        <v>142612.85450000002</v>
      </c>
      <c r="F46" s="29"/>
      <c r="G46" s="52">
        <f t="shared" si="1"/>
        <v>713064.27250000008</v>
      </c>
    </row>
    <row r="47" spans="1:7" x14ac:dyDescent="0.15">
      <c r="A47" s="32" t="s">
        <v>66</v>
      </c>
      <c r="B47" s="29">
        <f>B15</f>
        <v>23980</v>
      </c>
      <c r="C47" s="51">
        <f>1/InfoInicial!B11</f>
        <v>0.2</v>
      </c>
      <c r="D47" s="29">
        <f t="shared" si="0"/>
        <v>4796</v>
      </c>
      <c r="E47" s="29">
        <f t="shared" si="0"/>
        <v>4796</v>
      </c>
      <c r="F47" s="29"/>
      <c r="G47" s="52">
        <f t="shared" si="1"/>
        <v>0</v>
      </c>
    </row>
    <row r="48" spans="1:7" x14ac:dyDescent="0.15">
      <c r="A48" s="32" t="s">
        <v>67</v>
      </c>
      <c r="B48" s="29">
        <f>B16</f>
        <v>683375</v>
      </c>
      <c r="C48" s="51">
        <f>1/InfoInicial!B12</f>
        <v>0.2</v>
      </c>
      <c r="D48" s="29">
        <f t="shared" si="0"/>
        <v>136675</v>
      </c>
      <c r="E48" s="29">
        <f t="shared" si="0"/>
        <v>136675</v>
      </c>
      <c r="F48" s="29"/>
      <c r="G48" s="52">
        <f t="shared" si="1"/>
        <v>0</v>
      </c>
    </row>
    <row r="49" spans="1:9" x14ac:dyDescent="0.15">
      <c r="A49" s="32" t="s">
        <v>21</v>
      </c>
      <c r="B49" s="29">
        <f>B18+D18</f>
        <v>1166082.786575</v>
      </c>
      <c r="C49" s="51">
        <f>1/InfoInicial!B14</f>
        <v>0.2</v>
      </c>
      <c r="D49" s="29">
        <f t="shared" si="0"/>
        <v>233216.55731500001</v>
      </c>
      <c r="E49" s="29">
        <f t="shared" si="0"/>
        <v>233216.55731500001</v>
      </c>
      <c r="F49" s="29"/>
      <c r="G49" s="52">
        <f t="shared" si="1"/>
        <v>0</v>
      </c>
    </row>
    <row r="50" spans="1:9" x14ac:dyDescent="0.15">
      <c r="A50" s="32" t="s">
        <v>90</v>
      </c>
      <c r="B50" s="29">
        <f>D11*0.05/1.05</f>
        <v>8167.5</v>
      </c>
      <c r="C50" s="51">
        <f>1/InfoInicial!B13</f>
        <v>0.33333333333333331</v>
      </c>
      <c r="D50" s="29">
        <f>$B50*$C50</f>
        <v>2722.5</v>
      </c>
      <c r="E50" s="29"/>
      <c r="F50" s="29"/>
      <c r="G50" s="52">
        <f t="shared" si="1"/>
        <v>0</v>
      </c>
    </row>
    <row r="51" spans="1:9" x14ac:dyDescent="0.15">
      <c r="A51" s="53" t="s">
        <v>91</v>
      </c>
      <c r="B51" s="29">
        <f>SUM(B43:B50)</f>
        <v>34482733.831574999</v>
      </c>
      <c r="C51" s="51"/>
      <c r="D51" s="29">
        <f>SUM(D43:D50)</f>
        <v>2225689.5784816667</v>
      </c>
      <c r="E51" s="29">
        <f>SUM(E43:E50)</f>
        <v>2222967.0784816667</v>
      </c>
      <c r="F51" s="29"/>
      <c r="G51" s="52">
        <f>SUM(G43:G50)</f>
        <v>23359730.939166665</v>
      </c>
    </row>
    <row r="52" spans="1:9" x14ac:dyDescent="0.15">
      <c r="A52" s="26"/>
      <c r="B52" s="54"/>
      <c r="C52" s="55"/>
      <c r="D52" s="56"/>
      <c r="E52" s="56"/>
      <c r="F52" s="56"/>
      <c r="G52" s="57"/>
    </row>
    <row r="53" spans="1:9" x14ac:dyDescent="0.15">
      <c r="A53" s="53" t="s">
        <v>92</v>
      </c>
      <c r="B53" s="29">
        <f>B31+C31</f>
        <v>1449000</v>
      </c>
      <c r="C53" s="51">
        <f>1/InfoInicial!B14</f>
        <v>0.2</v>
      </c>
      <c r="D53" s="29">
        <f>$B53*$C53</f>
        <v>289800</v>
      </c>
      <c r="E53" s="29">
        <f>$B53*$C53</f>
        <v>289800</v>
      </c>
      <c r="F53" s="29"/>
      <c r="G53" s="52"/>
    </row>
    <row r="54" spans="1:9" x14ac:dyDescent="0.15">
      <c r="A54" s="53"/>
      <c r="B54" s="29"/>
      <c r="C54" s="51"/>
      <c r="D54" s="29"/>
      <c r="E54" s="29"/>
      <c r="F54" s="29"/>
      <c r="G54" s="52"/>
    </row>
    <row r="55" spans="1:9" x14ac:dyDescent="0.15">
      <c r="A55" s="26"/>
      <c r="B55" s="27"/>
      <c r="C55" s="27"/>
      <c r="D55" s="58"/>
      <c r="E55" s="59"/>
      <c r="F55" s="59"/>
      <c r="G55" s="60"/>
      <c r="H55" s="61"/>
      <c r="I55" s="61"/>
    </row>
    <row r="56" spans="1:9" x14ac:dyDescent="0.15">
      <c r="A56" s="37" t="s">
        <v>93</v>
      </c>
      <c r="B56" s="38">
        <f>B51+B53</f>
        <v>35931733.831574999</v>
      </c>
      <c r="C56" s="38"/>
      <c r="D56" s="38">
        <f>D51+D53</f>
        <v>2515489.5784816667</v>
      </c>
      <c r="E56" s="38">
        <f>E51+E53</f>
        <v>2512767.0784816667</v>
      </c>
      <c r="F56" s="38"/>
      <c r="G56" s="38">
        <f>G51+G53</f>
        <v>23359730.939166665</v>
      </c>
      <c r="H56" s="62"/>
      <c r="I56" s="62"/>
    </row>
  </sheetData>
  <mergeCells count="3">
    <mergeCell ref="B3:C3"/>
    <mergeCell ref="D3:E3"/>
    <mergeCell ref="D39:F39"/>
  </mergeCells>
  <pageMargins left="0.42986111111111103" right="0.75" top="0.55972222222222201" bottom="1.4298611111111099" header="0.51180555555555496" footer="0.51180555555555496"/>
  <pageSetup paperSize="9" firstPageNumber="0" fitToHeight="3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L86"/>
  <sheetViews>
    <sheetView zoomScale="90" zoomScaleNormal="90" workbookViewId="0">
      <selection activeCell="A96" sqref="A96"/>
    </sheetView>
  </sheetViews>
  <sheetFormatPr baseColWidth="10" defaultColWidth="8.83203125" defaultRowHeight="13" x14ac:dyDescent="0.15"/>
  <cols>
    <col min="1" max="1" width="41.6640625" customWidth="1"/>
    <col min="2" max="2" width="9.1640625" customWidth="1"/>
    <col min="3" max="3" width="27.33203125" customWidth="1"/>
    <col min="4" max="4" width="14.33203125" customWidth="1"/>
    <col min="5" max="5" width="11.83203125" customWidth="1"/>
    <col min="6" max="6" width="10.83203125" customWidth="1"/>
    <col min="7" max="7" width="15.5" customWidth="1"/>
    <col min="8" max="8" width="10.6640625" customWidth="1"/>
    <col min="9" max="9" width="11.6640625" customWidth="1"/>
    <col min="10" max="1025" width="10.6640625" customWidth="1"/>
  </cols>
  <sheetData>
    <row r="4" spans="1:12" ht="16" x14ac:dyDescent="0.2">
      <c r="A4" s="63" t="s">
        <v>52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6" x14ac:dyDescent="0.2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2" x14ac:dyDescent="0.1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x14ac:dyDescent="0.15">
      <c r="A7" s="65" t="s">
        <v>57</v>
      </c>
      <c r="B7" s="64"/>
      <c r="C7" s="64"/>
      <c r="D7" s="64"/>
      <c r="E7" s="64"/>
      <c r="F7" s="64"/>
      <c r="G7" s="64"/>
      <c r="H7" s="64"/>
      <c r="I7" s="64"/>
      <c r="J7" s="64"/>
      <c r="K7" s="64" t="s">
        <v>94</v>
      </c>
      <c r="L7" s="64"/>
    </row>
    <row r="8" spans="1:12" x14ac:dyDescent="0.15">
      <c r="A8" s="65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1:12" x14ac:dyDescent="0.15">
      <c r="A9" s="66" t="s">
        <v>58</v>
      </c>
      <c r="B9" s="64"/>
      <c r="C9" s="64" t="s">
        <v>95</v>
      </c>
      <c r="D9" s="64">
        <v>190</v>
      </c>
      <c r="E9" s="64"/>
      <c r="F9" s="64"/>
      <c r="G9" s="64"/>
      <c r="H9" s="64"/>
      <c r="I9" s="64"/>
      <c r="J9" s="64"/>
      <c r="K9" s="64" t="s">
        <v>96</v>
      </c>
      <c r="L9" s="64"/>
    </row>
    <row r="10" spans="1:12" x14ac:dyDescent="0.15">
      <c r="A10" s="66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</row>
    <row r="11" spans="1:12" x14ac:dyDescent="0.15">
      <c r="A11" s="66" t="s">
        <v>59</v>
      </c>
      <c r="B11" s="64"/>
      <c r="C11" s="64" t="s">
        <v>95</v>
      </c>
      <c r="D11" s="64">
        <v>700</v>
      </c>
      <c r="E11" s="64"/>
      <c r="F11" s="64"/>
      <c r="G11" s="64"/>
      <c r="H11" s="64"/>
      <c r="I11" s="64"/>
      <c r="J11" s="64"/>
      <c r="K11" s="64" t="s">
        <v>97</v>
      </c>
      <c r="L11" s="64"/>
    </row>
    <row r="12" spans="1:12" x14ac:dyDescent="0.15">
      <c r="A12" s="66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</row>
    <row r="13" spans="1:12" x14ac:dyDescent="0.15">
      <c r="A13" s="66" t="s">
        <v>60</v>
      </c>
      <c r="B13" s="64"/>
      <c r="C13" s="64" t="s">
        <v>98</v>
      </c>
      <c r="D13" s="67">
        <v>0.8</v>
      </c>
      <c r="E13" s="64"/>
      <c r="F13" s="64"/>
      <c r="G13" s="64"/>
      <c r="H13" s="64"/>
      <c r="I13" s="64"/>
      <c r="J13" s="64"/>
      <c r="K13" s="64" t="s">
        <v>99</v>
      </c>
      <c r="L13" s="64"/>
    </row>
    <row r="14" spans="1:12" x14ac:dyDescent="0.15">
      <c r="A14" s="66"/>
      <c r="B14" s="64"/>
      <c r="C14" s="64"/>
      <c r="D14" s="67"/>
      <c r="E14" s="64"/>
      <c r="F14" s="64"/>
      <c r="G14" s="64"/>
      <c r="H14" s="64"/>
      <c r="I14" s="64"/>
      <c r="J14" s="64"/>
      <c r="K14" s="64"/>
      <c r="L14" s="64"/>
    </row>
    <row r="15" spans="1:12" x14ac:dyDescent="0.15">
      <c r="A15" s="66" t="s">
        <v>61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</row>
    <row r="16" spans="1:12" x14ac:dyDescent="0.15">
      <c r="A16" s="66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</row>
    <row r="17" spans="1:12" x14ac:dyDescent="0.15">
      <c r="A17" s="66" t="s">
        <v>62</v>
      </c>
      <c r="B17" s="64"/>
      <c r="C17" s="64" t="s">
        <v>100</v>
      </c>
      <c r="D17" s="68">
        <v>867</v>
      </c>
      <c r="E17" s="64" t="s">
        <v>101</v>
      </c>
      <c r="F17" s="64">
        <v>50</v>
      </c>
      <c r="G17" s="64" t="s">
        <v>102</v>
      </c>
      <c r="H17" s="64" t="s">
        <v>90</v>
      </c>
      <c r="I17" s="67">
        <v>0.05</v>
      </c>
      <c r="J17" s="64"/>
      <c r="K17" s="64" t="s">
        <v>103</v>
      </c>
      <c r="L17" s="64"/>
    </row>
    <row r="18" spans="1:12" x14ac:dyDescent="0.15">
      <c r="A18" s="66"/>
      <c r="B18" s="64"/>
      <c r="C18" s="64" t="s">
        <v>104</v>
      </c>
      <c r="D18" s="69">
        <v>3000</v>
      </c>
      <c r="E18" s="64" t="s">
        <v>105</v>
      </c>
      <c r="F18" s="64"/>
      <c r="G18" s="64"/>
      <c r="H18" s="64" t="s">
        <v>90</v>
      </c>
      <c r="I18" s="67">
        <v>0.05</v>
      </c>
      <c r="J18" s="64"/>
      <c r="K18" s="64" t="s">
        <v>106</v>
      </c>
      <c r="L18" s="64"/>
    </row>
    <row r="19" spans="1:12" x14ac:dyDescent="0.15">
      <c r="A19" s="66"/>
      <c r="B19" s="64"/>
      <c r="C19" s="64"/>
      <c r="D19" s="69"/>
      <c r="E19" s="64"/>
      <c r="F19" s="64"/>
      <c r="G19" s="64"/>
      <c r="H19" s="64"/>
      <c r="I19" s="67"/>
      <c r="J19" s="64"/>
      <c r="K19" s="64"/>
      <c r="L19" s="64"/>
    </row>
    <row r="20" spans="1:12" x14ac:dyDescent="0.15">
      <c r="A20" s="66" t="s">
        <v>63</v>
      </c>
      <c r="B20" s="64"/>
      <c r="C20" s="64" t="s">
        <v>107</v>
      </c>
      <c r="D20" s="70">
        <v>36590</v>
      </c>
      <c r="E20" s="64" t="s">
        <v>108</v>
      </c>
      <c r="F20" s="64"/>
      <c r="G20" s="64"/>
      <c r="H20" s="64"/>
      <c r="I20" s="64"/>
      <c r="J20" s="64"/>
      <c r="K20" s="64" t="s">
        <v>109</v>
      </c>
      <c r="L20" s="64"/>
    </row>
    <row r="21" spans="1:12" x14ac:dyDescent="0.15">
      <c r="A21" s="66"/>
      <c r="B21" s="64"/>
      <c r="C21" s="64" t="s">
        <v>110</v>
      </c>
      <c r="D21" s="70">
        <v>99600</v>
      </c>
      <c r="E21" s="64" t="s">
        <v>108</v>
      </c>
      <c r="F21" s="64"/>
      <c r="G21" s="64"/>
      <c r="H21" s="64"/>
      <c r="I21" s="64"/>
      <c r="J21" s="64"/>
      <c r="K21" s="64" t="s">
        <v>111</v>
      </c>
      <c r="L21" s="64"/>
    </row>
    <row r="22" spans="1:12" x14ac:dyDescent="0.15">
      <c r="A22" s="66"/>
      <c r="B22" s="64"/>
      <c r="C22" s="64" t="s">
        <v>112</v>
      </c>
      <c r="D22" s="70">
        <v>12946</v>
      </c>
      <c r="E22" s="64" t="s">
        <v>108</v>
      </c>
      <c r="F22" s="64"/>
      <c r="G22" s="64"/>
      <c r="H22" s="64"/>
      <c r="I22" s="64"/>
      <c r="J22" s="64"/>
      <c r="K22" s="64" t="s">
        <v>113</v>
      </c>
      <c r="L22" s="64"/>
    </row>
    <row r="23" spans="1:12" x14ac:dyDescent="0.15">
      <c r="A23" s="66"/>
      <c r="B23" s="64"/>
      <c r="C23" s="64"/>
      <c r="D23" s="70"/>
      <c r="E23" s="64"/>
      <c r="F23" s="64"/>
      <c r="G23" s="64"/>
      <c r="H23" s="64"/>
      <c r="I23" s="64"/>
      <c r="J23" s="64"/>
      <c r="K23" s="64"/>
      <c r="L23" s="64"/>
    </row>
    <row r="24" spans="1:12" x14ac:dyDescent="0.15">
      <c r="A24" s="71" t="s">
        <v>64</v>
      </c>
      <c r="B24" s="64"/>
      <c r="C24" s="64" t="s">
        <v>114</v>
      </c>
      <c r="D24" s="67">
        <v>0.11</v>
      </c>
      <c r="E24" s="64"/>
      <c r="F24" s="64"/>
      <c r="G24" s="64"/>
      <c r="H24" s="64"/>
      <c r="I24" s="64"/>
      <c r="J24" s="64"/>
      <c r="K24" s="64" t="s">
        <v>99</v>
      </c>
      <c r="L24" s="64"/>
    </row>
    <row r="25" spans="1:12" x14ac:dyDescent="0.15">
      <c r="A25" s="71"/>
      <c r="B25" s="64"/>
      <c r="C25" s="64"/>
      <c r="D25" s="67"/>
      <c r="E25" s="64"/>
      <c r="F25" s="64"/>
      <c r="G25" s="64"/>
      <c r="H25" s="64"/>
      <c r="I25" s="64"/>
      <c r="J25" s="64"/>
      <c r="K25" s="64"/>
      <c r="L25" s="64"/>
    </row>
    <row r="26" spans="1:12" x14ac:dyDescent="0.15">
      <c r="A26" s="66" t="s">
        <v>65</v>
      </c>
      <c r="B26" s="64"/>
      <c r="C26" s="64" t="s">
        <v>115</v>
      </c>
      <c r="D26" s="64" t="s">
        <v>116</v>
      </c>
      <c r="E26" s="67">
        <v>0.02</v>
      </c>
      <c r="F26" s="64" t="s">
        <v>117</v>
      </c>
      <c r="G26" s="67">
        <v>1</v>
      </c>
      <c r="H26" s="64" t="s">
        <v>118</v>
      </c>
      <c r="I26" s="67">
        <v>0</v>
      </c>
      <c r="J26" s="64"/>
      <c r="K26" s="64" t="s">
        <v>99</v>
      </c>
      <c r="L26" s="64"/>
    </row>
    <row r="27" spans="1:12" x14ac:dyDescent="0.15">
      <c r="A27" s="66"/>
      <c r="B27" s="64"/>
      <c r="C27" s="64"/>
      <c r="D27" s="64" t="s">
        <v>119</v>
      </c>
      <c r="E27" s="67">
        <v>0.04</v>
      </c>
      <c r="F27" s="64" t="s">
        <v>117</v>
      </c>
      <c r="G27" s="67">
        <v>0.5</v>
      </c>
      <c r="H27" s="64" t="s">
        <v>118</v>
      </c>
      <c r="I27" s="67">
        <v>0.5</v>
      </c>
      <c r="J27" s="64"/>
      <c r="K27" s="64" t="s">
        <v>99</v>
      </c>
      <c r="L27" s="64"/>
    </row>
    <row r="28" spans="1:12" x14ac:dyDescent="0.15">
      <c r="A28" s="66"/>
      <c r="B28" s="64"/>
      <c r="C28" s="64" t="s">
        <v>120</v>
      </c>
      <c r="D28" s="64" t="s">
        <v>121</v>
      </c>
      <c r="E28" s="64"/>
      <c r="F28" s="64"/>
      <c r="G28" s="64"/>
      <c r="H28" s="64">
        <v>1</v>
      </c>
      <c r="I28" s="64"/>
      <c r="J28" s="64"/>
      <c r="K28" s="64"/>
      <c r="L28" s="64"/>
    </row>
    <row r="29" spans="1:12" x14ac:dyDescent="0.15">
      <c r="A29" s="66"/>
      <c r="B29" s="64"/>
      <c r="C29" s="64"/>
      <c r="D29" s="64" t="s">
        <v>122</v>
      </c>
      <c r="E29" s="70">
        <v>520</v>
      </c>
      <c r="F29" s="64"/>
      <c r="G29" s="64"/>
      <c r="H29" s="64"/>
      <c r="I29" s="64"/>
      <c r="J29" s="64"/>
      <c r="K29" s="64" t="s">
        <v>123</v>
      </c>
      <c r="L29" s="64"/>
    </row>
    <row r="30" spans="1:12" x14ac:dyDescent="0.15">
      <c r="A30" s="66"/>
      <c r="B30" s="64"/>
      <c r="C30" s="64"/>
      <c r="D30" s="64"/>
      <c r="E30" s="70"/>
      <c r="F30" s="64"/>
      <c r="G30" s="64"/>
      <c r="H30" s="64"/>
      <c r="I30" s="64"/>
      <c r="J30" s="64"/>
      <c r="K30" s="64"/>
      <c r="L30" s="64"/>
    </row>
    <row r="31" spans="1:12" x14ac:dyDescent="0.15">
      <c r="A31" s="66" t="s">
        <v>66</v>
      </c>
      <c r="B31" s="64"/>
      <c r="C31" s="64" t="s">
        <v>124</v>
      </c>
      <c r="D31" s="64" t="s">
        <v>125</v>
      </c>
      <c r="E31" s="64">
        <v>2</v>
      </c>
      <c r="F31" s="64" t="s">
        <v>122</v>
      </c>
      <c r="G31" s="69">
        <v>11990</v>
      </c>
      <c r="H31" s="64" t="s">
        <v>126</v>
      </c>
      <c r="I31" s="69">
        <f>E31*G31</f>
        <v>23980</v>
      </c>
      <c r="J31" s="64"/>
      <c r="K31" s="64" t="s">
        <v>127</v>
      </c>
      <c r="L31" s="64"/>
    </row>
    <row r="32" spans="1:12" x14ac:dyDescent="0.15">
      <c r="A32" s="66"/>
      <c r="B32" s="64"/>
      <c r="C32" s="64"/>
      <c r="D32" s="64"/>
      <c r="E32" s="64"/>
      <c r="F32" s="64"/>
      <c r="G32" s="69"/>
      <c r="H32" s="64"/>
      <c r="I32" s="69"/>
      <c r="J32" s="64"/>
      <c r="K32" s="64"/>
      <c r="L32" s="64"/>
    </row>
    <row r="33" spans="1:12" x14ac:dyDescent="0.15">
      <c r="A33" s="66" t="s">
        <v>67</v>
      </c>
      <c r="B33" s="64"/>
      <c r="C33" s="64" t="s">
        <v>128</v>
      </c>
      <c r="D33" s="64" t="s">
        <v>125</v>
      </c>
      <c r="E33" s="64">
        <v>6</v>
      </c>
      <c r="F33" s="64" t="s">
        <v>122</v>
      </c>
      <c r="G33" s="69">
        <v>27999</v>
      </c>
      <c r="H33" s="64" t="s">
        <v>126</v>
      </c>
      <c r="I33" s="69">
        <f t="shared" ref="I33:I68" si="0">E33*G33</f>
        <v>167994</v>
      </c>
      <c r="J33" s="64"/>
      <c r="K33" s="64" t="s">
        <v>129</v>
      </c>
      <c r="L33" s="64"/>
    </row>
    <row r="34" spans="1:12" x14ac:dyDescent="0.15">
      <c r="A34" s="66"/>
      <c r="B34" s="64"/>
      <c r="C34" s="64" t="s">
        <v>130</v>
      </c>
      <c r="D34" s="64" t="s">
        <v>125</v>
      </c>
      <c r="E34" s="64">
        <v>3</v>
      </c>
      <c r="F34" s="64" t="s">
        <v>122</v>
      </c>
      <c r="G34" s="69">
        <v>4095</v>
      </c>
      <c r="H34" s="64" t="s">
        <v>126</v>
      </c>
      <c r="I34" s="69">
        <f t="shared" si="0"/>
        <v>12285</v>
      </c>
      <c r="J34" s="64"/>
      <c r="K34" s="64" t="s">
        <v>131</v>
      </c>
      <c r="L34" s="64"/>
    </row>
    <row r="35" spans="1:12" x14ac:dyDescent="0.15">
      <c r="A35" s="66"/>
      <c r="B35" s="64"/>
      <c r="C35" s="64" t="s">
        <v>132</v>
      </c>
      <c r="D35" s="64" t="s">
        <v>125</v>
      </c>
      <c r="E35" s="64">
        <v>3</v>
      </c>
      <c r="F35" s="64" t="s">
        <v>122</v>
      </c>
      <c r="G35" s="69">
        <v>105</v>
      </c>
      <c r="H35" s="64" t="s">
        <v>126</v>
      </c>
      <c r="I35" s="69">
        <f t="shared" si="0"/>
        <v>315</v>
      </c>
      <c r="J35" s="64"/>
      <c r="K35" s="64" t="s">
        <v>133</v>
      </c>
      <c r="L35" s="64"/>
    </row>
    <row r="36" spans="1:12" x14ac:dyDescent="0.15">
      <c r="A36" s="66"/>
      <c r="B36" s="64"/>
      <c r="C36" s="64" t="s">
        <v>134</v>
      </c>
      <c r="D36" s="64" t="s">
        <v>125</v>
      </c>
      <c r="E36" s="64">
        <v>3</v>
      </c>
      <c r="F36" s="64" t="s">
        <v>122</v>
      </c>
      <c r="G36" s="69">
        <v>224</v>
      </c>
      <c r="H36" s="64" t="s">
        <v>126</v>
      </c>
      <c r="I36" s="69">
        <f t="shared" si="0"/>
        <v>672</v>
      </c>
      <c r="J36" s="64"/>
      <c r="K36" s="64" t="s">
        <v>135</v>
      </c>
      <c r="L36" s="64"/>
    </row>
    <row r="37" spans="1:12" x14ac:dyDescent="0.15">
      <c r="A37" s="66"/>
      <c r="B37" s="64"/>
      <c r="C37" s="64" t="s">
        <v>136</v>
      </c>
      <c r="D37" s="64" t="s">
        <v>125</v>
      </c>
      <c r="E37" s="64">
        <v>3</v>
      </c>
      <c r="F37" s="64" t="s">
        <v>122</v>
      </c>
      <c r="G37" s="69">
        <v>450</v>
      </c>
      <c r="H37" s="64" t="s">
        <v>126</v>
      </c>
      <c r="I37" s="69">
        <f t="shared" si="0"/>
        <v>1350</v>
      </c>
      <c r="J37" s="64"/>
      <c r="K37" s="64" t="s">
        <v>137</v>
      </c>
      <c r="L37" s="64"/>
    </row>
    <row r="38" spans="1:12" x14ac:dyDescent="0.15">
      <c r="A38" s="66"/>
      <c r="B38" s="64"/>
      <c r="C38" s="64" t="s">
        <v>138</v>
      </c>
      <c r="D38" s="64" t="s">
        <v>125</v>
      </c>
      <c r="E38" s="64">
        <v>6</v>
      </c>
      <c r="F38" s="64" t="s">
        <v>122</v>
      </c>
      <c r="G38" s="69">
        <v>2199</v>
      </c>
      <c r="H38" s="64" t="s">
        <v>126</v>
      </c>
      <c r="I38" s="69">
        <f t="shared" si="0"/>
        <v>13194</v>
      </c>
      <c r="J38" s="64"/>
      <c r="K38" s="64" t="s">
        <v>139</v>
      </c>
      <c r="L38" s="64"/>
    </row>
    <row r="39" spans="1:12" x14ac:dyDescent="0.15">
      <c r="A39" s="66"/>
      <c r="B39" s="64"/>
      <c r="C39" s="64" t="s">
        <v>140</v>
      </c>
      <c r="D39" s="64" t="s">
        <v>125</v>
      </c>
      <c r="E39" s="64">
        <v>6</v>
      </c>
      <c r="F39" s="64" t="s">
        <v>122</v>
      </c>
      <c r="G39" s="69">
        <v>9749</v>
      </c>
      <c r="H39" s="64" t="s">
        <v>126</v>
      </c>
      <c r="I39" s="69">
        <f t="shared" si="0"/>
        <v>58494</v>
      </c>
      <c r="J39" s="64"/>
      <c r="K39" s="64" t="s">
        <v>141</v>
      </c>
      <c r="L39" s="64"/>
    </row>
    <row r="40" spans="1:12" x14ac:dyDescent="0.15">
      <c r="A40" s="66"/>
      <c r="B40" s="64"/>
      <c r="C40" s="64" t="s">
        <v>142</v>
      </c>
      <c r="D40" s="64" t="s">
        <v>125</v>
      </c>
      <c r="E40" s="64">
        <v>28</v>
      </c>
      <c r="F40" s="64" t="s">
        <v>122</v>
      </c>
      <c r="G40" s="69">
        <v>445</v>
      </c>
      <c r="H40" s="64" t="s">
        <v>126</v>
      </c>
      <c r="I40" s="69">
        <f t="shared" si="0"/>
        <v>12460</v>
      </c>
      <c r="J40" s="64"/>
      <c r="K40" s="64" t="s">
        <v>143</v>
      </c>
      <c r="L40" s="64"/>
    </row>
    <row r="41" spans="1:12" x14ac:dyDescent="0.15">
      <c r="A41" s="66"/>
      <c r="B41" s="64"/>
      <c r="C41" s="64" t="s">
        <v>144</v>
      </c>
      <c r="D41" s="64" t="s">
        <v>125</v>
      </c>
      <c r="E41" s="64">
        <v>1</v>
      </c>
      <c r="F41" s="64" t="s">
        <v>122</v>
      </c>
      <c r="G41" s="69">
        <v>16560</v>
      </c>
      <c r="H41" s="64" t="s">
        <v>126</v>
      </c>
      <c r="I41" s="69">
        <f t="shared" si="0"/>
        <v>16560</v>
      </c>
      <c r="J41" s="64"/>
      <c r="K41" s="64" t="s">
        <v>145</v>
      </c>
      <c r="L41" s="64"/>
    </row>
    <row r="42" spans="1:12" x14ac:dyDescent="0.15">
      <c r="A42" s="66"/>
      <c r="B42" s="64"/>
      <c r="C42" s="64" t="s">
        <v>146</v>
      </c>
      <c r="D42" s="64" t="s">
        <v>125</v>
      </c>
      <c r="E42" s="64">
        <v>3</v>
      </c>
      <c r="F42" s="64" t="s">
        <v>122</v>
      </c>
      <c r="G42" s="69">
        <v>749</v>
      </c>
      <c r="H42" s="64" t="s">
        <v>126</v>
      </c>
      <c r="I42" s="69">
        <f t="shared" si="0"/>
        <v>2247</v>
      </c>
      <c r="J42" s="64"/>
      <c r="K42" s="64" t="s">
        <v>147</v>
      </c>
      <c r="L42" s="64"/>
    </row>
    <row r="43" spans="1:12" x14ac:dyDescent="0.15">
      <c r="A43" s="66"/>
      <c r="B43" s="64"/>
      <c r="C43" s="64" t="s">
        <v>148</v>
      </c>
      <c r="D43" s="64" t="s">
        <v>125</v>
      </c>
      <c r="E43" s="64">
        <v>3</v>
      </c>
      <c r="F43" s="64" t="s">
        <v>122</v>
      </c>
      <c r="G43" s="69">
        <v>849</v>
      </c>
      <c r="H43" s="64" t="s">
        <v>126</v>
      </c>
      <c r="I43" s="69">
        <f t="shared" si="0"/>
        <v>2547</v>
      </c>
      <c r="J43" s="64"/>
      <c r="K43" s="64" t="s">
        <v>149</v>
      </c>
      <c r="L43" s="64"/>
    </row>
    <row r="44" spans="1:12" x14ac:dyDescent="0.15">
      <c r="A44" s="66"/>
      <c r="B44" s="64"/>
      <c r="C44" s="64" t="s">
        <v>150</v>
      </c>
      <c r="D44" s="64" t="s">
        <v>125</v>
      </c>
      <c r="E44" s="64">
        <v>7</v>
      </c>
      <c r="F44" s="64" t="s">
        <v>122</v>
      </c>
      <c r="G44" s="69">
        <v>23999</v>
      </c>
      <c r="H44" s="64" t="s">
        <v>126</v>
      </c>
      <c r="I44" s="69">
        <f t="shared" si="0"/>
        <v>167993</v>
      </c>
      <c r="J44" s="64"/>
      <c r="K44" s="64" t="s">
        <v>151</v>
      </c>
      <c r="L44" s="64"/>
    </row>
    <row r="45" spans="1:12" x14ac:dyDescent="0.15">
      <c r="A45" s="66"/>
      <c r="B45" s="64"/>
      <c r="C45" s="64" t="s">
        <v>152</v>
      </c>
      <c r="D45" s="64" t="s">
        <v>125</v>
      </c>
      <c r="E45" s="64">
        <v>3</v>
      </c>
      <c r="F45" s="64" t="s">
        <v>122</v>
      </c>
      <c r="G45" s="69">
        <v>19999</v>
      </c>
      <c r="H45" s="64" t="s">
        <v>126</v>
      </c>
      <c r="I45" s="69">
        <f t="shared" si="0"/>
        <v>59997</v>
      </c>
      <c r="J45" s="64"/>
      <c r="K45" s="64" t="s">
        <v>153</v>
      </c>
      <c r="L45" s="64"/>
    </row>
    <row r="46" spans="1:12" x14ac:dyDescent="0.15">
      <c r="A46" s="66"/>
      <c r="B46" s="64"/>
      <c r="C46" s="64" t="s">
        <v>154</v>
      </c>
      <c r="D46" s="64" t="s">
        <v>125</v>
      </c>
      <c r="E46" s="64">
        <v>3</v>
      </c>
      <c r="F46" s="64" t="s">
        <v>122</v>
      </c>
      <c r="G46" s="69">
        <v>4189</v>
      </c>
      <c r="H46" s="64" t="s">
        <v>126</v>
      </c>
      <c r="I46" s="69">
        <f t="shared" si="0"/>
        <v>12567</v>
      </c>
      <c r="J46" s="64"/>
      <c r="K46" s="64" t="s">
        <v>155</v>
      </c>
      <c r="L46" s="64"/>
    </row>
    <row r="47" spans="1:12" x14ac:dyDescent="0.15">
      <c r="A47" s="66"/>
      <c r="B47" s="64"/>
      <c r="C47" s="64" t="s">
        <v>156</v>
      </c>
      <c r="D47" s="64" t="s">
        <v>125</v>
      </c>
      <c r="E47" s="64">
        <v>3</v>
      </c>
      <c r="F47" s="64" t="s">
        <v>122</v>
      </c>
      <c r="G47" s="69">
        <v>989</v>
      </c>
      <c r="H47" s="64" t="s">
        <v>126</v>
      </c>
      <c r="I47" s="69">
        <f t="shared" si="0"/>
        <v>2967</v>
      </c>
      <c r="J47" s="64"/>
      <c r="K47" s="64" t="s">
        <v>157</v>
      </c>
      <c r="L47" s="64"/>
    </row>
    <row r="48" spans="1:12" x14ac:dyDescent="0.15">
      <c r="A48" s="66"/>
      <c r="B48" s="64"/>
      <c r="C48" s="64" t="s">
        <v>158</v>
      </c>
      <c r="D48" s="64" t="s">
        <v>125</v>
      </c>
      <c r="E48" s="64">
        <v>8</v>
      </c>
      <c r="F48" s="64" t="s">
        <v>122</v>
      </c>
      <c r="G48" s="69">
        <v>7600</v>
      </c>
      <c r="H48" s="64" t="s">
        <v>126</v>
      </c>
      <c r="I48" s="69">
        <f t="shared" si="0"/>
        <v>60800</v>
      </c>
      <c r="J48" s="64"/>
      <c r="K48" s="64" t="s">
        <v>159</v>
      </c>
      <c r="L48" s="64"/>
    </row>
    <row r="49" spans="1:12" x14ac:dyDescent="0.15">
      <c r="A49" s="66"/>
      <c r="B49" s="64"/>
      <c r="C49" s="64" t="s">
        <v>160</v>
      </c>
      <c r="D49" s="64" t="s">
        <v>125</v>
      </c>
      <c r="E49" s="64">
        <v>5</v>
      </c>
      <c r="F49" s="64" t="s">
        <v>122</v>
      </c>
      <c r="G49" s="69">
        <v>2462</v>
      </c>
      <c r="H49" s="64" t="s">
        <v>126</v>
      </c>
      <c r="I49" s="69">
        <f t="shared" si="0"/>
        <v>12310</v>
      </c>
      <c r="J49" s="64"/>
      <c r="K49" s="64" t="s">
        <v>161</v>
      </c>
      <c r="L49" s="64"/>
    </row>
    <row r="50" spans="1:12" x14ac:dyDescent="0.15">
      <c r="A50" s="66"/>
      <c r="B50" s="64"/>
      <c r="C50" s="64" t="s">
        <v>162</v>
      </c>
      <c r="D50" s="64" t="s">
        <v>125</v>
      </c>
      <c r="E50" s="64">
        <v>2</v>
      </c>
      <c r="F50" s="64" t="s">
        <v>122</v>
      </c>
      <c r="G50" s="69">
        <v>330</v>
      </c>
      <c r="H50" s="64" t="s">
        <v>126</v>
      </c>
      <c r="I50" s="69">
        <f t="shared" si="0"/>
        <v>660</v>
      </c>
      <c r="J50" s="64"/>
      <c r="K50" s="64" t="s">
        <v>163</v>
      </c>
      <c r="L50" s="64"/>
    </row>
    <row r="51" spans="1:12" x14ac:dyDescent="0.15">
      <c r="A51" s="66"/>
      <c r="B51" s="64"/>
      <c r="C51" s="64" t="s">
        <v>164</v>
      </c>
      <c r="D51" s="64" t="s">
        <v>125</v>
      </c>
      <c r="E51" s="64">
        <v>2</v>
      </c>
      <c r="F51" s="64" t="s">
        <v>122</v>
      </c>
      <c r="G51" s="69">
        <v>159</v>
      </c>
      <c r="H51" s="64" t="s">
        <v>126</v>
      </c>
      <c r="I51" s="69">
        <f t="shared" si="0"/>
        <v>318</v>
      </c>
      <c r="J51" s="64"/>
      <c r="K51" s="64" t="s">
        <v>165</v>
      </c>
      <c r="L51" s="64"/>
    </row>
    <row r="52" spans="1:12" x14ac:dyDescent="0.15">
      <c r="A52" s="66"/>
      <c r="B52" s="64"/>
      <c r="C52" s="64" t="s">
        <v>166</v>
      </c>
      <c r="D52" s="64" t="s">
        <v>125</v>
      </c>
      <c r="E52" s="64">
        <v>1</v>
      </c>
      <c r="F52" s="64" t="s">
        <v>122</v>
      </c>
      <c r="G52" s="69">
        <v>6470</v>
      </c>
      <c r="H52" s="64" t="s">
        <v>126</v>
      </c>
      <c r="I52" s="69">
        <f t="shared" si="0"/>
        <v>6470</v>
      </c>
      <c r="J52" s="64"/>
      <c r="K52" s="64" t="s">
        <v>167</v>
      </c>
      <c r="L52" s="64"/>
    </row>
    <row r="53" spans="1:12" x14ac:dyDescent="0.15">
      <c r="A53" s="66"/>
      <c r="B53" s="64"/>
      <c r="C53" s="64" t="s">
        <v>168</v>
      </c>
      <c r="D53" s="64" t="s">
        <v>125</v>
      </c>
      <c r="E53" s="64">
        <v>1</v>
      </c>
      <c r="F53" s="64" t="s">
        <v>122</v>
      </c>
      <c r="G53" s="69">
        <v>215</v>
      </c>
      <c r="H53" s="64" t="s">
        <v>126</v>
      </c>
      <c r="I53" s="69">
        <f t="shared" si="0"/>
        <v>215</v>
      </c>
      <c r="J53" s="64"/>
      <c r="K53" s="64" t="s">
        <v>169</v>
      </c>
      <c r="L53" s="64"/>
    </row>
    <row r="54" spans="1:12" x14ac:dyDescent="0.15">
      <c r="A54" s="66"/>
      <c r="B54" s="64"/>
      <c r="C54" s="64" t="s">
        <v>170</v>
      </c>
      <c r="D54" s="64" t="s">
        <v>125</v>
      </c>
      <c r="E54" s="64">
        <v>1</v>
      </c>
      <c r="F54" s="64" t="s">
        <v>122</v>
      </c>
      <c r="G54" s="69">
        <v>449</v>
      </c>
      <c r="H54" s="64" t="s">
        <v>126</v>
      </c>
      <c r="I54" s="69">
        <f t="shared" si="0"/>
        <v>449</v>
      </c>
      <c r="J54" s="64"/>
      <c r="K54" s="64" t="s">
        <v>171</v>
      </c>
      <c r="L54" s="64"/>
    </row>
    <row r="55" spans="1:12" x14ac:dyDescent="0.15">
      <c r="A55" s="66"/>
      <c r="B55" s="64"/>
      <c r="C55" s="64" t="s">
        <v>172</v>
      </c>
      <c r="D55" s="64" t="s">
        <v>125</v>
      </c>
      <c r="E55" s="64">
        <v>2</v>
      </c>
      <c r="F55" s="64" t="s">
        <v>122</v>
      </c>
      <c r="G55" s="69">
        <v>516</v>
      </c>
      <c r="H55" s="64" t="s">
        <v>126</v>
      </c>
      <c r="I55" s="69">
        <f t="shared" si="0"/>
        <v>1032</v>
      </c>
      <c r="J55" s="64"/>
      <c r="K55" s="64" t="s">
        <v>173</v>
      </c>
      <c r="L55" s="64"/>
    </row>
    <row r="56" spans="1:12" x14ac:dyDescent="0.15">
      <c r="A56" s="66"/>
      <c r="B56" s="64"/>
      <c r="C56" s="64" t="s">
        <v>174</v>
      </c>
      <c r="D56" s="64" t="s">
        <v>125</v>
      </c>
      <c r="E56" s="64">
        <v>6</v>
      </c>
      <c r="F56" s="64" t="s">
        <v>122</v>
      </c>
      <c r="G56" s="69">
        <v>38</v>
      </c>
      <c r="H56" s="64" t="s">
        <v>126</v>
      </c>
      <c r="I56" s="69">
        <f t="shared" si="0"/>
        <v>228</v>
      </c>
      <c r="J56" s="64"/>
      <c r="K56" s="64" t="s">
        <v>175</v>
      </c>
      <c r="L56" s="64"/>
    </row>
    <row r="57" spans="1:12" x14ac:dyDescent="0.15">
      <c r="A57" s="66"/>
      <c r="B57" s="64"/>
      <c r="C57" s="64" t="s">
        <v>176</v>
      </c>
      <c r="D57" s="64" t="s">
        <v>125</v>
      </c>
      <c r="E57" s="64">
        <v>2</v>
      </c>
      <c r="F57" s="64" t="s">
        <v>122</v>
      </c>
      <c r="G57" s="69">
        <v>421</v>
      </c>
      <c r="H57" s="64" t="s">
        <v>126</v>
      </c>
      <c r="I57" s="69">
        <f t="shared" si="0"/>
        <v>842</v>
      </c>
      <c r="J57" s="64"/>
      <c r="K57" s="64" t="s">
        <v>177</v>
      </c>
      <c r="L57" s="64"/>
    </row>
    <row r="58" spans="1:12" x14ac:dyDescent="0.15">
      <c r="A58" s="66"/>
      <c r="B58" s="64"/>
      <c r="C58" s="64" t="s">
        <v>178</v>
      </c>
      <c r="D58" s="64" t="s">
        <v>125</v>
      </c>
      <c r="E58" s="64">
        <v>2</v>
      </c>
      <c r="F58" s="64" t="s">
        <v>122</v>
      </c>
      <c r="G58" s="69">
        <v>2080</v>
      </c>
      <c r="H58" s="64" t="s">
        <v>126</v>
      </c>
      <c r="I58" s="69">
        <f t="shared" si="0"/>
        <v>4160</v>
      </c>
      <c r="J58" s="64"/>
      <c r="K58" s="64" t="s">
        <v>179</v>
      </c>
      <c r="L58" s="64"/>
    </row>
    <row r="59" spans="1:12" x14ac:dyDescent="0.15">
      <c r="A59" s="66"/>
      <c r="B59" s="64"/>
      <c r="C59" s="64" t="s">
        <v>180</v>
      </c>
      <c r="D59" s="64" t="s">
        <v>125</v>
      </c>
      <c r="E59" s="64">
        <v>3</v>
      </c>
      <c r="F59" s="64" t="s">
        <v>122</v>
      </c>
      <c r="G59" s="69">
        <v>196</v>
      </c>
      <c r="H59" s="64" t="s">
        <v>126</v>
      </c>
      <c r="I59" s="69">
        <f t="shared" si="0"/>
        <v>588</v>
      </c>
      <c r="J59" s="64"/>
      <c r="K59" s="64" t="s">
        <v>181</v>
      </c>
      <c r="L59" s="64"/>
    </row>
    <row r="60" spans="1:12" x14ac:dyDescent="0.15">
      <c r="A60" s="66"/>
      <c r="B60" s="64"/>
      <c r="C60" s="64" t="s">
        <v>182</v>
      </c>
      <c r="D60" s="64" t="s">
        <v>125</v>
      </c>
      <c r="E60" s="64">
        <v>1</v>
      </c>
      <c r="F60" s="64" t="s">
        <v>122</v>
      </c>
      <c r="G60" s="69">
        <v>230</v>
      </c>
      <c r="H60" s="64" t="s">
        <v>126</v>
      </c>
      <c r="I60" s="69">
        <f t="shared" si="0"/>
        <v>230</v>
      </c>
      <c r="J60" s="64"/>
      <c r="K60" s="64" t="s">
        <v>183</v>
      </c>
      <c r="L60" s="64"/>
    </row>
    <row r="61" spans="1:12" x14ac:dyDescent="0.15">
      <c r="A61" s="66"/>
      <c r="B61" s="64"/>
      <c r="C61" s="64" t="s">
        <v>184</v>
      </c>
      <c r="D61" s="64" t="s">
        <v>125</v>
      </c>
      <c r="E61" s="64">
        <v>10</v>
      </c>
      <c r="F61" s="64" t="s">
        <v>122</v>
      </c>
      <c r="G61" s="69">
        <v>109</v>
      </c>
      <c r="H61" s="64" t="s">
        <v>126</v>
      </c>
      <c r="I61" s="69">
        <f t="shared" si="0"/>
        <v>1090</v>
      </c>
      <c r="J61" s="64"/>
      <c r="K61" s="64" t="s">
        <v>185</v>
      </c>
      <c r="L61" s="64"/>
    </row>
    <row r="62" spans="1:12" x14ac:dyDescent="0.15">
      <c r="A62" s="66"/>
      <c r="B62" s="64"/>
      <c r="C62" s="64" t="s">
        <v>186</v>
      </c>
      <c r="D62" s="64" t="s">
        <v>125</v>
      </c>
      <c r="E62" s="64">
        <v>14</v>
      </c>
      <c r="F62" s="64" t="s">
        <v>122</v>
      </c>
      <c r="G62" s="69">
        <v>47</v>
      </c>
      <c r="H62" s="64" t="s">
        <v>126</v>
      </c>
      <c r="I62" s="69">
        <f t="shared" si="0"/>
        <v>658</v>
      </c>
      <c r="J62" s="64"/>
      <c r="K62" s="64" t="s">
        <v>187</v>
      </c>
      <c r="L62" s="64"/>
    </row>
    <row r="63" spans="1:12" x14ac:dyDescent="0.15">
      <c r="A63" s="66"/>
      <c r="B63" s="64"/>
      <c r="C63" s="64" t="s">
        <v>188</v>
      </c>
      <c r="D63" s="64" t="s">
        <v>125</v>
      </c>
      <c r="E63" s="64">
        <v>1</v>
      </c>
      <c r="F63" s="64" t="s">
        <v>122</v>
      </c>
      <c r="G63" s="69">
        <v>16900</v>
      </c>
      <c r="H63" s="64" t="s">
        <v>126</v>
      </c>
      <c r="I63" s="69">
        <f t="shared" si="0"/>
        <v>16900</v>
      </c>
      <c r="J63" s="64"/>
      <c r="K63" s="64" t="s">
        <v>189</v>
      </c>
      <c r="L63" s="64"/>
    </row>
    <row r="64" spans="1:12" x14ac:dyDescent="0.15">
      <c r="A64" s="66"/>
      <c r="B64" s="64"/>
      <c r="C64" s="64" t="s">
        <v>190</v>
      </c>
      <c r="D64" s="64" t="s">
        <v>125</v>
      </c>
      <c r="E64" s="64">
        <v>10</v>
      </c>
      <c r="F64" s="64" t="s">
        <v>122</v>
      </c>
      <c r="G64" s="69">
        <v>1290</v>
      </c>
      <c r="H64" s="64" t="s">
        <v>126</v>
      </c>
      <c r="I64" s="69">
        <f t="shared" si="0"/>
        <v>12900</v>
      </c>
      <c r="J64" s="64"/>
      <c r="K64" s="64" t="s">
        <v>191</v>
      </c>
      <c r="L64" s="64"/>
    </row>
    <row r="65" spans="1:12" x14ac:dyDescent="0.15">
      <c r="A65" s="66"/>
      <c r="B65" s="64"/>
      <c r="C65" s="64" t="s">
        <v>192</v>
      </c>
      <c r="D65" s="64" t="s">
        <v>125</v>
      </c>
      <c r="E65" s="64">
        <v>1</v>
      </c>
      <c r="F65" s="64" t="s">
        <v>122</v>
      </c>
      <c r="G65" s="69">
        <v>10700</v>
      </c>
      <c r="H65" s="64" t="s">
        <v>126</v>
      </c>
      <c r="I65" s="69">
        <f t="shared" si="0"/>
        <v>10700</v>
      </c>
      <c r="J65" s="64"/>
      <c r="K65" s="64" t="s">
        <v>193</v>
      </c>
      <c r="L65" s="64"/>
    </row>
    <row r="66" spans="1:12" x14ac:dyDescent="0.15">
      <c r="A66" s="66"/>
      <c r="B66" s="64"/>
      <c r="C66" s="64" t="s">
        <v>194</v>
      </c>
      <c r="D66" s="64" t="s">
        <v>125</v>
      </c>
      <c r="E66" s="64">
        <v>1</v>
      </c>
      <c r="F66" s="64" t="s">
        <v>122</v>
      </c>
      <c r="G66" s="69">
        <v>2499</v>
      </c>
      <c r="H66" s="64" t="s">
        <v>126</v>
      </c>
      <c r="I66" s="69">
        <f t="shared" si="0"/>
        <v>2499</v>
      </c>
      <c r="J66" s="64"/>
      <c r="K66" s="64" t="s">
        <v>195</v>
      </c>
      <c r="L66" s="64"/>
    </row>
    <row r="67" spans="1:12" x14ac:dyDescent="0.15">
      <c r="A67" s="66"/>
      <c r="B67" s="64"/>
      <c r="C67" s="64" t="s">
        <v>196</v>
      </c>
      <c r="D67" s="64" t="s">
        <v>125</v>
      </c>
      <c r="E67" s="64">
        <v>1</v>
      </c>
      <c r="F67" s="64" t="s">
        <v>122</v>
      </c>
      <c r="G67" s="69">
        <v>14985</v>
      </c>
      <c r="H67" s="64" t="s">
        <v>126</v>
      </c>
      <c r="I67" s="69">
        <f t="shared" si="0"/>
        <v>14985</v>
      </c>
      <c r="J67" s="64"/>
      <c r="K67" s="64" t="s">
        <v>197</v>
      </c>
      <c r="L67" s="64"/>
    </row>
    <row r="68" spans="1:12" x14ac:dyDescent="0.15">
      <c r="A68" s="66"/>
      <c r="B68" s="64"/>
      <c r="C68" s="64" t="s">
        <v>198</v>
      </c>
      <c r="D68" s="64" t="s">
        <v>125</v>
      </c>
      <c r="E68" s="64">
        <v>1</v>
      </c>
      <c r="F68" s="64" t="s">
        <v>122</v>
      </c>
      <c r="G68" s="69">
        <v>3699</v>
      </c>
      <c r="H68" s="64" t="s">
        <v>126</v>
      </c>
      <c r="I68" s="69">
        <f t="shared" si="0"/>
        <v>3699</v>
      </c>
      <c r="J68" s="64"/>
      <c r="K68" s="64" t="s">
        <v>199</v>
      </c>
      <c r="L68" s="64"/>
    </row>
    <row r="69" spans="1:12" x14ac:dyDescent="0.15">
      <c r="A69" s="66"/>
      <c r="B69" s="64"/>
      <c r="C69" s="64"/>
      <c r="D69" s="64"/>
      <c r="E69" s="64"/>
      <c r="F69" s="64"/>
      <c r="G69" s="69"/>
      <c r="H69" s="64"/>
      <c r="I69" s="69"/>
      <c r="J69" s="64"/>
      <c r="K69" s="64"/>
      <c r="L69" s="64"/>
    </row>
    <row r="70" spans="1:12" x14ac:dyDescent="0.15">
      <c r="A70" s="66" t="s">
        <v>68</v>
      </c>
      <c r="B70" s="64"/>
      <c r="C70" s="64" t="s">
        <v>200</v>
      </c>
      <c r="D70" s="64">
        <v>0</v>
      </c>
      <c r="E70" s="64"/>
      <c r="F70" s="64"/>
      <c r="G70" s="64"/>
      <c r="H70" s="64"/>
      <c r="I70" s="69"/>
      <c r="J70" s="64"/>
      <c r="K70" s="64" t="s">
        <v>99</v>
      </c>
      <c r="L70" s="64"/>
    </row>
    <row r="71" spans="1:12" x14ac:dyDescent="0.15">
      <c r="A71" s="66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</row>
    <row r="72" spans="1:12" x14ac:dyDescent="0.15">
      <c r="A72" s="65" t="s">
        <v>70</v>
      </c>
      <c r="B72" s="64"/>
      <c r="C72" s="64"/>
      <c r="D72" s="64" t="s">
        <v>201</v>
      </c>
      <c r="E72" s="64" t="s">
        <v>202</v>
      </c>
      <c r="F72" s="64"/>
      <c r="G72" s="64"/>
      <c r="H72" s="64"/>
      <c r="I72" s="64"/>
      <c r="J72" s="64"/>
      <c r="K72" s="64"/>
      <c r="L72" s="64"/>
    </row>
    <row r="73" spans="1:12" x14ac:dyDescent="0.15">
      <c r="A73" s="66" t="s">
        <v>71</v>
      </c>
      <c r="B73" s="64"/>
      <c r="C73" s="64"/>
      <c r="D73" s="72">
        <v>150000</v>
      </c>
      <c r="E73" s="72"/>
      <c r="F73" s="64"/>
      <c r="G73" s="64"/>
      <c r="H73" s="64"/>
      <c r="I73" s="64"/>
      <c r="J73" s="64"/>
      <c r="K73" s="64" t="s">
        <v>99</v>
      </c>
      <c r="L73" s="64"/>
    </row>
    <row r="74" spans="1:12" x14ac:dyDescent="0.15">
      <c r="A74" s="66" t="s">
        <v>72</v>
      </c>
      <c r="B74" s="64"/>
      <c r="C74" s="64"/>
      <c r="D74" s="72">
        <v>100000</v>
      </c>
      <c r="E74" s="72"/>
      <c r="F74" s="64"/>
      <c r="G74" s="64"/>
      <c r="H74" s="64"/>
      <c r="I74" s="64"/>
      <c r="J74" s="64"/>
      <c r="K74" s="64" t="s">
        <v>99</v>
      </c>
      <c r="L74" s="64"/>
    </row>
    <row r="75" spans="1:12" x14ac:dyDescent="0.15">
      <c r="A75" s="66" t="s">
        <v>73</v>
      </c>
      <c r="B75" s="64"/>
      <c r="C75" s="64"/>
      <c r="D75" s="72">
        <v>1000000</v>
      </c>
      <c r="E75" s="72"/>
      <c r="F75" s="64"/>
      <c r="G75" s="64"/>
      <c r="H75" s="64"/>
      <c r="I75" s="64"/>
      <c r="J75" s="64"/>
      <c r="K75" s="64" t="s">
        <v>99</v>
      </c>
      <c r="L75" s="64"/>
    </row>
    <row r="76" spans="1:12" x14ac:dyDescent="0.15">
      <c r="A76" s="71" t="s">
        <v>74</v>
      </c>
      <c r="B76" s="64"/>
      <c r="C76" s="64"/>
      <c r="D76" s="72"/>
      <c r="E76" s="72">
        <v>150000</v>
      </c>
      <c r="F76" s="64"/>
      <c r="G76" s="64"/>
      <c r="H76" s="64"/>
      <c r="I76" s="64"/>
      <c r="J76" s="64"/>
      <c r="K76" s="64" t="s">
        <v>99</v>
      </c>
      <c r="L76" s="64"/>
    </row>
    <row r="77" spans="1:12" x14ac:dyDescent="0.15">
      <c r="A77" s="71" t="s">
        <v>75</v>
      </c>
      <c r="B77" s="64"/>
      <c r="C77" s="64"/>
      <c r="D77" s="72">
        <v>0</v>
      </c>
      <c r="E77" s="72"/>
      <c r="F77" s="64"/>
      <c r="G77" s="64"/>
      <c r="H77" s="64"/>
      <c r="I77" s="64"/>
      <c r="J77" s="64"/>
      <c r="K77" s="64" t="s">
        <v>99</v>
      </c>
      <c r="L77" s="64"/>
    </row>
    <row r="78" spans="1:12" x14ac:dyDescent="0.15">
      <c r="A78" s="71" t="s">
        <v>76</v>
      </c>
      <c r="B78" s="64"/>
      <c r="C78" s="64"/>
      <c r="D78" s="72">
        <v>0</v>
      </c>
      <c r="E78" s="72"/>
      <c r="F78" s="64"/>
      <c r="G78" s="64"/>
      <c r="H78" s="64"/>
      <c r="I78" s="64"/>
      <c r="J78" s="64"/>
      <c r="K78" s="64" t="s">
        <v>99</v>
      </c>
      <c r="L78" s="64"/>
    </row>
    <row r="79" spans="1:12" x14ac:dyDescent="0.15">
      <c r="A79" s="66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</row>
    <row r="80" spans="1:12" x14ac:dyDescent="0.15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</row>
    <row r="81" spans="1:12" x14ac:dyDescent="0.15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</row>
    <row r="82" spans="1:12" x14ac:dyDescent="0.15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</row>
    <row r="83" spans="1:12" x14ac:dyDescent="0.15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</row>
    <row r="84" spans="1:12" x14ac:dyDescent="0.15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</row>
    <row r="85" spans="1:12" x14ac:dyDescent="0.15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</row>
    <row r="86" spans="1:12" x14ac:dyDescent="0.15">
      <c r="A86" s="73" t="s">
        <v>203</v>
      </c>
      <c r="B86" s="74">
        <f>('E-Inv AF y Am Datos y links'!D17*'E-Inv AF y Am Datos y links'!F17*'E-Inv AF y Am Datos y links'!I17+'E-Inv AF y Am Datos y links'!D18*InfoInicial!B32*'E-Inv AF y Am Datos y links'!I18)*1.11</f>
        <v>9065.9250000000011</v>
      </c>
    </row>
  </sheetData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L143"/>
  <sheetViews>
    <sheetView zoomScale="90" zoomScaleNormal="90" workbookViewId="0">
      <selection activeCell="D12" sqref="D12"/>
    </sheetView>
  </sheetViews>
  <sheetFormatPr baseColWidth="10" defaultColWidth="8.83203125" defaultRowHeight="13" x14ac:dyDescent="0.15"/>
  <cols>
    <col min="1" max="1" width="40.83203125" customWidth="1"/>
    <col min="2" max="2" width="37.5" customWidth="1"/>
    <col min="3" max="6" width="16.5" customWidth="1"/>
    <col min="7" max="7" width="17.33203125" customWidth="1"/>
    <col min="8" max="8" width="11.33203125" customWidth="1"/>
    <col min="9" max="9" width="21.83203125" customWidth="1"/>
    <col min="10" max="11" width="14.6640625" customWidth="1"/>
    <col min="12" max="12" width="12.1640625" customWidth="1"/>
    <col min="13" max="1025" width="11.33203125" customWidth="1"/>
  </cols>
  <sheetData>
    <row r="3" spans="1:7" x14ac:dyDescent="0.15">
      <c r="A3" s="1" t="s">
        <v>0</v>
      </c>
      <c r="E3" s="2">
        <f>InfoInicial!E1</f>
        <v>14</v>
      </c>
    </row>
    <row r="4" spans="1:7" ht="16" x14ac:dyDescent="0.2">
      <c r="A4" s="75" t="s">
        <v>204</v>
      </c>
      <c r="B4" s="76"/>
      <c r="C4" s="76"/>
      <c r="D4" s="76"/>
      <c r="E4" s="76"/>
      <c r="F4" s="77"/>
    </row>
    <row r="5" spans="1:7" x14ac:dyDescent="0.15">
      <c r="A5" s="78"/>
      <c r="B5" s="79" t="s">
        <v>205</v>
      </c>
      <c r="C5" s="79"/>
      <c r="D5" s="79"/>
      <c r="E5" s="79"/>
      <c r="F5" s="80"/>
    </row>
    <row r="6" spans="1:7" x14ac:dyDescent="0.15">
      <c r="A6" s="78" t="s">
        <v>206</v>
      </c>
      <c r="B6" s="22" t="s">
        <v>56</v>
      </c>
      <c r="C6" s="22" t="s">
        <v>207</v>
      </c>
      <c r="D6" s="22" t="s">
        <v>208</v>
      </c>
      <c r="E6" s="22" t="s">
        <v>209</v>
      </c>
      <c r="F6" s="23" t="s">
        <v>210</v>
      </c>
    </row>
    <row r="7" spans="1:7" x14ac:dyDescent="0.15">
      <c r="A7" s="24" t="s">
        <v>211</v>
      </c>
      <c r="B7" s="81">
        <f>'E-Costos Datos y links'!B209*'E-InvAT Datos y links'!D12</f>
        <v>11498916</v>
      </c>
      <c r="C7" s="81">
        <f>'E-Costos Datos y links'!$B$210*'E-InvAT Datos y links'!$D$12</f>
        <v>17160000</v>
      </c>
      <c r="D7" s="81">
        <f>'E-Costos Datos y links'!$B$210*'E-InvAT Datos y links'!$D$12</f>
        <v>17160000</v>
      </c>
      <c r="E7" s="81">
        <f>'E-Costos Datos y links'!$B$210*'E-InvAT Datos y links'!$D$12</f>
        <v>17160000</v>
      </c>
      <c r="F7" s="81">
        <f>'E-Costos Datos y links'!$B$210*'E-InvAT Datos y links'!$D$12</f>
        <v>17160000</v>
      </c>
    </row>
    <row r="8" spans="1:7" x14ac:dyDescent="0.15">
      <c r="A8" s="28" t="s">
        <v>212</v>
      </c>
      <c r="B8" s="82">
        <f>'E-Costos Datos y links'!F17</f>
        <v>3747743.9999999995</v>
      </c>
      <c r="C8" s="82">
        <f>'E-Costos Datos y links'!F16</f>
        <v>5353920</v>
      </c>
      <c r="D8" s="82">
        <f>'E-Costos Datos y links'!F16</f>
        <v>5353920</v>
      </c>
      <c r="E8" s="82">
        <f>'E-Costos Datos y links'!F16</f>
        <v>5353920</v>
      </c>
      <c r="F8" s="83">
        <f>'E-Costos Datos y links'!F16</f>
        <v>5353920</v>
      </c>
    </row>
    <row r="9" spans="1:7" x14ac:dyDescent="0.15">
      <c r="A9" s="28" t="s">
        <v>213</v>
      </c>
      <c r="B9" s="82"/>
      <c r="C9" s="82"/>
      <c r="D9" s="82"/>
      <c r="E9" s="82"/>
      <c r="F9" s="52"/>
    </row>
    <row r="10" spans="1:7" x14ac:dyDescent="0.15">
      <c r="A10" s="28" t="s">
        <v>214</v>
      </c>
      <c r="B10" s="82">
        <f>0.9*('E-Inv AF y Am'!D56-'E-Inv AF y Am'!D50)+'E-Inv AF y Am'!D50</f>
        <v>2264212.8706335002</v>
      </c>
      <c r="C10" s="82">
        <f>0.9*('E-Inv AF y Am'!D56-'E-Inv AF y Am'!D50)+'E-Inv AF y Am'!D50</f>
        <v>2264212.8706335002</v>
      </c>
      <c r="D10" s="82">
        <f>0.9*('E-Inv AF y Am'!D56-'E-Inv AF y Am'!D50)+'E-Inv AF y Am'!D50</f>
        <v>2264212.8706335002</v>
      </c>
      <c r="E10" s="82">
        <f>0.9*'E-Inv AF y Am'!E56</f>
        <v>2261490.3706335002</v>
      </c>
      <c r="F10" s="83">
        <f>0.9*'E-Inv AF y Am'!E56</f>
        <v>2261490.3706335002</v>
      </c>
    </row>
    <row r="11" spans="1:7" x14ac:dyDescent="0.15">
      <c r="A11" s="28" t="s">
        <v>215</v>
      </c>
      <c r="B11" s="82">
        <f>'E-Costos Datos y links'!E21</f>
        <v>554400</v>
      </c>
      <c r="C11" s="82">
        <f>'E-Costos Datos y links'!E20</f>
        <v>792000</v>
      </c>
      <c r="D11" s="82">
        <f>'E-Costos Datos y links'!E20</f>
        <v>792000</v>
      </c>
      <c r="E11" s="82">
        <f>'E-Costos Datos y links'!E20</f>
        <v>792000</v>
      </c>
      <c r="F11" s="83">
        <f>'E-Costos Datos y links'!E20</f>
        <v>792000</v>
      </c>
    </row>
    <row r="12" spans="1:7" x14ac:dyDescent="0.15">
      <c r="A12" s="28" t="s">
        <v>216</v>
      </c>
      <c r="B12" s="82">
        <f>'E-Costos Datos y links'!F128</f>
        <v>418624.93111682701</v>
      </c>
      <c r="C12" s="82">
        <f>'E-Costos Datos y links'!G128</f>
        <v>465138.81235203001</v>
      </c>
      <c r="D12" s="82">
        <f>'E-Costos Datos y links'!G128</f>
        <v>465138.81235203001</v>
      </c>
      <c r="E12" s="82">
        <f>'E-Costos Datos y links'!H128</f>
        <v>469163.39299203001</v>
      </c>
      <c r="F12" s="83">
        <f>'E-Costos Datos y links'!H128</f>
        <v>469163.39299203001</v>
      </c>
      <c r="G12" s="64"/>
    </row>
    <row r="13" spans="1:7" x14ac:dyDescent="0.15">
      <c r="A13" s="28" t="s">
        <v>217</v>
      </c>
      <c r="B13" s="82">
        <f>'E-Costos Datos y links'!B60</f>
        <v>90666.620792999995</v>
      </c>
      <c r="C13" s="82">
        <f>'E-Costos Datos y links'!$C$54</f>
        <v>129523.74399000002</v>
      </c>
      <c r="D13" s="82">
        <f>'E-Costos Datos y links'!$C$54</f>
        <v>129523.74399000002</v>
      </c>
      <c r="E13" s="82">
        <f>'E-Costos Datos y links'!$C$54</f>
        <v>129523.74399000002</v>
      </c>
      <c r="F13" s="82">
        <f>'E-Costos Datos y links'!$C$54</f>
        <v>129523.74399000002</v>
      </c>
      <c r="G13" s="64"/>
    </row>
    <row r="14" spans="1:7" x14ac:dyDescent="0.15">
      <c r="A14" s="28" t="s">
        <v>218</v>
      </c>
      <c r="B14" s="82">
        <f>'E-Costos Datos y links'!G152</f>
        <v>16416.000000000004</v>
      </c>
      <c r="C14" s="82">
        <f>'E-Costos Datos y links'!F152</f>
        <v>17280.000000000004</v>
      </c>
      <c r="D14" s="82">
        <f>'E-Costos Datos y links'!F152</f>
        <v>17280.000000000004</v>
      </c>
      <c r="E14" s="82">
        <f>'E-Costos Datos y links'!F152</f>
        <v>17280.000000000004</v>
      </c>
      <c r="F14" s="83">
        <f>'E-Costos Datos y links'!F152</f>
        <v>17280.000000000004</v>
      </c>
      <c r="G14" s="64"/>
    </row>
    <row r="15" spans="1:7" x14ac:dyDescent="0.15">
      <c r="A15" s="28" t="s">
        <v>219</v>
      </c>
      <c r="B15" s="82">
        <f>'E-Costos Datos y links'!F176</f>
        <v>309987</v>
      </c>
      <c r="C15" s="82">
        <f>'E-Costos Datos y links'!G176</f>
        <v>309987</v>
      </c>
      <c r="D15" s="82">
        <f>'E-Costos Datos y links'!G176</f>
        <v>309987</v>
      </c>
      <c r="E15" s="82">
        <f>'E-Costos Datos y links'!G176</f>
        <v>309987</v>
      </c>
      <c r="F15" s="83">
        <f>'E-Costos Datos y links'!G176</f>
        <v>309987</v>
      </c>
      <c r="G15" s="64"/>
    </row>
    <row r="16" spans="1:7" x14ac:dyDescent="0.15">
      <c r="A16" s="28" t="s">
        <v>21</v>
      </c>
      <c r="B16" s="82">
        <f>'E-Costos Datos y links'!E190</f>
        <v>661533.85978901654</v>
      </c>
      <c r="C16" s="82">
        <f>'E-Costos Datos y links'!F190</f>
        <v>927222.18494414375</v>
      </c>
      <c r="D16" s="82">
        <f>'E-Costos Datos y links'!F190</f>
        <v>927222.18494414375</v>
      </c>
      <c r="E16" s="82">
        <f>'E-Costos Datos y links'!F190</f>
        <v>927222.18494414375</v>
      </c>
      <c r="F16" s="83">
        <f>'E-Costos Datos y links'!F190</f>
        <v>927222.18494414375</v>
      </c>
      <c r="G16" s="64"/>
    </row>
    <row r="17" spans="1:7" x14ac:dyDescent="0.15">
      <c r="A17" s="26" t="s">
        <v>220</v>
      </c>
      <c r="B17" s="84">
        <f>SUM(B7:B16)</f>
        <v>19562501.282332346</v>
      </c>
      <c r="C17" s="84">
        <f>SUM(C7:C16)</f>
        <v>27419284.611919679</v>
      </c>
      <c r="D17" s="84">
        <f>SUM(D7:D16)</f>
        <v>27419284.611919679</v>
      </c>
      <c r="E17" s="84">
        <f>SUM(E7:E16)</f>
        <v>27420586.692559678</v>
      </c>
      <c r="F17" s="84">
        <f>SUM(F7:F16)</f>
        <v>27420586.692559678</v>
      </c>
    </row>
    <row r="18" spans="1:7" x14ac:dyDescent="0.15">
      <c r="A18" s="85"/>
      <c r="B18" s="86"/>
      <c r="C18" s="86"/>
      <c r="D18" s="86"/>
      <c r="E18" s="86"/>
      <c r="F18" s="87"/>
    </row>
    <row r="19" spans="1:7" x14ac:dyDescent="0.15">
      <c r="A19" s="88" t="s">
        <v>221</v>
      </c>
      <c r="B19" s="89">
        <f>(B10+B11+B13*'E-Costos Datos y links'!$F$54+B15+0.5*B16)/B17</f>
        <v>0.17997355777119969</v>
      </c>
      <c r="C19" s="89">
        <f>(C10+C11+C13*'E-Costos Datos y links'!$F$54+C15+0.5*C16)/C17</f>
        <v>0.14287305278244097</v>
      </c>
      <c r="D19" s="89">
        <f>(D10+D11+D13*'E-Costos Datos y links'!$F$54+D15+0.5*D16)/D17</f>
        <v>0.14287305278244097</v>
      </c>
      <c r="E19" s="89">
        <f>(E10+E11+E13*'E-Costos Datos y links'!$F$54+E15+0.5*E16)/E17</f>
        <v>0.14276698166628959</v>
      </c>
      <c r="F19" s="89">
        <f>(F10+F11+F13*'E-Costos Datos y links'!$F$54+F15+0.5*F16)/F17</f>
        <v>0.14276698166628959</v>
      </c>
    </row>
    <row r="20" spans="1:7" x14ac:dyDescent="0.15">
      <c r="A20" s="41" t="s">
        <v>222</v>
      </c>
      <c r="B20" s="90">
        <f>(B7+B8+B12+B13*'E-Costos Datos y links'!$F$55+B14+0.5*B16)/B17</f>
        <v>0.82002644222880028</v>
      </c>
      <c r="C20" s="90">
        <f>(C7+C8+C12+C13*'E-Costos Datos y links'!$F$55+C14+0.5*C16)/C17</f>
        <v>0.85712694721755889</v>
      </c>
      <c r="D20" s="90">
        <f>(D7+D8+D12+D13*'E-Costos Datos y links'!$F$55+D14+0.5*D16)/D17</f>
        <v>0.85712694721755889</v>
      </c>
      <c r="E20" s="90">
        <f>(E7+E8+E12+E13*'E-Costos Datos y links'!$F$55+E14+0.5*E16)/E17</f>
        <v>0.85723301833371035</v>
      </c>
      <c r="F20" s="90">
        <f>(F7+F8+F12+F13*'E-Costos Datos y links'!$F$55+F14+0.5*F16)/F17</f>
        <v>0.85723301833371035</v>
      </c>
    </row>
    <row r="22" spans="1:7" x14ac:dyDescent="0.15">
      <c r="A22" s="91"/>
      <c r="B22" s="19" t="s">
        <v>223</v>
      </c>
      <c r="C22" s="19"/>
      <c r="D22" s="19"/>
      <c r="E22" s="19"/>
      <c r="F22" s="19"/>
      <c r="G22" s="20"/>
    </row>
    <row r="23" spans="1:7" x14ac:dyDescent="0.15">
      <c r="A23" s="78"/>
      <c r="B23" s="79" t="s">
        <v>224</v>
      </c>
      <c r="C23" s="79"/>
      <c r="D23" s="79"/>
      <c r="E23" s="79"/>
      <c r="F23" s="79"/>
      <c r="G23" s="80" t="s">
        <v>225</v>
      </c>
    </row>
    <row r="24" spans="1:7" x14ac:dyDescent="0.15">
      <c r="A24" s="78" t="s">
        <v>206</v>
      </c>
      <c r="B24" s="92" t="s">
        <v>56</v>
      </c>
      <c r="C24" s="92" t="s">
        <v>207</v>
      </c>
      <c r="D24" s="92" t="s">
        <v>208</v>
      </c>
      <c r="E24" s="92" t="s">
        <v>209</v>
      </c>
      <c r="F24" s="92" t="s">
        <v>210</v>
      </c>
      <c r="G24" s="93" t="s">
        <v>56</v>
      </c>
    </row>
    <row r="25" spans="1:7" x14ac:dyDescent="0.15">
      <c r="A25" s="24" t="s">
        <v>211</v>
      </c>
      <c r="B25" s="81">
        <f>'E-Costos Datos y links'!N110</f>
        <v>26532</v>
      </c>
      <c r="C25" s="81">
        <f>'E-Costos Datos y links'!N110</f>
        <v>26532</v>
      </c>
      <c r="D25" s="81">
        <f>'E-Costos Datos y links'!N110</f>
        <v>26532</v>
      </c>
      <c r="E25" s="81">
        <f>'E-Costos Datos y links'!N110</f>
        <v>26532</v>
      </c>
      <c r="F25" s="81">
        <f>'E-Costos Datos y links'!N110</f>
        <v>26532</v>
      </c>
      <c r="G25" s="94">
        <f>'E-Costos Datos y links'!N111</f>
        <v>399379.19999999885</v>
      </c>
    </row>
    <row r="26" spans="1:7" x14ac:dyDescent="0.15">
      <c r="A26" s="28" t="s">
        <v>212</v>
      </c>
      <c r="B26" s="82">
        <f>'E-Costos Datos y links'!I14</f>
        <v>3936.4161407999995</v>
      </c>
      <c r="C26" s="82">
        <f>'E-Costos Datos y links'!I14</f>
        <v>3936.4161407999995</v>
      </c>
      <c r="D26" s="82">
        <f>'E-Costos Datos y links'!I14</f>
        <v>3936.4161407999995</v>
      </c>
      <c r="E26" s="82">
        <f>'E-Costos Datos y links'!I14</f>
        <v>3936.4161407999995</v>
      </c>
      <c r="F26" s="82">
        <f>'E-Costos Datos y links'!I14</f>
        <v>3936.4161407999995</v>
      </c>
      <c r="G26" s="83">
        <f>'E-Costos Datos y links'!I15</f>
        <v>289030.08625919977</v>
      </c>
    </row>
    <row r="27" spans="1:7" x14ac:dyDescent="0.15">
      <c r="A27" s="28" t="s">
        <v>213</v>
      </c>
      <c r="B27" s="29"/>
      <c r="C27" s="29"/>
      <c r="D27" s="29"/>
      <c r="E27" s="29"/>
      <c r="F27" s="29"/>
      <c r="G27" s="52"/>
    </row>
    <row r="28" spans="1:7" x14ac:dyDescent="0.15">
      <c r="A28" s="28" t="s">
        <v>214</v>
      </c>
      <c r="B28" s="82">
        <f>'E-Costos Datos y links'!K40</f>
        <v>2579.8721035900303</v>
      </c>
      <c r="C28" s="82">
        <f>'E-Costos Datos y links'!K41</f>
        <v>1664.7398710045745</v>
      </c>
      <c r="D28" s="82">
        <f>'E-Costos Datos y links'!K41</f>
        <v>1664.7398710045745</v>
      </c>
      <c r="E28" s="82">
        <f>'E-Costos Datos y links'!K42</f>
        <v>1662.7381801045747</v>
      </c>
      <c r="F28" s="82">
        <f>'E-Costos Datos y links'!K42</f>
        <v>1662.7381801045747</v>
      </c>
      <c r="G28" s="83">
        <v>0</v>
      </c>
    </row>
    <row r="29" spans="1:7" x14ac:dyDescent="0.15">
      <c r="A29" s="28" t="s">
        <v>215</v>
      </c>
      <c r="B29" s="82">
        <f>'E-Costos Datos y links'!I22</f>
        <v>631.69020580213237</v>
      </c>
      <c r="C29" s="82">
        <f>'E-Costos Datos y links'!I23</f>
        <v>582.31008000000008</v>
      </c>
      <c r="D29" s="82">
        <f>'E-Costos Datos y links'!I23</f>
        <v>582.31008000000008</v>
      </c>
      <c r="E29" s="82">
        <f>'E-Costos Datos y links'!I23</f>
        <v>582.31008000000008</v>
      </c>
      <c r="F29" s="82">
        <f>'E-Costos Datos y links'!I23</f>
        <v>582.31008000000008</v>
      </c>
      <c r="G29" s="83">
        <v>0</v>
      </c>
    </row>
    <row r="30" spans="1:7" x14ac:dyDescent="0.15">
      <c r="A30" s="28" t="s">
        <v>216</v>
      </c>
      <c r="B30" s="82">
        <f>'E-Costos Datos y links'!N138</f>
        <v>344.94769306346018</v>
      </c>
      <c r="C30" s="82">
        <f>'E-Costos Datos y links'!N132</f>
        <v>344.94769306346018</v>
      </c>
      <c r="D30" s="82">
        <f>'E-Costos Datos y links'!N132</f>
        <v>344.94769306346018</v>
      </c>
      <c r="E30" s="82">
        <f>'E-Costos Datos y links'!N132</f>
        <v>344.94769306346018</v>
      </c>
      <c r="F30" s="82">
        <f>'E-Costos Datos y links'!N132</f>
        <v>344.94769306346018</v>
      </c>
      <c r="G30" s="83">
        <f>'E-Costos Datos y links'!N139</f>
        <v>115538.22919386644</v>
      </c>
    </row>
    <row r="31" spans="1:7" x14ac:dyDescent="0.15">
      <c r="A31" s="28" t="s">
        <v>226</v>
      </c>
      <c r="B31" s="82">
        <f>'E-Costos Datos y links'!N66</f>
        <v>95.231037531207619</v>
      </c>
      <c r="C31" s="82">
        <f>'E-Costos Datos y links'!$N$60</f>
        <v>95.231037531207619</v>
      </c>
      <c r="D31" s="82">
        <f>'E-Costos Datos y links'!$N$60</f>
        <v>95.231037531207619</v>
      </c>
      <c r="E31" s="82">
        <f>'E-Costos Datos y links'!$N$60</f>
        <v>95.231037531207619</v>
      </c>
      <c r="F31" s="82">
        <f>'E-Costos Datos y links'!$N$60</f>
        <v>95.231037531207619</v>
      </c>
      <c r="G31" s="83">
        <f>'E-Costos Datos y links'!N67</f>
        <v>45849.431430601588</v>
      </c>
    </row>
    <row r="32" spans="1:7" x14ac:dyDescent="0.15">
      <c r="A32" s="28" t="s">
        <v>227</v>
      </c>
      <c r="B32" s="82">
        <f>'E-Costos Datos y links'!N154</f>
        <v>12.704947200000003</v>
      </c>
      <c r="C32" s="82">
        <f>'E-Costos Datos y links'!N151</f>
        <v>12.704947200000003</v>
      </c>
      <c r="D32" s="82">
        <f>'E-Costos Datos y links'!N151</f>
        <v>12.704947200000003</v>
      </c>
      <c r="E32" s="82">
        <f>'E-Costos Datos y links'!N151</f>
        <v>12.704947200000003</v>
      </c>
      <c r="F32" s="82">
        <f>'E-Costos Datos y links'!N151</f>
        <v>12.704947200000003</v>
      </c>
      <c r="G32" s="83">
        <f>'E-Costos Datos y links'!N155</f>
        <v>5252.856652800001</v>
      </c>
    </row>
    <row r="33" spans="1:7" x14ac:dyDescent="0.15">
      <c r="A33" s="28" t="s">
        <v>228</v>
      </c>
      <c r="B33" s="82">
        <f>'E-Costos Datos y links'!N178</f>
        <v>353.20301555913716</v>
      </c>
      <c r="C33" s="82">
        <f>'E-Costos Datos y links'!N173</f>
        <v>227.91484188000001</v>
      </c>
      <c r="D33" s="82">
        <f>'E-Costos Datos y links'!N173</f>
        <v>227.91484188000001</v>
      </c>
      <c r="E33" s="82">
        <f>'E-Costos Datos y links'!N173</f>
        <v>227.91484188000001</v>
      </c>
      <c r="F33" s="82">
        <f>'E-Costos Datos y links'!N173</f>
        <v>227.91484188000001</v>
      </c>
      <c r="G33" s="83">
        <v>0</v>
      </c>
    </row>
    <row r="34" spans="1:7" x14ac:dyDescent="0.15">
      <c r="A34" s="28" t="s">
        <v>229</v>
      </c>
      <c r="B34" s="82">
        <f>InfoInicial!$B$15*SUM('E-Costos'!B25:B33)</f>
        <v>1207.012280024109</v>
      </c>
      <c r="C34" s="82">
        <f>InfoInicial!$B$15*SUM('E-Costos'!C25:C33)</f>
        <v>1168.8692614017737</v>
      </c>
      <c r="D34" s="82">
        <f>InfoInicial!$B$15*SUM('E-Costos'!D25:D33)</f>
        <v>1168.8692614017737</v>
      </c>
      <c r="E34" s="82">
        <f>InfoInicial!$B$15*SUM('E-Costos'!E25:E33)</f>
        <v>1168.7992022202739</v>
      </c>
      <c r="F34" s="82">
        <f>InfoInicial!$B$15*SUM('E-Costos'!F25:F33)</f>
        <v>1168.7992022202739</v>
      </c>
      <c r="G34" s="82">
        <v>0</v>
      </c>
    </row>
    <row r="35" spans="1:7" x14ac:dyDescent="0.15">
      <c r="A35" s="41" t="s">
        <v>230</v>
      </c>
      <c r="B35" s="95">
        <f t="shared" ref="B35:G35" si="0">SUM(B25:B34)</f>
        <v>35693.077423570074</v>
      </c>
      <c r="C35" s="95">
        <f t="shared" si="0"/>
        <v>34565.133872881015</v>
      </c>
      <c r="D35" s="95">
        <f t="shared" si="0"/>
        <v>34565.133872881015</v>
      </c>
      <c r="E35" s="95">
        <f t="shared" si="0"/>
        <v>34563.062122799522</v>
      </c>
      <c r="F35" s="95">
        <f t="shared" si="0"/>
        <v>34563.062122799522</v>
      </c>
      <c r="G35" s="95">
        <f t="shared" si="0"/>
        <v>855049.80353646667</v>
      </c>
    </row>
    <row r="36" spans="1:7" x14ac:dyDescent="0.15">
      <c r="A36" s="13"/>
      <c r="B36" s="96"/>
      <c r="C36" s="96"/>
      <c r="D36" s="96"/>
      <c r="E36" s="96"/>
      <c r="F36" s="96"/>
      <c r="G36" s="96"/>
    </row>
    <row r="37" spans="1:7" x14ac:dyDescent="0.15">
      <c r="A37" s="43"/>
      <c r="B37" s="97" t="s">
        <v>231</v>
      </c>
      <c r="C37" s="97"/>
      <c r="D37" s="97"/>
      <c r="E37" s="97"/>
      <c r="F37" s="98"/>
    </row>
    <row r="38" spans="1:7" x14ac:dyDescent="0.15">
      <c r="A38" s="41"/>
      <c r="B38" s="92" t="s">
        <v>56</v>
      </c>
      <c r="C38" s="92" t="s">
        <v>207</v>
      </c>
      <c r="D38" s="92" t="s">
        <v>208</v>
      </c>
      <c r="E38" s="92" t="s">
        <v>209</v>
      </c>
      <c r="F38" s="23" t="s">
        <v>210</v>
      </c>
      <c r="G38" s="96"/>
    </row>
    <row r="39" spans="1:7" x14ac:dyDescent="0.15">
      <c r="A39" s="47" t="s">
        <v>220</v>
      </c>
      <c r="B39" s="81">
        <f>B17</f>
        <v>19562501.282332346</v>
      </c>
      <c r="C39" s="81">
        <f>C17</f>
        <v>27419284.611919679</v>
      </c>
      <c r="D39" s="81">
        <f>D17</f>
        <v>27419284.611919679</v>
      </c>
      <c r="E39" s="81">
        <f>E17</f>
        <v>27420586.692559678</v>
      </c>
      <c r="F39" s="81">
        <f>F17</f>
        <v>27420586.692559678</v>
      </c>
      <c r="G39" s="96"/>
    </row>
    <row r="40" spans="1:7" x14ac:dyDescent="0.15">
      <c r="A40" s="28" t="s">
        <v>232</v>
      </c>
      <c r="B40" s="82"/>
      <c r="C40" s="82"/>
      <c r="D40" s="82"/>
      <c r="E40" s="82"/>
      <c r="F40" s="52"/>
      <c r="G40" s="96"/>
    </row>
    <row r="41" spans="1:7" x14ac:dyDescent="0.15">
      <c r="A41" s="28" t="s">
        <v>233</v>
      </c>
      <c r="B41" s="82">
        <f>G35</f>
        <v>855049.80353646667</v>
      </c>
      <c r="C41" s="82">
        <v>0</v>
      </c>
      <c r="D41" s="82">
        <v>0</v>
      </c>
      <c r="E41" s="82">
        <v>0</v>
      </c>
      <c r="F41" s="52">
        <v>0</v>
      </c>
      <c r="G41" s="96"/>
    </row>
    <row r="42" spans="1:7" x14ac:dyDescent="0.15">
      <c r="A42" s="28" t="s">
        <v>234</v>
      </c>
      <c r="B42" s="82">
        <f>B35</f>
        <v>35693.077423570074</v>
      </c>
      <c r="C42" s="82">
        <f>C35</f>
        <v>34565.133872881015</v>
      </c>
      <c r="D42" s="82">
        <f>D35</f>
        <v>34565.133872881015</v>
      </c>
      <c r="E42" s="82">
        <f>E35</f>
        <v>34563.062122799522</v>
      </c>
      <c r="F42" s="82">
        <f>F35</f>
        <v>34563.062122799522</v>
      </c>
      <c r="G42" s="96"/>
    </row>
    <row r="43" spans="1:7" x14ac:dyDescent="0.15">
      <c r="A43" s="26" t="s">
        <v>235</v>
      </c>
      <c r="B43" s="82">
        <f>B39-B41-B42</f>
        <v>18671758.40137231</v>
      </c>
      <c r="C43" s="82">
        <f>C39-C41-C42</f>
        <v>27384719.478046797</v>
      </c>
      <c r="D43" s="82">
        <f>D39-D41-D42</f>
        <v>27384719.478046797</v>
      </c>
      <c r="E43" s="82">
        <f>E39-E41-E42</f>
        <v>27386023.630436879</v>
      </c>
      <c r="F43" s="82">
        <f>F39-F41-F42</f>
        <v>27386023.630436879</v>
      </c>
      <c r="G43" s="96"/>
    </row>
    <row r="44" spans="1:7" x14ac:dyDescent="0.15">
      <c r="A44" s="88" t="s">
        <v>236</v>
      </c>
      <c r="B44" s="99">
        <f>B43/B101</f>
        <v>231.48721053027907</v>
      </c>
      <c r="C44" s="99">
        <f>C43/C101</f>
        <v>219.07775582437438</v>
      </c>
      <c r="D44" s="99">
        <f>D43/D101</f>
        <v>219.07775582437438</v>
      </c>
      <c r="E44" s="99">
        <f>E43/E101</f>
        <v>219.08818904349502</v>
      </c>
      <c r="F44" s="100">
        <f>F43/F101</f>
        <v>219.08818904349502</v>
      </c>
      <c r="G44" s="96"/>
    </row>
    <row r="45" spans="1:7" x14ac:dyDescent="0.15">
      <c r="A45" s="88"/>
      <c r="B45" s="99"/>
      <c r="C45" s="99"/>
      <c r="D45" s="99"/>
      <c r="E45" s="99"/>
      <c r="F45" s="100"/>
      <c r="G45" s="96"/>
    </row>
    <row r="46" spans="1:7" x14ac:dyDescent="0.15">
      <c r="A46" s="88" t="s">
        <v>221</v>
      </c>
      <c r="B46" s="101">
        <f>((B39*B19)-B41-B28-B29-B31*'E-Costos Datos y links'!$F$54-B33-(0.5*B34))/B43</f>
        <v>0.14253882076721183</v>
      </c>
      <c r="C46" s="101">
        <f>((C39*C19)-C41-C28-C29-C31*'E-Costos Datos y links'!$F$54-C33-(0.5*C34))/C43</f>
        <v>0.14293931496462006</v>
      </c>
      <c r="D46" s="101">
        <f>((D39*D19)-D41-D28-D29-D31*'E-Costos Datos y links'!$F$54-D33-(0.5*D34))/D43</f>
        <v>0.14293931496462006</v>
      </c>
      <c r="E46" s="101">
        <f>((E39*E19)-E41-E28-E29-E31*'E-Costos Datos y links'!$F$54-E33-(0.5*E34))/E43</f>
        <v>0.14283317038634963</v>
      </c>
      <c r="F46" s="101">
        <f>((F39*F19)-F41-F28-F29-F31*'E-Costos Datos y links'!$F$54-F33-(0.5*F34))/F43</f>
        <v>0.14283317038634963</v>
      </c>
      <c r="G46" s="96"/>
    </row>
    <row r="47" spans="1:7" x14ac:dyDescent="0.15">
      <c r="A47" s="41" t="s">
        <v>222</v>
      </c>
      <c r="B47" s="102">
        <f>((B39*B20)-B25-B26-B30-B31*'E-Costos Datos y links'!$F$55-B32-(0.5*B34))/B43</f>
        <v>0.8574611792327882</v>
      </c>
      <c r="C47" s="102">
        <f>((C39*C20)-C25-C26-C30-C31*'E-Costos Datos y links'!$F$55-C32-(0.5*C34))/C43</f>
        <v>0.85706068503538002</v>
      </c>
      <c r="D47" s="102">
        <f>((D39*D20)-D25-D26-D30-D31*'E-Costos Datos y links'!$F$55-D32-(0.5*D34))/D43</f>
        <v>0.85706068503538002</v>
      </c>
      <c r="E47" s="102">
        <f>((E39*E20)-E25-E26-E30-E31*'E-Costos Datos y links'!$F$55-E32-(0.5*E34))/E43</f>
        <v>0.85716682961365043</v>
      </c>
      <c r="F47" s="102">
        <f>((F39*F20)-F25-F26-F30-F31*'E-Costos Datos y links'!$F$55-F32-(0.5*F34))/F43</f>
        <v>0.85716682961365043</v>
      </c>
      <c r="G47" s="96"/>
    </row>
    <row r="50" spans="1:7" x14ac:dyDescent="0.15">
      <c r="A50" s="39"/>
      <c r="B50" s="19" t="s">
        <v>237</v>
      </c>
      <c r="C50" s="19"/>
      <c r="D50" s="19"/>
      <c r="E50" s="19"/>
      <c r="F50" s="20"/>
    </row>
    <row r="51" spans="1:7" x14ac:dyDescent="0.15">
      <c r="A51" s="103" t="s">
        <v>206</v>
      </c>
      <c r="B51" s="22" t="s">
        <v>56</v>
      </c>
      <c r="C51" s="22" t="s">
        <v>207</v>
      </c>
      <c r="D51" s="22" t="s">
        <v>208</v>
      </c>
      <c r="E51" s="22" t="s">
        <v>209</v>
      </c>
      <c r="F51" s="23" t="s">
        <v>210</v>
      </c>
    </row>
    <row r="52" spans="1:7" x14ac:dyDescent="0.15">
      <c r="A52" s="91" t="s">
        <v>238</v>
      </c>
      <c r="B52" s="104">
        <f>'E-Costos Datos y links'!E30</f>
        <v>2257416</v>
      </c>
      <c r="C52" s="104">
        <f>'E-Costos Datos y links'!$E$29</f>
        <v>3224880</v>
      </c>
      <c r="D52" s="104">
        <f>'E-Costos Datos y links'!$E$29</f>
        <v>3224880</v>
      </c>
      <c r="E52" s="104">
        <f>'E-Costos Datos y links'!$E$29</f>
        <v>3224880</v>
      </c>
      <c r="F52" s="104">
        <f>'E-Costos Datos y links'!$E$29</f>
        <v>3224880</v>
      </c>
    </row>
    <row r="53" spans="1:7" x14ac:dyDescent="0.15">
      <c r="A53" s="28" t="s">
        <v>239</v>
      </c>
      <c r="B53" s="82">
        <f>0.1*('E-Inv AF y Am'!D56-'E-Inv AF y Am'!D50)</f>
        <v>251276.7078481667</v>
      </c>
      <c r="C53" s="82">
        <f>0.1*('E-Inv AF y Am'!$D$56-'E-Inv AF y Am'!$D$50)</f>
        <v>251276.7078481667</v>
      </c>
      <c r="D53" s="82">
        <f>0.1*('E-Inv AF y Am'!$D$56-'E-Inv AF y Am'!$D$50)</f>
        <v>251276.7078481667</v>
      </c>
      <c r="E53" s="82">
        <f>0.1*('E-Inv AF y Am'!$D$56-'E-Inv AF y Am'!$D$50)</f>
        <v>251276.7078481667</v>
      </c>
      <c r="F53" s="82">
        <f>0.1*('E-Inv AF y Am'!$D$56-'E-Inv AF y Am'!$D$50)</f>
        <v>251276.7078481667</v>
      </c>
      <c r="G53" t="s">
        <v>240</v>
      </c>
    </row>
    <row r="54" spans="1:7" x14ac:dyDescent="0.15">
      <c r="A54" s="28" t="s">
        <v>216</v>
      </c>
      <c r="B54" s="82">
        <f>'E-Costos Datos y links'!C68</f>
        <v>88919.336526142491</v>
      </c>
      <c r="C54" s="82">
        <f>'E-Costos Datos y links'!$B$68</f>
        <v>98799.262806824991</v>
      </c>
      <c r="D54" s="82">
        <f>'E-Costos Datos y links'!$B$68</f>
        <v>98799.262806824991</v>
      </c>
      <c r="E54" s="82">
        <f>'E-Costos Datos y links'!$B$68</f>
        <v>98799.262806824991</v>
      </c>
      <c r="F54" s="82">
        <f>'E-Costos Datos y links'!$B$68</f>
        <v>98799.262806824991</v>
      </c>
    </row>
    <row r="55" spans="1:7" x14ac:dyDescent="0.15">
      <c r="A55" s="28" t="s">
        <v>241</v>
      </c>
      <c r="B55" s="82">
        <f>'E-Costos Datos y links'!B62</f>
        <v>5037.0344885000004</v>
      </c>
      <c r="C55" s="82">
        <f>'E-Costos Datos y links'!$C$56</f>
        <v>7195.7635550000014</v>
      </c>
      <c r="D55" s="82">
        <f>'E-Costos Datos y links'!$C$56</f>
        <v>7195.7635550000014</v>
      </c>
      <c r="E55" s="82">
        <f>'E-Costos Datos y links'!$C$56</f>
        <v>7195.7635550000014</v>
      </c>
      <c r="F55" s="82">
        <f>'E-Costos Datos y links'!$C$56</f>
        <v>7195.7635550000014</v>
      </c>
    </row>
    <row r="56" spans="1:7" x14ac:dyDescent="0.15">
      <c r="A56" s="28" t="s">
        <v>242</v>
      </c>
      <c r="B56" s="82">
        <v>0</v>
      </c>
      <c r="C56" s="82">
        <v>0</v>
      </c>
      <c r="D56" s="82">
        <v>0</v>
      </c>
      <c r="E56" s="82">
        <v>0</v>
      </c>
      <c r="F56" s="82">
        <v>0</v>
      </c>
    </row>
    <row r="57" spans="1:7" x14ac:dyDescent="0.15">
      <c r="A57" s="28" t="s">
        <v>243</v>
      </c>
      <c r="B57" s="82">
        <f>'E-Costos Datos y links'!B81</f>
        <v>105000</v>
      </c>
      <c r="C57" s="82">
        <f>'E-Costos Datos y links'!$B$81</f>
        <v>105000</v>
      </c>
      <c r="D57" s="82">
        <f>'E-Costos Datos y links'!$B$81</f>
        <v>105000</v>
      </c>
      <c r="E57" s="82">
        <f>'E-Costos Datos y links'!$B$81</f>
        <v>105000</v>
      </c>
      <c r="F57" s="82">
        <f>'E-Costos Datos y links'!$B$81</f>
        <v>105000</v>
      </c>
    </row>
    <row r="58" spans="1:7" x14ac:dyDescent="0.15">
      <c r="A58" s="28" t="s">
        <v>219</v>
      </c>
      <c r="B58" s="82">
        <f>'E-Costos Datos y links'!G80</f>
        <v>682500</v>
      </c>
      <c r="C58" s="82">
        <f>'E-Costos Datos y links'!$G$80</f>
        <v>682500</v>
      </c>
      <c r="D58" s="82">
        <f>'E-Costos Datos y links'!$G$80</f>
        <v>682500</v>
      </c>
      <c r="E58" s="82">
        <f>'E-Costos Datos y links'!$G$80</f>
        <v>682500</v>
      </c>
      <c r="F58" s="82">
        <f>'E-Costos Datos y links'!$G$80</f>
        <v>682500</v>
      </c>
    </row>
    <row r="59" spans="1:7" x14ac:dyDescent="0.15">
      <c r="A59" s="28" t="s">
        <v>21</v>
      </c>
      <c r="B59" s="82">
        <f>0.035*SUM(B52:B58)</f>
        <v>118655.21776019833</v>
      </c>
      <c r="C59" s="82">
        <f>0.035*SUM(C52:C58)</f>
        <v>152937.81069734975</v>
      </c>
      <c r="D59" s="82">
        <f>0.035*SUM(D52:D58)</f>
        <v>152937.81069734975</v>
      </c>
      <c r="E59" s="82">
        <f>0.035*SUM(E52:E58)</f>
        <v>152937.81069734975</v>
      </c>
      <c r="F59" s="82">
        <f>0.035*SUM(F52:F58)</f>
        <v>152937.81069734975</v>
      </c>
    </row>
    <row r="60" spans="1:7" x14ac:dyDescent="0.15">
      <c r="A60" s="28"/>
      <c r="B60" s="54"/>
      <c r="C60" s="54"/>
      <c r="D60" s="54"/>
      <c r="E60" s="54"/>
      <c r="F60" s="57"/>
    </row>
    <row r="61" spans="1:7" x14ac:dyDescent="0.15">
      <c r="A61" s="26" t="s">
        <v>244</v>
      </c>
      <c r="B61" s="82">
        <f>SUM(B52:B59)</f>
        <v>3508804.2966230074</v>
      </c>
      <c r="C61" s="82">
        <f>SUM(C52:C59)</f>
        <v>4522589.5449073417</v>
      </c>
      <c r="D61" s="82">
        <f>SUM(D52:D59)</f>
        <v>4522589.5449073417</v>
      </c>
      <c r="E61" s="82">
        <f>SUM(E52:E59)</f>
        <v>4522589.5449073417</v>
      </c>
      <c r="F61" s="82">
        <f>SUM(F52:F59)</f>
        <v>4522589.5449073417</v>
      </c>
    </row>
    <row r="62" spans="1:7" x14ac:dyDescent="0.15">
      <c r="A62" s="26"/>
      <c r="B62" s="105"/>
      <c r="C62" s="105"/>
      <c r="D62" s="105"/>
      <c r="E62" s="105"/>
      <c r="F62" s="106"/>
      <c r="G62" s="96"/>
    </row>
    <row r="63" spans="1:7" x14ac:dyDescent="0.15">
      <c r="A63" s="88" t="s">
        <v>221</v>
      </c>
      <c r="B63" s="107">
        <v>1</v>
      </c>
      <c r="C63" s="107">
        <v>1</v>
      </c>
      <c r="D63" s="107">
        <v>1</v>
      </c>
      <c r="E63" s="107">
        <v>1</v>
      </c>
      <c r="F63" s="107">
        <v>1</v>
      </c>
      <c r="G63" s="96"/>
    </row>
    <row r="64" spans="1:7" x14ac:dyDescent="0.15">
      <c r="A64" s="41" t="s">
        <v>222</v>
      </c>
      <c r="B64" s="102">
        <v>0</v>
      </c>
      <c r="C64" s="102">
        <v>0</v>
      </c>
      <c r="D64" s="102">
        <v>0</v>
      </c>
      <c r="E64" s="102">
        <v>0</v>
      </c>
      <c r="F64" s="102">
        <v>0</v>
      </c>
      <c r="G64" s="96"/>
    </row>
    <row r="67" spans="1:6" x14ac:dyDescent="0.15">
      <c r="A67" s="39"/>
      <c r="B67" s="19" t="s">
        <v>245</v>
      </c>
      <c r="C67" s="19"/>
      <c r="D67" s="19"/>
      <c r="E67" s="19"/>
      <c r="F67" s="20"/>
    </row>
    <row r="68" spans="1:6" x14ac:dyDescent="0.15">
      <c r="A68" s="103" t="s">
        <v>206</v>
      </c>
      <c r="B68" s="22" t="s">
        <v>56</v>
      </c>
      <c r="C68" s="22" t="s">
        <v>207</v>
      </c>
      <c r="D68" s="22" t="s">
        <v>208</v>
      </c>
      <c r="E68" s="22" t="s">
        <v>209</v>
      </c>
      <c r="F68" s="23" t="s">
        <v>210</v>
      </c>
    </row>
    <row r="69" spans="1:6" x14ac:dyDescent="0.15">
      <c r="A69" s="24" t="s">
        <v>238</v>
      </c>
      <c r="B69" s="81">
        <f>'E-Costos Datos y links'!E38</f>
        <v>887040</v>
      </c>
      <c r="C69" s="81">
        <f>'E-Costos Datos y links'!$E$37</f>
        <v>1267200</v>
      </c>
      <c r="D69" s="81">
        <f>'E-Costos Datos y links'!$E$37</f>
        <v>1267200</v>
      </c>
      <c r="E69" s="81">
        <f>'E-Costos Datos y links'!$E$37</f>
        <v>1267200</v>
      </c>
      <c r="F69" s="81">
        <f>'E-Costos Datos y links'!$E$37</f>
        <v>1267200</v>
      </c>
    </row>
    <row r="70" spans="1:6" x14ac:dyDescent="0.15">
      <c r="A70" s="28" t="s">
        <v>239</v>
      </c>
      <c r="B70" s="82">
        <f>0.1*('E-Inv AF y Am'!D56-'E-Inv AF y Am'!D50)</f>
        <v>251276.7078481667</v>
      </c>
      <c r="C70" s="82">
        <f>0.1*('E-Inv AF y Am'!$D$56-'E-Inv AF y Am'!$D$50)</f>
        <v>251276.7078481667</v>
      </c>
      <c r="D70" s="82">
        <f>0.1*('E-Inv AF y Am'!$D$56-'E-Inv AF y Am'!$D$50)</f>
        <v>251276.7078481667</v>
      </c>
      <c r="E70" s="82">
        <f>0.1*('E-Inv AF y Am'!$D$56-'E-Inv AF y Am'!$D$50)</f>
        <v>251276.7078481667</v>
      </c>
      <c r="F70" s="82">
        <f>0.1*('E-Inv AF y Am'!$D$56-'E-Inv AF y Am'!$D$50)</f>
        <v>251276.7078481667</v>
      </c>
    </row>
    <row r="71" spans="1:6" x14ac:dyDescent="0.15">
      <c r="A71" s="28" t="s">
        <v>216</v>
      </c>
      <c r="B71" s="82">
        <f>'E-Costos Datos y links'!C74</f>
        <v>45963.222394606877</v>
      </c>
      <c r="C71" s="82">
        <f>'E-Costos Datos y links'!$B$74</f>
        <v>51070.247105118746</v>
      </c>
      <c r="D71" s="82">
        <f>'E-Costos Datos y links'!$B$74</f>
        <v>51070.247105118746</v>
      </c>
      <c r="E71" s="82">
        <f>'E-Costos Datos y links'!$B$74</f>
        <v>51070.247105118746</v>
      </c>
      <c r="F71" s="82">
        <f>'E-Costos Datos y links'!$B$74</f>
        <v>51070.247105118746</v>
      </c>
    </row>
    <row r="72" spans="1:6" x14ac:dyDescent="0.15">
      <c r="A72" s="28" t="s">
        <v>246</v>
      </c>
      <c r="B72" s="82">
        <f>'E-Costos Datos y links'!B61</f>
        <v>5037.0344885000004</v>
      </c>
      <c r="C72" s="82">
        <f>'E-Costos Datos y links'!$C$55</f>
        <v>7195.7635550000014</v>
      </c>
      <c r="D72" s="82">
        <f>'E-Costos Datos y links'!$C$55</f>
        <v>7195.7635550000014</v>
      </c>
      <c r="E72" s="82">
        <f>'E-Costos Datos y links'!$C$55</f>
        <v>7195.7635550000014</v>
      </c>
      <c r="F72" s="82">
        <f>'E-Costos Datos y links'!$C$55</f>
        <v>7195.7635550000014</v>
      </c>
    </row>
    <row r="73" spans="1:6" x14ac:dyDescent="0.15">
      <c r="A73" s="28" t="s">
        <v>242</v>
      </c>
      <c r="B73" s="82">
        <v>0</v>
      </c>
      <c r="C73" s="82">
        <v>0</v>
      </c>
      <c r="D73" s="82">
        <v>0</v>
      </c>
      <c r="E73" s="82">
        <v>0</v>
      </c>
      <c r="F73" s="82">
        <v>0</v>
      </c>
    </row>
    <row r="74" spans="1:6" x14ac:dyDescent="0.15">
      <c r="A74" s="28" t="s">
        <v>243</v>
      </c>
      <c r="B74" s="82">
        <f>'E-Costos Datos y links'!B89</f>
        <v>145000</v>
      </c>
      <c r="C74" s="82">
        <f>'E-Costos Datos y links'!$B$89</f>
        <v>145000</v>
      </c>
      <c r="D74" s="82">
        <f>'E-Costos Datos y links'!$B$89</f>
        <v>145000</v>
      </c>
      <c r="E74" s="82">
        <f>'E-Costos Datos y links'!$B$89</f>
        <v>145000</v>
      </c>
      <c r="F74" s="82">
        <f>'E-Costos Datos y links'!$B$89</f>
        <v>145000</v>
      </c>
    </row>
    <row r="75" spans="1:6" x14ac:dyDescent="0.15">
      <c r="A75" s="28" t="s">
        <v>219</v>
      </c>
      <c r="B75" s="82">
        <f>'E-Costos Datos y links'!G85</f>
        <v>1500000</v>
      </c>
      <c r="C75" s="82">
        <f>'E-Costos Datos y links'!$G$85</f>
        <v>1500000</v>
      </c>
      <c r="D75" s="82">
        <f>'E-Costos Datos y links'!$G$85</f>
        <v>1500000</v>
      </c>
      <c r="E75" s="82">
        <f>'E-Costos Datos y links'!$G$85</f>
        <v>1500000</v>
      </c>
      <c r="F75" s="82">
        <f>'E-Costos Datos y links'!$G$85</f>
        <v>1500000</v>
      </c>
    </row>
    <row r="76" spans="1:6" x14ac:dyDescent="0.15">
      <c r="A76" s="28" t="s">
        <v>21</v>
      </c>
      <c r="B76" s="82">
        <f>0.035*SUM(B69:B75)</f>
        <v>99201.093765594575</v>
      </c>
      <c r="C76" s="82">
        <f>0.035*SUM(C69:C75)</f>
        <v>112760.99514779</v>
      </c>
      <c r="D76" s="82">
        <f>0.035*SUM(D69:D75)</f>
        <v>112760.99514779</v>
      </c>
      <c r="E76" s="82">
        <f>0.035*SUM(E69:E75)</f>
        <v>112760.99514779</v>
      </c>
      <c r="F76" s="82">
        <f>0.035*SUM(F69:F75)</f>
        <v>112760.99514779</v>
      </c>
    </row>
    <row r="77" spans="1:6" x14ac:dyDescent="0.15">
      <c r="A77" s="28"/>
      <c r="B77" s="54"/>
      <c r="C77" s="54"/>
      <c r="D77" s="54"/>
      <c r="E77" s="54"/>
      <c r="F77" s="57"/>
    </row>
    <row r="78" spans="1:6" x14ac:dyDescent="0.15">
      <c r="A78" s="26" t="s">
        <v>247</v>
      </c>
      <c r="B78" s="82">
        <f>SUM(B69:B76)</f>
        <v>2933518.0584968678</v>
      </c>
      <c r="C78" s="82">
        <f>SUM(C69:C76)</f>
        <v>3334503.7136560753</v>
      </c>
      <c r="D78" s="82">
        <f>SUM(D69:D76)</f>
        <v>3334503.7136560753</v>
      </c>
      <c r="E78" s="82">
        <f>SUM(E69:E76)</f>
        <v>3334503.7136560753</v>
      </c>
      <c r="F78" s="82">
        <f>SUM(F69:F76)</f>
        <v>3334503.7136560753</v>
      </c>
    </row>
    <row r="79" spans="1:6" x14ac:dyDescent="0.15">
      <c r="A79" s="26"/>
      <c r="B79" s="105"/>
      <c r="C79" s="105"/>
      <c r="D79" s="105"/>
      <c r="E79" s="105"/>
      <c r="F79" s="106"/>
    </row>
    <row r="80" spans="1:6" x14ac:dyDescent="0.15">
      <c r="A80" s="88" t="s">
        <v>221</v>
      </c>
      <c r="B80" s="107">
        <f>(B69+B70+B71+B72+B75+0.5*B76)/B78</f>
        <v>0.93366308200519132</v>
      </c>
      <c r="C80" s="107">
        <f>(C69+C70+C71+C72+C75+0.5*C76)/C78</f>
        <v>0.93960705554197932</v>
      </c>
      <c r="D80" s="107">
        <f>(D69+D70+D71+D72+D75+0.5*D76)/D78</f>
        <v>0.93960705554197932</v>
      </c>
      <c r="E80" s="107">
        <f>(E69+E70+E71+E72+E75+0.5*E76)/E78</f>
        <v>0.93960705554197932</v>
      </c>
      <c r="F80" s="107">
        <f>(F69+F70+F71+F72+F75+0.5*F76)/F78</f>
        <v>0.93960705554197932</v>
      </c>
    </row>
    <row r="81" spans="1:6" x14ac:dyDescent="0.15">
      <c r="A81" s="41" t="s">
        <v>222</v>
      </c>
      <c r="B81" s="102">
        <f>(B74+B76*0.5)/B78</f>
        <v>6.6336917994808745E-2</v>
      </c>
      <c r="C81" s="102">
        <f>(C74+C76*0.5)/C78</f>
        <v>6.0392944458020667E-2</v>
      </c>
      <c r="D81" s="102">
        <f>(D74+D76*0.5)/D78</f>
        <v>6.0392944458020667E-2</v>
      </c>
      <c r="E81" s="102">
        <f>(E74+E76*0.5)/E78</f>
        <v>6.0392944458020667E-2</v>
      </c>
      <c r="F81" s="102">
        <f>(F74+F76*0.5)/F78</f>
        <v>6.0392944458020667E-2</v>
      </c>
    </row>
    <row r="84" spans="1:6" ht="16" x14ac:dyDescent="0.2">
      <c r="A84" s="108" t="s">
        <v>248</v>
      </c>
      <c r="B84" s="109"/>
      <c r="C84" s="109"/>
      <c r="D84" s="109"/>
      <c r="E84" s="109"/>
      <c r="F84" s="110"/>
    </row>
    <row r="85" spans="1:6" x14ac:dyDescent="0.15">
      <c r="A85" s="28"/>
      <c r="B85" s="79" t="s">
        <v>56</v>
      </c>
      <c r="C85" s="79" t="s">
        <v>207</v>
      </c>
      <c r="D85" s="79" t="s">
        <v>208</v>
      </c>
      <c r="E85" s="79" t="s">
        <v>209</v>
      </c>
      <c r="F85" s="23" t="s">
        <v>210</v>
      </c>
    </row>
    <row r="86" spans="1:6" x14ac:dyDescent="0.15">
      <c r="A86" s="28" t="s">
        <v>249</v>
      </c>
      <c r="B86" s="111">
        <v>78256</v>
      </c>
      <c r="C86" s="111">
        <v>125000</v>
      </c>
      <c r="D86" s="111">
        <v>125000</v>
      </c>
      <c r="E86" s="111">
        <v>125000</v>
      </c>
      <c r="F86" s="111">
        <v>125000</v>
      </c>
    </row>
    <row r="87" spans="1:6" x14ac:dyDescent="0.15">
      <c r="A87" s="28" t="s">
        <v>250</v>
      </c>
      <c r="B87" s="112">
        <f>InfoInicial!$B$20</f>
        <v>400</v>
      </c>
      <c r="C87" s="112">
        <f>InfoInicial!$B$20</f>
        <v>400</v>
      </c>
      <c r="D87" s="112">
        <f>InfoInicial!$B$20</f>
        <v>400</v>
      </c>
      <c r="E87" s="112">
        <f>InfoInicial!$B$20</f>
        <v>400</v>
      </c>
      <c r="F87" s="112">
        <f>InfoInicial!$B$20</f>
        <v>400</v>
      </c>
    </row>
    <row r="88" spans="1:6" x14ac:dyDescent="0.15">
      <c r="A88" s="26" t="s">
        <v>251</v>
      </c>
      <c r="B88" s="82">
        <f>B87*B86</f>
        <v>31302400</v>
      </c>
      <c r="C88" s="82">
        <f>C86*C87</f>
        <v>50000000</v>
      </c>
      <c r="D88" s="82">
        <f>D86*D87</f>
        <v>50000000</v>
      </c>
      <c r="E88" s="82">
        <f>E87*E86</f>
        <v>50000000</v>
      </c>
      <c r="F88" s="83">
        <f>F87*F86</f>
        <v>50000000</v>
      </c>
    </row>
    <row r="89" spans="1:6" x14ac:dyDescent="0.15">
      <c r="A89" s="28"/>
      <c r="B89" s="105"/>
      <c r="C89" s="105"/>
      <c r="D89" s="105"/>
      <c r="E89" s="105"/>
      <c r="F89" s="106"/>
    </row>
    <row r="90" spans="1:6" x14ac:dyDescent="0.15">
      <c r="A90" s="28" t="s">
        <v>252</v>
      </c>
      <c r="B90" s="82">
        <f t="shared" ref="B90:F91" si="1">B7</f>
        <v>11498916</v>
      </c>
      <c r="C90" s="82">
        <f t="shared" si="1"/>
        <v>17160000</v>
      </c>
      <c r="D90" s="82">
        <f t="shared" si="1"/>
        <v>17160000</v>
      </c>
      <c r="E90" s="82">
        <f t="shared" si="1"/>
        <v>17160000</v>
      </c>
      <c r="F90" s="82">
        <f t="shared" si="1"/>
        <v>17160000</v>
      </c>
    </row>
    <row r="91" spans="1:6" x14ac:dyDescent="0.15">
      <c r="A91" s="28" t="s">
        <v>212</v>
      </c>
      <c r="B91" s="82">
        <f t="shared" si="1"/>
        <v>3747743.9999999995</v>
      </c>
      <c r="C91" s="82">
        <f t="shared" si="1"/>
        <v>5353920</v>
      </c>
      <c r="D91" s="82">
        <f t="shared" si="1"/>
        <v>5353920</v>
      </c>
      <c r="E91" s="82">
        <f t="shared" si="1"/>
        <v>5353920</v>
      </c>
      <c r="F91" s="83">
        <f t="shared" si="1"/>
        <v>5353920</v>
      </c>
    </row>
    <row r="92" spans="1:6" x14ac:dyDescent="0.15">
      <c r="A92" s="28" t="s">
        <v>253</v>
      </c>
      <c r="B92" s="82">
        <f>SUM(B10:B16)</f>
        <v>4315841.282332343</v>
      </c>
      <c r="C92" s="82">
        <f>SUM(C10:C16)</f>
        <v>4905364.6119196741</v>
      </c>
      <c r="D92" s="82">
        <f>SUM(D10:D16)</f>
        <v>4905364.6119196741</v>
      </c>
      <c r="E92" s="82">
        <f>SUM(E10:E16)</f>
        <v>4906666.6925596735</v>
      </c>
      <c r="F92" s="82">
        <f>SUM(F10:F16)</f>
        <v>4906666.6925596735</v>
      </c>
    </row>
    <row r="93" spans="1:6" x14ac:dyDescent="0.15">
      <c r="A93" s="28"/>
      <c r="B93" s="105"/>
      <c r="C93" s="105"/>
      <c r="D93" s="105"/>
      <c r="E93" s="105"/>
      <c r="F93" s="106"/>
    </row>
    <row r="94" spans="1:6" x14ac:dyDescent="0.15">
      <c r="A94" s="28" t="s">
        <v>254</v>
      </c>
      <c r="B94" s="113">
        <f>B17</f>
        <v>19562501.282332346</v>
      </c>
      <c r="C94" s="113">
        <f>C17</f>
        <v>27419284.611919679</v>
      </c>
      <c r="D94" s="113">
        <f>D17</f>
        <v>27419284.611919679</v>
      </c>
      <c r="E94" s="113">
        <f>E17</f>
        <v>27420586.692559678</v>
      </c>
      <c r="F94" s="114">
        <f>F17</f>
        <v>27420586.692559678</v>
      </c>
    </row>
    <row r="95" spans="1:6" x14ac:dyDescent="0.15">
      <c r="A95" s="28"/>
      <c r="B95" s="105"/>
      <c r="C95" s="105"/>
      <c r="D95" s="105"/>
      <c r="E95" s="105"/>
      <c r="F95" s="106"/>
    </row>
    <row r="96" spans="1:6" x14ac:dyDescent="0.15">
      <c r="A96" s="28" t="s">
        <v>232</v>
      </c>
      <c r="B96" s="105"/>
      <c r="C96" s="105"/>
      <c r="D96" s="105"/>
      <c r="E96" s="105"/>
      <c r="F96" s="106"/>
    </row>
    <row r="97" spans="1:6" x14ac:dyDescent="0.15">
      <c r="A97" s="32" t="s">
        <v>225</v>
      </c>
      <c r="B97" s="82">
        <f>G35</f>
        <v>855049.80353646667</v>
      </c>
      <c r="C97" s="82">
        <v>0</v>
      </c>
      <c r="D97" s="82">
        <v>0</v>
      </c>
      <c r="E97" s="82">
        <v>0</v>
      </c>
      <c r="F97" s="82">
        <v>0</v>
      </c>
    </row>
    <row r="98" spans="1:6" x14ac:dyDescent="0.15">
      <c r="A98" s="32" t="s">
        <v>234</v>
      </c>
      <c r="B98" s="82">
        <f>B42</f>
        <v>35693.077423570074</v>
      </c>
      <c r="C98" s="82">
        <f>C42</f>
        <v>34565.133872881015</v>
      </c>
      <c r="D98" s="82">
        <f>D42</f>
        <v>34565.133872881015</v>
      </c>
      <c r="E98" s="82">
        <f>E42</f>
        <v>34563.062122799522</v>
      </c>
      <c r="F98" s="82">
        <f>F42</f>
        <v>34563.062122799522</v>
      </c>
    </row>
    <row r="99" spans="1:6" x14ac:dyDescent="0.15">
      <c r="A99" s="28"/>
      <c r="B99" s="105"/>
      <c r="C99" s="105"/>
      <c r="D99" s="105"/>
      <c r="E99" s="105"/>
      <c r="F99" s="106"/>
    </row>
    <row r="100" spans="1:6" x14ac:dyDescent="0.15">
      <c r="A100" s="26" t="s">
        <v>255</v>
      </c>
      <c r="B100" s="82">
        <f>B43</f>
        <v>18671758.40137231</v>
      </c>
      <c r="C100" s="82">
        <f>C43</f>
        <v>27384719.478046797</v>
      </c>
      <c r="D100" s="82">
        <f>D43</f>
        <v>27384719.478046797</v>
      </c>
      <c r="E100" s="82">
        <f>E43</f>
        <v>27386023.630436879</v>
      </c>
      <c r="F100" s="82">
        <f>F43</f>
        <v>27386023.630436879</v>
      </c>
    </row>
    <row r="101" spans="1:6" x14ac:dyDescent="0.15">
      <c r="A101" s="32" t="s">
        <v>256</v>
      </c>
      <c r="B101" s="115">
        <v>80660</v>
      </c>
      <c r="C101" s="115">
        <v>125000</v>
      </c>
      <c r="D101" s="115">
        <v>125000</v>
      </c>
      <c r="E101" s="115">
        <v>125000</v>
      </c>
      <c r="F101" s="116">
        <v>125000</v>
      </c>
    </row>
    <row r="102" spans="1:6" x14ac:dyDescent="0.15">
      <c r="A102" s="28" t="s">
        <v>257</v>
      </c>
      <c r="B102" s="82">
        <f>B44</f>
        <v>231.48721053027907</v>
      </c>
      <c r="C102" s="82">
        <f>C44</f>
        <v>219.07775582437438</v>
      </c>
      <c r="D102" s="82">
        <f>D44</f>
        <v>219.07775582437438</v>
      </c>
      <c r="E102" s="82">
        <f>E44</f>
        <v>219.08818904349502</v>
      </c>
      <c r="F102" s="82">
        <f>F44</f>
        <v>219.08818904349502</v>
      </c>
    </row>
    <row r="103" spans="1:6" x14ac:dyDescent="0.15">
      <c r="A103" s="28"/>
      <c r="B103" s="117"/>
      <c r="C103" s="117"/>
      <c r="D103" s="117"/>
      <c r="E103" s="117"/>
      <c r="F103" s="118"/>
    </row>
    <row r="104" spans="1:6" x14ac:dyDescent="0.15">
      <c r="A104" s="28" t="s">
        <v>232</v>
      </c>
      <c r="B104" s="117"/>
      <c r="C104" s="117"/>
      <c r="D104" s="117"/>
      <c r="E104" s="117"/>
      <c r="F104" s="118"/>
    </row>
    <row r="105" spans="1:6" x14ac:dyDescent="0.15">
      <c r="A105" s="28" t="s">
        <v>258</v>
      </c>
      <c r="B105" s="82">
        <f>'E-Costos Datos y links'!B202</f>
        <v>556495.25411479094</v>
      </c>
      <c r="C105" s="82">
        <f>'E-Costos Datos y links'!C202</f>
        <v>-29832.32911299495</v>
      </c>
      <c r="D105" s="82">
        <f>'E-Costos Datos y links'!D202</f>
        <v>0</v>
      </c>
      <c r="E105" s="82">
        <f>'E-Costos Datos y links'!E202</f>
        <v>25.081458766013384</v>
      </c>
      <c r="F105" s="83">
        <f>'E-Costos Datos y links'!F202</f>
        <v>0</v>
      </c>
    </row>
    <row r="106" spans="1:6" x14ac:dyDescent="0.15">
      <c r="A106" s="28"/>
      <c r="B106" s="117"/>
      <c r="C106" s="117"/>
      <c r="D106" s="117"/>
      <c r="E106" s="117"/>
      <c r="F106" s="118"/>
    </row>
    <row r="107" spans="1:6" x14ac:dyDescent="0.15">
      <c r="A107" s="26" t="s">
        <v>259</v>
      </c>
      <c r="B107" s="82">
        <f>B100-B105</f>
        <v>18115263.147257518</v>
      </c>
      <c r="C107" s="82">
        <f>C100-C105</f>
        <v>27414551.807159793</v>
      </c>
      <c r="D107" s="82">
        <f>D100-D105</f>
        <v>27384719.478046797</v>
      </c>
      <c r="E107" s="82">
        <f>E100-E105</f>
        <v>27385998.548978113</v>
      </c>
      <c r="F107" s="82">
        <f>F100-F105</f>
        <v>27386023.630436879</v>
      </c>
    </row>
    <row r="108" spans="1:6" x14ac:dyDescent="0.15">
      <c r="A108" s="28"/>
      <c r="B108" s="105"/>
      <c r="C108" s="105"/>
      <c r="D108" s="105"/>
      <c r="E108" s="105"/>
      <c r="F108" s="106"/>
    </row>
    <row r="109" spans="1:6" x14ac:dyDescent="0.15">
      <c r="A109" s="26" t="s">
        <v>260</v>
      </c>
      <c r="B109" s="82">
        <f>B61</f>
        <v>3508804.2966230074</v>
      </c>
      <c r="C109" s="82">
        <f>C61</f>
        <v>4522589.5449073417</v>
      </c>
      <c r="D109" s="82">
        <f>D61</f>
        <v>4522589.5449073417</v>
      </c>
      <c r="E109" s="82">
        <f>E61</f>
        <v>4522589.5449073417</v>
      </c>
      <c r="F109" s="82">
        <f>F61</f>
        <v>4522589.5449073417</v>
      </c>
    </row>
    <row r="110" spans="1:6" x14ac:dyDescent="0.15">
      <c r="A110" s="26" t="s">
        <v>261</v>
      </c>
      <c r="B110" s="113">
        <f>B78</f>
        <v>2933518.0584968678</v>
      </c>
      <c r="C110" s="113">
        <f>C78</f>
        <v>3334503.7136560753</v>
      </c>
      <c r="D110" s="113">
        <f>D78</f>
        <v>3334503.7136560753</v>
      </c>
      <c r="E110" s="113">
        <f>E78</f>
        <v>3334503.7136560753</v>
      </c>
      <c r="F110" s="113">
        <f>F78</f>
        <v>3334503.7136560753</v>
      </c>
    </row>
    <row r="111" spans="1:6" x14ac:dyDescent="0.15">
      <c r="A111" s="28"/>
      <c r="B111" s="117"/>
      <c r="C111" s="117"/>
      <c r="D111" s="117"/>
      <c r="E111" s="117"/>
      <c r="F111" s="118"/>
    </row>
    <row r="112" spans="1:6" x14ac:dyDescent="0.15">
      <c r="A112" s="26" t="s">
        <v>262</v>
      </c>
      <c r="B112" s="113">
        <f>SUM(B107:B110)</f>
        <v>24557585.502377391</v>
      </c>
      <c r="C112" s="113">
        <f>SUM(C107:C110)</f>
        <v>35271645.065723211</v>
      </c>
      <c r="D112" s="113">
        <f>SUM(D107:D110)</f>
        <v>35241812.736610219</v>
      </c>
      <c r="E112" s="113">
        <f>SUM(E107:E110)</f>
        <v>35243091.807541534</v>
      </c>
      <c r="F112" s="113">
        <f>SUM(F107:F110)</f>
        <v>35243116.889000297</v>
      </c>
    </row>
    <row r="113" spans="1:6" x14ac:dyDescent="0.15">
      <c r="A113" s="28"/>
      <c r="B113" s="117"/>
      <c r="C113" s="117"/>
      <c r="D113" s="117"/>
      <c r="E113" s="117"/>
      <c r="F113" s="118"/>
    </row>
    <row r="114" spans="1:6" x14ac:dyDescent="0.15">
      <c r="A114" s="26" t="s">
        <v>263</v>
      </c>
      <c r="B114" s="113">
        <f>B112/B86</f>
        <v>313.81089631948208</v>
      </c>
      <c r="C114" s="113">
        <f>C112/C86</f>
        <v>282.1731605257857</v>
      </c>
      <c r="D114" s="113">
        <f>D112/D86</f>
        <v>281.93450189288177</v>
      </c>
      <c r="E114" s="113">
        <f>E112/E86</f>
        <v>281.94473446033226</v>
      </c>
      <c r="F114" s="113">
        <f>F112/F86</f>
        <v>281.94493511200238</v>
      </c>
    </row>
    <row r="115" spans="1:6" x14ac:dyDescent="0.15">
      <c r="A115" s="28"/>
      <c r="B115" s="117"/>
      <c r="C115" s="117"/>
      <c r="D115" s="117"/>
      <c r="E115" s="117"/>
      <c r="F115" s="118"/>
    </row>
    <row r="116" spans="1:6" x14ac:dyDescent="0.15">
      <c r="A116" s="26" t="s">
        <v>264</v>
      </c>
      <c r="B116" s="113">
        <f>B88-B112</f>
        <v>6744814.4976226091</v>
      </c>
      <c r="C116" s="113">
        <f>C88-C112</f>
        <v>14728354.934276789</v>
      </c>
      <c r="D116" s="113">
        <f>D88-D112</f>
        <v>14758187.263389781</v>
      </c>
      <c r="E116" s="113">
        <f>E88-E112</f>
        <v>14756908.192458466</v>
      </c>
      <c r="F116" s="113">
        <f>F88-F112</f>
        <v>14756883.110999703</v>
      </c>
    </row>
    <row r="117" spans="1:6" x14ac:dyDescent="0.15">
      <c r="A117" s="26" t="s">
        <v>5</v>
      </c>
      <c r="B117" s="113">
        <f>B116*InfoInicial!$B$5</f>
        <v>236068.50741679134</v>
      </c>
      <c r="C117" s="113">
        <f>C116*InfoInicial!$B$5</f>
        <v>515492.42269968765</v>
      </c>
      <c r="D117" s="113">
        <f>D116*InfoInicial!$B$5</f>
        <v>516536.55421864241</v>
      </c>
      <c r="E117" s="113">
        <f>E116*InfoInicial!$B$5</f>
        <v>516491.78673604637</v>
      </c>
      <c r="F117" s="113">
        <f>F116*InfoInicial!$B$5</f>
        <v>516490.90888498968</v>
      </c>
    </row>
    <row r="118" spans="1:6" x14ac:dyDescent="0.15">
      <c r="A118" s="53" t="s">
        <v>265</v>
      </c>
      <c r="B118" s="113">
        <f>B116*InfoInicial!$B$4</f>
        <v>2360685.0741679128</v>
      </c>
      <c r="C118" s="113">
        <f>C116*InfoInicial!$B$4</f>
        <v>5154924.2269968763</v>
      </c>
      <c r="D118" s="113">
        <f>D116*InfoInicial!$B$4</f>
        <v>5165365.5421864232</v>
      </c>
      <c r="E118" s="113">
        <f>E116*InfoInicial!$B$4</f>
        <v>5164917.8673604624</v>
      </c>
      <c r="F118" s="113">
        <f>F116*InfoInicial!$B$4</f>
        <v>5164909.0888498956</v>
      </c>
    </row>
    <row r="119" spans="1:6" x14ac:dyDescent="0.15">
      <c r="A119" s="26"/>
      <c r="B119" s="117"/>
      <c r="C119" s="117"/>
      <c r="D119" s="117"/>
      <c r="E119" s="117"/>
      <c r="F119" s="118"/>
    </row>
    <row r="120" spans="1:6" x14ac:dyDescent="0.15">
      <c r="A120" s="53" t="s">
        <v>266</v>
      </c>
      <c r="B120" s="113">
        <f>B116-B117-B118</f>
        <v>4148060.916037905</v>
      </c>
      <c r="C120" s="113">
        <f>C116-C117-C118</f>
        <v>9057938.2845802251</v>
      </c>
      <c r="D120" s="113">
        <f>D116-D117-D118</f>
        <v>9076285.1669847146</v>
      </c>
      <c r="E120" s="113">
        <f>E116-E117-E118</f>
        <v>9075498.5383619554</v>
      </c>
      <c r="F120" s="113">
        <f>F116-F117-F118</f>
        <v>9075483.1132648177</v>
      </c>
    </row>
    <row r="121" spans="1:6" x14ac:dyDescent="0.15">
      <c r="A121" s="26" t="s">
        <v>267</v>
      </c>
      <c r="B121" s="119">
        <f>B120/B88</f>
        <v>0.13251574690879628</v>
      </c>
      <c r="C121" s="119">
        <f>C120/C88</f>
        <v>0.1811587656916045</v>
      </c>
      <c r="D121" s="119">
        <f>D120/D88</f>
        <v>0.18152570333969428</v>
      </c>
      <c r="E121" s="119">
        <f>E120/E88</f>
        <v>0.1815099707672391</v>
      </c>
      <c r="F121" s="119">
        <f>F120/F88</f>
        <v>0.18150966226529636</v>
      </c>
    </row>
    <row r="122" spans="1:6" x14ac:dyDescent="0.15">
      <c r="A122" s="26"/>
      <c r="B122" s="120"/>
      <c r="C122" s="120"/>
      <c r="D122" s="120"/>
      <c r="E122" s="120"/>
      <c r="F122" s="121"/>
    </row>
    <row r="123" spans="1:6" x14ac:dyDescent="0.15">
      <c r="A123" s="26" t="s">
        <v>268</v>
      </c>
      <c r="B123" s="119"/>
      <c r="C123" s="119"/>
      <c r="D123" s="119"/>
      <c r="E123" s="119"/>
      <c r="F123" s="122"/>
    </row>
    <row r="124" spans="1:6" x14ac:dyDescent="0.15">
      <c r="A124" s="53" t="s">
        <v>269</v>
      </c>
      <c r="B124" s="123">
        <f>B120</f>
        <v>4148060.916037905</v>
      </c>
      <c r="C124" s="123">
        <f>C120</f>
        <v>9057938.2845802251</v>
      </c>
      <c r="D124" s="123">
        <f>D120</f>
        <v>9076285.1669847146</v>
      </c>
      <c r="E124" s="123">
        <f>E120</f>
        <v>9075498.5383619554</v>
      </c>
      <c r="F124" s="123">
        <f>F120</f>
        <v>9075483.1132648177</v>
      </c>
    </row>
    <row r="125" spans="1:6" x14ac:dyDescent="0.15">
      <c r="A125" s="26" t="s">
        <v>270</v>
      </c>
      <c r="B125" s="124">
        <f>B10+B53+B70</f>
        <v>2766766.2863298333</v>
      </c>
      <c r="C125" s="124">
        <f>C10+C53+C70</f>
        <v>2766766.2863298333</v>
      </c>
      <c r="D125" s="124">
        <f>D10+D53+D70</f>
        <v>2766766.2863298333</v>
      </c>
      <c r="E125" s="124">
        <f>E10+E53+E70</f>
        <v>2764043.7863298333</v>
      </c>
      <c r="F125" s="124">
        <f>F10+F53+F70</f>
        <v>2764043.7863298333</v>
      </c>
    </row>
    <row r="126" spans="1:6" x14ac:dyDescent="0.15">
      <c r="A126" s="41" t="s">
        <v>126</v>
      </c>
      <c r="B126" s="123">
        <f>SUM(B124:B125)</f>
        <v>6914827.2023677379</v>
      </c>
      <c r="C126" s="123">
        <f>SUM(C124:C125)</f>
        <v>11824704.570910059</v>
      </c>
      <c r="D126" s="123">
        <f>SUM(D124:D125)</f>
        <v>11843051.453314548</v>
      </c>
      <c r="E126" s="123">
        <f>SUM(E124:E125)</f>
        <v>11839542.324691789</v>
      </c>
      <c r="F126" s="123">
        <f>SUM(F124:F125)</f>
        <v>11839526.899594652</v>
      </c>
    </row>
    <row r="127" spans="1:6" x14ac:dyDescent="0.15">
      <c r="A127" s="26"/>
      <c r="B127" s="35"/>
      <c r="C127" s="35"/>
      <c r="D127" s="35"/>
      <c r="E127" s="35"/>
      <c r="F127" s="125"/>
    </row>
    <row r="128" spans="1:6" x14ac:dyDescent="0.15">
      <c r="A128" s="26" t="s">
        <v>271</v>
      </c>
      <c r="B128" s="29">
        <f>B17*B19</f>
        <v>3520732.9546850086</v>
      </c>
      <c r="C128" s="29">
        <f>C17*C19</f>
        <v>3917476.897615572</v>
      </c>
      <c r="D128" s="29">
        <f>D17*D19</f>
        <v>3917476.897615572</v>
      </c>
      <c r="E128" s="29">
        <f>E17*E19</f>
        <v>3914754.397615572</v>
      </c>
      <c r="F128" s="29">
        <f>F17*F19</f>
        <v>3914754.397615572</v>
      </c>
    </row>
    <row r="129" spans="1:12" x14ac:dyDescent="0.15">
      <c r="A129" s="53" t="s">
        <v>272</v>
      </c>
      <c r="B129" s="29">
        <f>B17*B20</f>
        <v>16041768.327647338</v>
      </c>
      <c r="C129" s="29">
        <f>C17*C20</f>
        <v>23501807.714304104</v>
      </c>
      <c r="D129" s="29">
        <f>D17*D20</f>
        <v>23501807.714304104</v>
      </c>
      <c r="E129" s="29">
        <f>E17*E20</f>
        <v>23505832.294944104</v>
      </c>
      <c r="F129" s="29">
        <f>F17*F20</f>
        <v>23505832.294944104</v>
      </c>
    </row>
    <row r="130" spans="1:12" x14ac:dyDescent="0.15">
      <c r="A130" s="26" t="s">
        <v>273</v>
      </c>
      <c r="B130" s="29">
        <f>B61*B63</f>
        <v>3508804.2966230074</v>
      </c>
      <c r="C130" s="29">
        <f>C61*C63</f>
        <v>4522589.5449073417</v>
      </c>
      <c r="D130" s="29">
        <f>D61*D63</f>
        <v>4522589.5449073417</v>
      </c>
      <c r="E130" s="29">
        <f>E61*E63</f>
        <v>4522589.5449073417</v>
      </c>
      <c r="F130" s="29">
        <f>F61*F63</f>
        <v>4522589.5449073417</v>
      </c>
    </row>
    <row r="131" spans="1:12" x14ac:dyDescent="0.15">
      <c r="A131" s="53" t="s">
        <v>274</v>
      </c>
      <c r="B131" s="29">
        <f>B61*B64</f>
        <v>0</v>
      </c>
      <c r="C131" s="29">
        <f>C61*C64</f>
        <v>0</v>
      </c>
      <c r="D131" s="29">
        <f>D61*D64</f>
        <v>0</v>
      </c>
      <c r="E131" s="29">
        <f>E61*E64</f>
        <v>0</v>
      </c>
      <c r="F131" s="29">
        <f>F61*F64</f>
        <v>0</v>
      </c>
    </row>
    <row r="132" spans="1:12" x14ac:dyDescent="0.15">
      <c r="A132" s="26" t="s">
        <v>275</v>
      </c>
      <c r="B132" s="29">
        <f>B78*B80</f>
        <v>2738917.5116140707</v>
      </c>
      <c r="C132" s="29">
        <f>C78*C80</f>
        <v>3133123.2160821804</v>
      </c>
      <c r="D132" s="29">
        <f>D78*D80</f>
        <v>3133123.2160821804</v>
      </c>
      <c r="E132" s="29">
        <f>E78*E80</f>
        <v>3133123.2160821804</v>
      </c>
      <c r="F132" s="29">
        <f>F78*F80</f>
        <v>3133123.2160821804</v>
      </c>
    </row>
    <row r="133" spans="1:12" x14ac:dyDescent="0.15">
      <c r="A133" s="53" t="s">
        <v>276</v>
      </c>
      <c r="B133" s="29">
        <f>B78*B81</f>
        <v>194600.54688279727</v>
      </c>
      <c r="C133" s="29">
        <f>C78*C81</f>
        <v>201380.497573895</v>
      </c>
      <c r="D133" s="29">
        <f>D78*D81</f>
        <v>201380.497573895</v>
      </c>
      <c r="E133" s="29">
        <f>E78*E81</f>
        <v>201380.497573895</v>
      </c>
      <c r="F133" s="29">
        <f>F78*F81</f>
        <v>201380.497573895</v>
      </c>
    </row>
    <row r="134" spans="1:12" x14ac:dyDescent="0.15">
      <c r="A134" s="26" t="s">
        <v>277</v>
      </c>
      <c r="B134" s="29">
        <f>B88-B129-B131-B133</f>
        <v>15066031.125469865</v>
      </c>
      <c r="C134" s="29">
        <f>C88-C129-C131-C133</f>
        <v>26296811.788122002</v>
      </c>
      <c r="D134" s="29">
        <f>D88-D129-D131-D133</f>
        <v>26296811.788122002</v>
      </c>
      <c r="E134" s="29">
        <f>E88-E129-E131-E133</f>
        <v>26292787.207482003</v>
      </c>
      <c r="F134" s="29">
        <f>F88-F129-F131-F133</f>
        <v>26292787.207482003</v>
      </c>
    </row>
    <row r="135" spans="1:12" x14ac:dyDescent="0.15">
      <c r="A135" s="41" t="s">
        <v>278</v>
      </c>
      <c r="B135" s="34">
        <f>(B128+B130+B132)/B134</f>
        <v>0.64837611721165467</v>
      </c>
      <c r="C135" s="34">
        <f>(C128+C130+C132)/C134</f>
        <v>0.44009858502438626</v>
      </c>
      <c r="D135" s="34">
        <f>(D128+D130+D132)/D134</f>
        <v>0.44009858502438626</v>
      </c>
      <c r="E135" s="34">
        <f>(E128+E130+E132)/E134</f>
        <v>0.44006240446477068</v>
      </c>
      <c r="F135" s="34">
        <f>(F128+F130+F132)/F134</f>
        <v>0.44006240446477068</v>
      </c>
    </row>
    <row r="136" spans="1:12" ht="16" x14ac:dyDescent="0.2">
      <c r="A136" s="126" t="s">
        <v>279</v>
      </c>
    </row>
    <row r="140" spans="1:12" x14ac:dyDescent="0.15">
      <c r="A140" s="406" t="s">
        <v>202</v>
      </c>
      <c r="B140" s="406"/>
      <c r="C140" s="406"/>
      <c r="D140" s="406"/>
      <c r="E140" s="406"/>
      <c r="H140" s="406" t="s">
        <v>280</v>
      </c>
      <c r="I140" s="406"/>
      <c r="J140" s="406"/>
      <c r="K140" s="406"/>
      <c r="L140" s="406"/>
    </row>
    <row r="141" spans="1:12" x14ac:dyDescent="0.15">
      <c r="A141" s="128" t="s">
        <v>281</v>
      </c>
      <c r="B141" s="128" t="s">
        <v>282</v>
      </c>
      <c r="C141" s="128" t="s">
        <v>283</v>
      </c>
      <c r="D141" s="128" t="s">
        <v>284</v>
      </c>
      <c r="E141" s="128" t="s">
        <v>285</v>
      </c>
      <c r="H141" s="127" t="s">
        <v>281</v>
      </c>
      <c r="I141" s="127" t="s">
        <v>282</v>
      </c>
      <c r="J141" s="127" t="s">
        <v>283</v>
      </c>
      <c r="K141" s="127" t="s">
        <v>284</v>
      </c>
      <c r="L141" s="127" t="s">
        <v>285</v>
      </c>
    </row>
    <row r="142" spans="1:12" x14ac:dyDescent="0.15">
      <c r="A142" s="129">
        <v>0</v>
      </c>
      <c r="B142" s="129">
        <v>0</v>
      </c>
      <c r="C142" s="130">
        <f>B128+B130+B132</f>
        <v>9768454.7629220877</v>
      </c>
      <c r="D142" s="130">
        <f>SUM(B142:C142)</f>
        <v>9768454.7629220877</v>
      </c>
      <c r="E142" s="129">
        <v>0</v>
      </c>
      <c r="H142" s="129">
        <v>0</v>
      </c>
      <c r="I142" s="131">
        <v>0</v>
      </c>
      <c r="J142" s="132">
        <f>F128+F130+F132</f>
        <v>11570467.158605093</v>
      </c>
      <c r="K142" s="130">
        <f>I142+J142</f>
        <v>11570467.158605093</v>
      </c>
      <c r="L142" s="129">
        <v>0</v>
      </c>
    </row>
    <row r="143" spans="1:12" ht="14" x14ac:dyDescent="0.15">
      <c r="A143" s="131">
        <f>B86</f>
        <v>78256</v>
      </c>
      <c r="B143" s="131">
        <f>B129+B131+B133</f>
        <v>16236368.874530135</v>
      </c>
      <c r="C143" s="130">
        <f>B128+B130+B132</f>
        <v>9768454.7629220877</v>
      </c>
      <c r="D143" s="130">
        <f>SUM(B143:C143)</f>
        <v>26004823.637452222</v>
      </c>
      <c r="E143" s="133">
        <f>B88</f>
        <v>31302400</v>
      </c>
      <c r="H143" s="131">
        <f>F86</f>
        <v>125000</v>
      </c>
      <c r="I143" s="134">
        <f>F129+F131+F133</f>
        <v>23707212.792517997</v>
      </c>
      <c r="J143" s="132">
        <f>F128+F130+F132</f>
        <v>11570467.158605093</v>
      </c>
      <c r="K143" s="130">
        <f>I143+J143</f>
        <v>35277679.951123089</v>
      </c>
      <c r="L143" s="133">
        <f>F88</f>
        <v>50000000</v>
      </c>
    </row>
  </sheetData>
  <mergeCells count="2">
    <mergeCell ref="A140:E140"/>
    <mergeCell ref="H140:L140"/>
  </mergeCells>
  <pageMargins left="0.32013888888888897" right="0.75" top="0.179861111111111" bottom="0.15972222222222199" header="0.51180555555555496" footer="0.51180555555555496"/>
  <pageSetup paperSize="9" firstPageNumber="0" fitToHeight="4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9:S210"/>
  <sheetViews>
    <sheetView topLeftCell="B96" zoomScale="90" zoomScaleNormal="90" workbookViewId="0">
      <selection activeCell="A131" sqref="A131"/>
    </sheetView>
  </sheetViews>
  <sheetFormatPr baseColWidth="10" defaultColWidth="8.83203125" defaultRowHeight="13" x14ac:dyDescent="0.15"/>
  <cols>
    <col min="1" max="1" width="64.83203125" customWidth="1"/>
    <col min="2" max="2" width="15.6640625" customWidth="1"/>
    <col min="3" max="3" width="36.6640625" customWidth="1"/>
    <col min="4" max="4" width="15.6640625" customWidth="1"/>
    <col min="5" max="5" width="28.1640625" customWidth="1"/>
    <col min="6" max="6" width="25" customWidth="1"/>
    <col min="7" max="7" width="22.6640625" customWidth="1"/>
    <col min="8" max="8" width="17.5" customWidth="1"/>
    <col min="9" max="9" width="17.1640625" customWidth="1"/>
    <col min="10" max="10" width="22.83203125" customWidth="1"/>
    <col min="11" max="11" width="26.6640625" customWidth="1"/>
    <col min="12" max="12" width="22.83203125" customWidth="1"/>
    <col min="13" max="13" width="55" customWidth="1"/>
    <col min="14" max="1025" width="10.6640625" customWidth="1"/>
  </cols>
  <sheetData>
    <row r="9" spans="1:13" x14ac:dyDescent="0.15">
      <c r="H9" s="135" t="s">
        <v>286</v>
      </c>
      <c r="I9" s="135" t="s">
        <v>287</v>
      </c>
      <c r="J9" s="135" t="s">
        <v>288</v>
      </c>
      <c r="K9" s="135" t="s">
        <v>289</v>
      </c>
      <c r="L9" s="135" t="s">
        <v>290</v>
      </c>
      <c r="M9" s="135" t="s">
        <v>291</v>
      </c>
    </row>
    <row r="10" spans="1:13" x14ac:dyDescent="0.15">
      <c r="A10" s="127" t="s">
        <v>292</v>
      </c>
      <c r="B10" s="127" t="s">
        <v>125</v>
      </c>
      <c r="C10" s="127" t="s">
        <v>293</v>
      </c>
      <c r="D10" s="127" t="s">
        <v>294</v>
      </c>
      <c r="E10" s="127" t="s">
        <v>295</v>
      </c>
      <c r="F10" s="127" t="s">
        <v>296</v>
      </c>
      <c r="H10" s="135" t="s">
        <v>297</v>
      </c>
      <c r="I10" s="135">
        <f>F16</f>
        <v>5353920</v>
      </c>
      <c r="J10" s="135">
        <f>'E-Costos'!C101</f>
        <v>125000</v>
      </c>
      <c r="K10" s="135">
        <f>I10/J10</f>
        <v>42.831359999999997</v>
      </c>
      <c r="L10" s="135">
        <v>183.81</v>
      </c>
    </row>
    <row r="11" spans="1:13" x14ac:dyDescent="0.15">
      <c r="A11" s="136" t="s">
        <v>298</v>
      </c>
      <c r="B11" s="137">
        <v>2</v>
      </c>
      <c r="C11" s="137">
        <v>1920</v>
      </c>
      <c r="D11" s="137">
        <v>150</v>
      </c>
      <c r="E11" s="137">
        <v>43</v>
      </c>
      <c r="F11" s="137">
        <f>(D11*(1+E11/100))*C11*B11</f>
        <v>823680</v>
      </c>
      <c r="H11" s="135" t="s">
        <v>56</v>
      </c>
      <c r="I11">
        <f>F17</f>
        <v>3747743.9999999995</v>
      </c>
      <c r="J11">
        <f>'E-Costos'!B101</f>
        <v>80660</v>
      </c>
      <c r="K11" s="135"/>
      <c r="L11" t="s">
        <v>299</v>
      </c>
      <c r="M11">
        <f>J11*K10</f>
        <v>3454777.4975999999</v>
      </c>
    </row>
    <row r="12" spans="1:13" x14ac:dyDescent="0.15">
      <c r="A12" s="136" t="s">
        <v>300</v>
      </c>
      <c r="B12" s="137">
        <v>2</v>
      </c>
      <c r="C12" s="137">
        <v>1920</v>
      </c>
      <c r="D12" s="137">
        <v>150</v>
      </c>
      <c r="E12" s="137">
        <v>43</v>
      </c>
      <c r="F12" s="137">
        <f>(D12*(1+E12/100))*C12*B12</f>
        <v>823680</v>
      </c>
    </row>
    <row r="13" spans="1:13" x14ac:dyDescent="0.15">
      <c r="A13" s="136" t="s">
        <v>301</v>
      </c>
      <c r="B13" s="137">
        <v>2</v>
      </c>
      <c r="C13" s="137">
        <v>1920</v>
      </c>
      <c r="D13" s="137">
        <v>150</v>
      </c>
      <c r="E13" s="137">
        <v>43</v>
      </c>
      <c r="F13" s="137">
        <f>(D13*(1+E13/100))*C13*B13</f>
        <v>823680</v>
      </c>
      <c r="H13" t="s">
        <v>302</v>
      </c>
    </row>
    <row r="14" spans="1:13" x14ac:dyDescent="0.15">
      <c r="A14" s="136" t="s">
        <v>303</v>
      </c>
      <c r="B14" s="137">
        <v>5</v>
      </c>
      <c r="C14" s="137">
        <v>1920</v>
      </c>
      <c r="D14" s="137">
        <v>150</v>
      </c>
      <c r="E14" s="137">
        <v>43</v>
      </c>
      <c r="F14" s="137">
        <f>(D14*(1+E14/100))*C14*B14</f>
        <v>2059200</v>
      </c>
      <c r="H14" s="135" t="s">
        <v>304</v>
      </c>
      <c r="I14">
        <f>(L10*K10)/2</f>
        <v>3936.4161407999995</v>
      </c>
    </row>
    <row r="15" spans="1:13" x14ac:dyDescent="0.15">
      <c r="A15" s="136" t="s">
        <v>305</v>
      </c>
      <c r="B15" s="137">
        <v>2</v>
      </c>
      <c r="C15" s="137">
        <v>1920</v>
      </c>
      <c r="D15" s="137">
        <v>150</v>
      </c>
      <c r="E15" s="137">
        <v>43</v>
      </c>
      <c r="F15" s="137">
        <f>(D15*(1+E15/100))*C15*B15</f>
        <v>823680</v>
      </c>
      <c r="H15" s="135" t="s">
        <v>306</v>
      </c>
      <c r="I15">
        <f>I11-I14-M11</f>
        <v>289030.08625919977</v>
      </c>
    </row>
    <row r="16" spans="1:13" x14ac:dyDescent="0.15">
      <c r="D16" s="135"/>
      <c r="E16" s="135" t="s">
        <v>307</v>
      </c>
      <c r="F16" s="135">
        <f>SUM(F11:F15)</f>
        <v>5353920</v>
      </c>
    </row>
    <row r="17" spans="1:12" x14ac:dyDescent="0.15">
      <c r="D17" s="135" t="s">
        <v>308</v>
      </c>
      <c r="E17" s="135" t="s">
        <v>309</v>
      </c>
      <c r="F17" s="135">
        <f>0.7*F16</f>
        <v>3747743.9999999995</v>
      </c>
    </row>
    <row r="18" spans="1:12" ht="28" x14ac:dyDescent="0.15">
      <c r="A18" s="127" t="s">
        <v>310</v>
      </c>
      <c r="B18" s="127" t="s">
        <v>311</v>
      </c>
      <c r="C18" s="138" t="s">
        <v>312</v>
      </c>
      <c r="D18" s="138" t="s">
        <v>313</v>
      </c>
      <c r="E18" s="127" t="s">
        <v>296</v>
      </c>
      <c r="H18" s="139" t="s">
        <v>314</v>
      </c>
      <c r="I18" s="139" t="s">
        <v>315</v>
      </c>
      <c r="J18" s="139" t="s">
        <v>288</v>
      </c>
      <c r="K18" s="139" t="s">
        <v>289</v>
      </c>
      <c r="L18" s="139" t="s">
        <v>316</v>
      </c>
    </row>
    <row r="19" spans="1:12" x14ac:dyDescent="0.15">
      <c r="A19" t="s">
        <v>317</v>
      </c>
      <c r="B19">
        <v>50000</v>
      </c>
      <c r="C19">
        <v>32</v>
      </c>
      <c r="D19">
        <v>1</v>
      </c>
      <c r="E19">
        <f>B19*12*D19*(1+C19/100)</f>
        <v>792000</v>
      </c>
      <c r="H19" t="s">
        <v>297</v>
      </c>
      <c r="I19">
        <f>E20</f>
        <v>792000</v>
      </c>
      <c r="J19">
        <f>'E-Costos'!C101</f>
        <v>125000</v>
      </c>
      <c r="K19">
        <f>I19/J19</f>
        <v>6.3360000000000003</v>
      </c>
      <c r="L19" s="135">
        <v>183.81</v>
      </c>
    </row>
    <row r="20" spans="1:12" x14ac:dyDescent="0.15">
      <c r="D20" t="s">
        <v>307</v>
      </c>
      <c r="E20">
        <f>E19</f>
        <v>792000</v>
      </c>
      <c r="H20" t="s">
        <v>56</v>
      </c>
      <c r="I20">
        <f>E21</f>
        <v>554400</v>
      </c>
      <c r="J20">
        <f>'E-Costos'!B101</f>
        <v>80660</v>
      </c>
      <c r="K20">
        <f>I20/J20</f>
        <v>6.8732953136622861</v>
      </c>
      <c r="L20" s="135">
        <v>183.81</v>
      </c>
    </row>
    <row r="21" spans="1:12" x14ac:dyDescent="0.15">
      <c r="A21" s="140" t="s">
        <v>318</v>
      </c>
      <c r="D21" t="s">
        <v>309</v>
      </c>
      <c r="E21">
        <f>0.7*E20</f>
        <v>554400</v>
      </c>
      <c r="H21" t="s">
        <v>319</v>
      </c>
      <c r="L21" t="s">
        <v>299</v>
      </c>
    </row>
    <row r="22" spans="1:12" x14ac:dyDescent="0.15">
      <c r="H22" t="s">
        <v>320</v>
      </c>
      <c r="I22">
        <f>(K20*L20)/2</f>
        <v>631.69020580213237</v>
      </c>
    </row>
    <row r="23" spans="1:12" ht="28" x14ac:dyDescent="0.15">
      <c r="A23" s="127" t="s">
        <v>321</v>
      </c>
      <c r="B23" s="127" t="s">
        <v>311</v>
      </c>
      <c r="C23" s="138" t="s">
        <v>312</v>
      </c>
      <c r="D23" s="138" t="s">
        <v>313</v>
      </c>
      <c r="E23" s="127" t="s">
        <v>296</v>
      </c>
      <c r="H23" s="139" t="s">
        <v>304</v>
      </c>
      <c r="I23">
        <f>(K19*L19)/2</f>
        <v>582.31008000000008</v>
      </c>
    </row>
    <row r="24" spans="1:12" x14ac:dyDescent="0.15">
      <c r="A24" s="127" t="s">
        <v>322</v>
      </c>
      <c r="B24" s="127">
        <v>60000</v>
      </c>
      <c r="C24" s="127">
        <v>32</v>
      </c>
      <c r="D24" s="141">
        <v>1</v>
      </c>
      <c r="E24" s="127">
        <f>B24*12*D24*(1+C24/100)</f>
        <v>950400</v>
      </c>
      <c r="G24" t="s">
        <v>323</v>
      </c>
    </row>
    <row r="25" spans="1:12" x14ac:dyDescent="0.15">
      <c r="A25" s="127" t="s">
        <v>324</v>
      </c>
      <c r="B25" s="127">
        <v>50000</v>
      </c>
      <c r="C25" s="127">
        <v>32</v>
      </c>
      <c r="D25" s="127">
        <v>1</v>
      </c>
      <c r="E25" s="127">
        <f>B25*12*D25*(1+C25/100)</f>
        <v>792000</v>
      </c>
    </row>
    <row r="26" spans="1:12" x14ac:dyDescent="0.15">
      <c r="A26" s="127" t="s">
        <v>325</v>
      </c>
      <c r="B26" s="127">
        <v>40000</v>
      </c>
      <c r="C26" s="127">
        <v>32</v>
      </c>
      <c r="D26" s="127">
        <v>1</v>
      </c>
      <c r="E26" s="127">
        <f>B26*12*D26*(1+C26/100)</f>
        <v>633600</v>
      </c>
    </row>
    <row r="27" spans="1:12" x14ac:dyDescent="0.15">
      <c r="A27" s="127" t="s">
        <v>326</v>
      </c>
      <c r="B27" s="127">
        <v>40000</v>
      </c>
      <c r="C27" s="127">
        <v>32</v>
      </c>
      <c r="D27" s="127">
        <v>1</v>
      </c>
      <c r="E27" s="127">
        <f>B27*12*D27*(1+C27/100)</f>
        <v>633600</v>
      </c>
    </row>
    <row r="28" spans="1:12" x14ac:dyDescent="0.15">
      <c r="A28" s="127" t="s">
        <v>327</v>
      </c>
      <c r="B28" s="127">
        <v>13000</v>
      </c>
      <c r="C28" s="127">
        <v>38</v>
      </c>
      <c r="D28" s="127">
        <v>1</v>
      </c>
      <c r="E28" s="127">
        <f>B28*12*D28*(1+C28/100)</f>
        <v>215279.99999999997</v>
      </c>
      <c r="G28" s="407" t="s">
        <v>328</v>
      </c>
      <c r="H28" s="407"/>
      <c r="I28" s="407"/>
      <c r="J28" s="407"/>
      <c r="K28" s="407"/>
    </row>
    <row r="29" spans="1:12" x14ac:dyDescent="0.15">
      <c r="A29" s="140"/>
      <c r="B29" s="140"/>
      <c r="C29" s="140"/>
      <c r="D29" s="140" t="s">
        <v>329</v>
      </c>
      <c r="E29" s="140">
        <f>SUM(E24:E28)</f>
        <v>3224880</v>
      </c>
    </row>
    <row r="30" spans="1:12" x14ac:dyDescent="0.15">
      <c r="A30" s="140" t="s">
        <v>318</v>
      </c>
      <c r="B30" s="140"/>
      <c r="C30" s="140"/>
      <c r="D30" s="140" t="s">
        <v>309</v>
      </c>
      <c r="E30" s="140">
        <f>E29*0.7</f>
        <v>2257416</v>
      </c>
    </row>
    <row r="34" spans="1:11" ht="28" x14ac:dyDescent="0.15">
      <c r="A34" s="127" t="s">
        <v>330</v>
      </c>
      <c r="B34" s="127" t="s">
        <v>311</v>
      </c>
      <c r="C34" s="138" t="s">
        <v>312</v>
      </c>
      <c r="D34" s="138" t="s">
        <v>313</v>
      </c>
      <c r="E34" s="127" t="s">
        <v>296</v>
      </c>
    </row>
    <row r="35" spans="1:11" x14ac:dyDescent="0.15">
      <c r="A35" s="142" t="s">
        <v>331</v>
      </c>
      <c r="B35" s="142">
        <v>40000</v>
      </c>
      <c r="C35" s="142">
        <v>32</v>
      </c>
      <c r="D35" s="142">
        <v>1</v>
      </c>
      <c r="E35" s="142">
        <f>B35*12*D35*(1+C35/100)</f>
        <v>633600</v>
      </c>
    </row>
    <row r="36" spans="1:11" x14ac:dyDescent="0.15">
      <c r="A36" s="142" t="s">
        <v>332</v>
      </c>
      <c r="B36" s="142">
        <v>40000</v>
      </c>
      <c r="C36" s="142">
        <v>32</v>
      </c>
      <c r="D36" s="142">
        <v>1</v>
      </c>
      <c r="E36" s="142">
        <f>B36*12*D36*(1+C36/100)</f>
        <v>633600</v>
      </c>
    </row>
    <row r="37" spans="1:11" x14ac:dyDescent="0.15">
      <c r="A37" s="140"/>
      <c r="B37" s="140"/>
      <c r="C37" s="140"/>
      <c r="D37" s="140" t="s">
        <v>307</v>
      </c>
      <c r="E37" s="140">
        <f>SUM(E35:E36)</f>
        <v>1267200</v>
      </c>
    </row>
    <row r="38" spans="1:11" x14ac:dyDescent="0.15">
      <c r="A38" s="140" t="s">
        <v>318</v>
      </c>
      <c r="B38" s="140"/>
      <c r="C38" s="140"/>
      <c r="D38" s="140" t="s">
        <v>309</v>
      </c>
      <c r="E38" s="140">
        <f>E37*0.7</f>
        <v>887040</v>
      </c>
    </row>
    <row r="39" spans="1:11" x14ac:dyDescent="0.15">
      <c r="F39" t="s">
        <v>333</v>
      </c>
      <c r="G39" t="s">
        <v>334</v>
      </c>
      <c r="H39" t="s">
        <v>335</v>
      </c>
      <c r="I39" t="s">
        <v>336</v>
      </c>
      <c r="J39" s="135" t="s">
        <v>290</v>
      </c>
      <c r="K39" t="s">
        <v>126</v>
      </c>
    </row>
    <row r="40" spans="1:11" x14ac:dyDescent="0.15">
      <c r="E40" t="s">
        <v>337</v>
      </c>
      <c r="F40" t="s">
        <v>338</v>
      </c>
      <c r="G40">
        <f>'E-Costos'!B10</f>
        <v>2264212.8706335002</v>
      </c>
      <c r="H40">
        <f>'E-Costos'!B101</f>
        <v>80660</v>
      </c>
      <c r="I40">
        <f>G40/H40</f>
        <v>28.071074518144062</v>
      </c>
      <c r="J40" s="135">
        <v>183.81</v>
      </c>
      <c r="K40">
        <f>(I40*J40)/2</f>
        <v>2579.8721035900303</v>
      </c>
    </row>
    <row r="41" spans="1:11" x14ac:dyDescent="0.15">
      <c r="A41" t="s">
        <v>339</v>
      </c>
      <c r="B41" t="s">
        <v>340</v>
      </c>
      <c r="C41" t="s">
        <v>341</v>
      </c>
      <c r="D41" t="s">
        <v>342</v>
      </c>
      <c r="F41" t="s">
        <v>343</v>
      </c>
      <c r="G41">
        <f>'E-Costos'!C10</f>
        <v>2264212.8706335002</v>
      </c>
      <c r="H41">
        <f>'E-Costos'!C101</f>
        <v>125000</v>
      </c>
      <c r="I41">
        <f>G41/H41</f>
        <v>18.113702965068001</v>
      </c>
      <c r="J41" s="135">
        <v>183.81</v>
      </c>
      <c r="K41">
        <f>(I41*J41)/2</f>
        <v>1664.7398710045745</v>
      </c>
    </row>
    <row r="42" spans="1:11" x14ac:dyDescent="0.15">
      <c r="B42" s="143" t="s">
        <v>344</v>
      </c>
      <c r="F42" t="s">
        <v>345</v>
      </c>
      <c r="G42">
        <f>'E-Costos'!E10</f>
        <v>2261490.3706335002</v>
      </c>
      <c r="H42">
        <f>'E-Costos'!E101</f>
        <v>125000</v>
      </c>
      <c r="I42">
        <f>G42/H42</f>
        <v>18.091922965068001</v>
      </c>
      <c r="J42" s="135">
        <v>183.81</v>
      </c>
      <c r="K42">
        <f>(I42*J42)/2</f>
        <v>1662.7381801045747</v>
      </c>
    </row>
    <row r="44" spans="1:11" x14ac:dyDescent="0.15">
      <c r="A44" s="144" t="s">
        <v>346</v>
      </c>
      <c r="B44" s="135" t="s">
        <v>347</v>
      </c>
      <c r="C44" s="135" t="s">
        <v>348</v>
      </c>
      <c r="E44" s="144" t="s">
        <v>349</v>
      </c>
      <c r="F44" s="135" t="s">
        <v>347</v>
      </c>
      <c r="G44" s="135" t="s">
        <v>348</v>
      </c>
      <c r="I44" s="144" t="s">
        <v>350</v>
      </c>
      <c r="J44" t="s">
        <v>347</v>
      </c>
      <c r="K44" t="s">
        <v>348</v>
      </c>
    </row>
    <row r="45" spans="1:11" x14ac:dyDescent="0.15">
      <c r="A45" t="s">
        <v>351</v>
      </c>
      <c r="B45" s="145">
        <v>0.02</v>
      </c>
      <c r="C45" t="s">
        <v>352</v>
      </c>
      <c r="E45" t="s">
        <v>351</v>
      </c>
      <c r="F45" s="145">
        <v>0.02</v>
      </c>
      <c r="G45" s="135" t="s">
        <v>352</v>
      </c>
      <c r="I45" t="s">
        <v>351</v>
      </c>
      <c r="J45" s="34">
        <v>1.4999999999999999E-2</v>
      </c>
      <c r="K45" s="135" t="s">
        <v>352</v>
      </c>
    </row>
    <row r="46" spans="1:11" x14ac:dyDescent="0.15">
      <c r="A46" t="s">
        <v>353</v>
      </c>
      <c r="B46" s="145">
        <v>0.03</v>
      </c>
      <c r="C46" t="s">
        <v>90</v>
      </c>
      <c r="E46" t="s">
        <v>354</v>
      </c>
      <c r="F46" s="145">
        <v>0.01</v>
      </c>
      <c r="G46" s="135" t="s">
        <v>355</v>
      </c>
      <c r="I46" t="s">
        <v>354</v>
      </c>
      <c r="J46" s="145">
        <v>0.02</v>
      </c>
      <c r="K46" s="135" t="s">
        <v>355</v>
      </c>
    </row>
    <row r="47" spans="1:11" x14ac:dyDescent="0.15">
      <c r="A47" t="s">
        <v>335</v>
      </c>
      <c r="B47" s="145">
        <v>0.02</v>
      </c>
      <c r="C47" t="s">
        <v>356</v>
      </c>
      <c r="E47" t="s">
        <v>357</v>
      </c>
      <c r="F47" s="145">
        <v>0.02</v>
      </c>
      <c r="G47" s="135" t="s">
        <v>358</v>
      </c>
      <c r="I47" t="s">
        <v>357</v>
      </c>
      <c r="J47" s="145">
        <v>0.02</v>
      </c>
      <c r="K47" s="135" t="s">
        <v>358</v>
      </c>
    </row>
    <row r="48" spans="1:11" x14ac:dyDescent="0.15">
      <c r="A48" t="s">
        <v>238</v>
      </c>
      <c r="B48" s="145">
        <v>0.03</v>
      </c>
      <c r="C48" t="s">
        <v>359</v>
      </c>
    </row>
    <row r="50" spans="1:15" x14ac:dyDescent="0.15">
      <c r="A50" t="s">
        <v>360</v>
      </c>
      <c r="B50" s="135">
        <v>2424.6</v>
      </c>
      <c r="C50" t="s">
        <v>361</v>
      </c>
      <c r="D50" t="s">
        <v>362</v>
      </c>
      <c r="E50" t="s">
        <v>363</v>
      </c>
      <c r="F50" t="s">
        <v>364</v>
      </c>
      <c r="G50" s="146" t="s">
        <v>365</v>
      </c>
    </row>
    <row r="51" spans="1:15" x14ac:dyDescent="0.15">
      <c r="A51" t="s">
        <v>366</v>
      </c>
      <c r="B51" s="147">
        <f>21.455</f>
        <v>21.454999999999998</v>
      </c>
      <c r="C51" t="s">
        <v>367</v>
      </c>
      <c r="D51">
        <v>769.51</v>
      </c>
      <c r="E51">
        <v>358.92</v>
      </c>
      <c r="F51">
        <v>1.6679999999999999</v>
      </c>
    </row>
    <row r="52" spans="1:15" x14ac:dyDescent="0.15">
      <c r="B52" s="36"/>
      <c r="D52" t="s">
        <v>368</v>
      </c>
      <c r="E52" t="s">
        <v>369</v>
      </c>
      <c r="F52" t="s">
        <v>370</v>
      </c>
    </row>
    <row r="53" spans="1:15" x14ac:dyDescent="0.15">
      <c r="A53" t="s">
        <v>371</v>
      </c>
      <c r="B53" s="148">
        <f>(D51+E51*B51+F51*B50)*11.5</f>
        <v>143915.27110000001</v>
      </c>
    </row>
    <row r="54" spans="1:15" x14ac:dyDescent="0.15">
      <c r="A54" t="s">
        <v>372</v>
      </c>
      <c r="B54" s="135" t="s">
        <v>373</v>
      </c>
      <c r="C54">
        <f>0.9*B53</f>
        <v>129523.74399000002</v>
      </c>
      <c r="E54" s="149" t="s">
        <v>374</v>
      </c>
      <c r="F54" s="150">
        <f>(D51+E51*B51)*11.5/B53</f>
        <v>0.67683292506405879</v>
      </c>
      <c r="G54" s="135"/>
      <c r="I54" s="135" t="s">
        <v>375</v>
      </c>
      <c r="J54" s="135" t="s">
        <v>347</v>
      </c>
      <c r="K54" s="135" t="s">
        <v>348</v>
      </c>
    </row>
    <row r="55" spans="1:15" x14ac:dyDescent="0.15">
      <c r="A55" t="s">
        <v>376</v>
      </c>
      <c r="B55" s="135" t="s">
        <v>377</v>
      </c>
      <c r="C55">
        <f>0.05*B53</f>
        <v>7195.7635550000014</v>
      </c>
      <c r="E55" s="149" t="s">
        <v>378</v>
      </c>
      <c r="F55" s="150">
        <f>F51*B50*11.5/B53</f>
        <v>0.32316707493594121</v>
      </c>
    </row>
    <row r="56" spans="1:15" x14ac:dyDescent="0.15">
      <c r="A56" t="s">
        <v>379</v>
      </c>
      <c r="B56" s="135" t="s">
        <v>377</v>
      </c>
      <c r="C56">
        <f>0.05*B53</f>
        <v>7195.7635550000014</v>
      </c>
      <c r="M56" t="s">
        <v>380</v>
      </c>
    </row>
    <row r="57" spans="1:15" x14ac:dyDescent="0.15">
      <c r="M57" t="s">
        <v>381</v>
      </c>
      <c r="N57">
        <v>125000</v>
      </c>
    </row>
    <row r="58" spans="1:15" x14ac:dyDescent="0.15">
      <c r="A58" t="s">
        <v>338</v>
      </c>
      <c r="B58" s="36">
        <v>0.7</v>
      </c>
      <c r="M58" t="s">
        <v>289</v>
      </c>
      <c r="N58">
        <f>C54/N57</f>
        <v>1.0361899519200002</v>
      </c>
      <c r="O58" t="s">
        <v>382</v>
      </c>
    </row>
    <row r="59" spans="1:15" x14ac:dyDescent="0.15">
      <c r="A59" t="s">
        <v>371</v>
      </c>
      <c r="B59">
        <f>0.7*B53</f>
        <v>100740.68977</v>
      </c>
      <c r="M59" t="s">
        <v>383</v>
      </c>
      <c r="N59">
        <v>183.81</v>
      </c>
      <c r="O59" t="s">
        <v>384</v>
      </c>
    </row>
    <row r="60" spans="1:15" x14ac:dyDescent="0.15">
      <c r="A60" t="s">
        <v>372</v>
      </c>
      <c r="B60">
        <f>0.9*B59</f>
        <v>90666.620792999995</v>
      </c>
      <c r="M60" t="s">
        <v>385</v>
      </c>
      <c r="N60">
        <f>N59*N58/2</f>
        <v>95.231037531207619</v>
      </c>
    </row>
    <row r="61" spans="1:15" x14ac:dyDescent="0.15">
      <c r="A61" t="s">
        <v>376</v>
      </c>
      <c r="B61">
        <f>0.05*B59</f>
        <v>5037.0344885000004</v>
      </c>
    </row>
    <row r="62" spans="1:15" x14ac:dyDescent="0.15">
      <c r="A62" t="s">
        <v>379</v>
      </c>
      <c r="B62">
        <f>0.05*B59</f>
        <v>5037.0344885000004</v>
      </c>
    </row>
    <row r="64" spans="1:15" x14ac:dyDescent="0.15">
      <c r="A64" t="s">
        <v>349</v>
      </c>
      <c r="B64" t="s">
        <v>386</v>
      </c>
      <c r="C64" t="s">
        <v>387</v>
      </c>
      <c r="M64" t="s">
        <v>388</v>
      </c>
      <c r="N64" s="151">
        <v>80660</v>
      </c>
    </row>
    <row r="65" spans="1:14" x14ac:dyDescent="0.15">
      <c r="A65" t="s">
        <v>351</v>
      </c>
      <c r="B65">
        <f>0.05*0.02*'E-Inv AF y Am'!B20</f>
        <v>34301.662806824999</v>
      </c>
      <c r="C65">
        <f>0.9*B65</f>
        <v>30871.496526142499</v>
      </c>
      <c r="M65" t="s">
        <v>389</v>
      </c>
      <c r="N65">
        <f>N64*N58</f>
        <v>83579.081521867221</v>
      </c>
    </row>
    <row r="66" spans="1:14" x14ac:dyDescent="0.15">
      <c r="A66" t="s">
        <v>354</v>
      </c>
      <c r="B66" s="144">
        <f>0.01*'E-Inv AF y Am'!C20</f>
        <v>0</v>
      </c>
      <c r="C66" s="144">
        <f>0.9*B66</f>
        <v>0</v>
      </c>
      <c r="D66" t="s">
        <v>390</v>
      </c>
      <c r="M66" t="s">
        <v>385</v>
      </c>
      <c r="N66">
        <f>N59*N58/2</f>
        <v>95.231037531207619</v>
      </c>
    </row>
    <row r="67" spans="1:14" x14ac:dyDescent="0.15">
      <c r="A67" t="s">
        <v>357</v>
      </c>
      <c r="B67">
        <f>0.02*E29</f>
        <v>64497.599999999999</v>
      </c>
      <c r="C67">
        <f>0.9*B67</f>
        <v>58047.839999999997</v>
      </c>
      <c r="M67" t="s">
        <v>391</v>
      </c>
      <c r="N67">
        <f>C54-N65-N66</f>
        <v>45849.431430601588</v>
      </c>
    </row>
    <row r="68" spans="1:14" x14ac:dyDescent="0.15">
      <c r="A68" t="s">
        <v>126</v>
      </c>
      <c r="B68">
        <f>SUM(B65:B67)</f>
        <v>98799.262806824991</v>
      </c>
      <c r="C68">
        <f>SUM(C65:C67)</f>
        <v>88919.336526142491</v>
      </c>
    </row>
    <row r="70" spans="1:14" x14ac:dyDescent="0.15">
      <c r="A70" t="s">
        <v>350</v>
      </c>
      <c r="B70" t="s">
        <v>386</v>
      </c>
      <c r="C70" t="s">
        <v>387</v>
      </c>
      <c r="M70" s="13"/>
    </row>
    <row r="71" spans="1:14" x14ac:dyDescent="0.15">
      <c r="A71" t="s">
        <v>351</v>
      </c>
      <c r="B71">
        <f>0.015*0.05*'E-Inv AF y Am'!B20</f>
        <v>25726.247105118749</v>
      </c>
      <c r="C71">
        <f>0.9*B71</f>
        <v>23153.622394606875</v>
      </c>
    </row>
    <row r="72" spans="1:14" x14ac:dyDescent="0.15">
      <c r="A72" t="s">
        <v>354</v>
      </c>
      <c r="B72" s="144">
        <f>0.02*'E-Inv AF y Am'!C20</f>
        <v>0</v>
      </c>
      <c r="C72" s="144">
        <f>0.9*B72</f>
        <v>0</v>
      </c>
      <c r="D72" t="s">
        <v>390</v>
      </c>
    </row>
    <row r="73" spans="1:14" x14ac:dyDescent="0.15">
      <c r="A73" t="s">
        <v>357</v>
      </c>
      <c r="B73">
        <f>0.02*E37</f>
        <v>25344</v>
      </c>
      <c r="C73">
        <f>0.9*B73</f>
        <v>22809.600000000002</v>
      </c>
    </row>
    <row r="74" spans="1:14" x14ac:dyDescent="0.15">
      <c r="A74" t="s">
        <v>126</v>
      </c>
      <c r="B74">
        <f>SUM(B71:B73)</f>
        <v>51070.247105118746</v>
      </c>
      <c r="C74">
        <f>SUM(C71:C73)</f>
        <v>45963.222394606877</v>
      </c>
    </row>
    <row r="76" spans="1:14" x14ac:dyDescent="0.15">
      <c r="A76" s="135" t="s">
        <v>375</v>
      </c>
      <c r="B76" s="135" t="s">
        <v>392</v>
      </c>
      <c r="C76" s="135"/>
      <c r="E76" t="s">
        <v>393</v>
      </c>
      <c r="F76" s="135" t="s">
        <v>347</v>
      </c>
      <c r="G76" s="135" t="s">
        <v>392</v>
      </c>
    </row>
    <row r="77" spans="1:14" x14ac:dyDescent="0.15">
      <c r="A77" t="s">
        <v>394</v>
      </c>
      <c r="B77">
        <v>35000</v>
      </c>
      <c r="E77" t="s">
        <v>395</v>
      </c>
      <c r="F77" s="36">
        <v>0.05</v>
      </c>
      <c r="G77">
        <f>150000*0.05</f>
        <v>7500</v>
      </c>
    </row>
    <row r="78" spans="1:14" x14ac:dyDescent="0.15">
      <c r="A78" t="s">
        <v>396</v>
      </c>
      <c r="B78">
        <v>30000</v>
      </c>
      <c r="C78" t="s">
        <v>397</v>
      </c>
      <c r="E78" t="s">
        <v>398</v>
      </c>
      <c r="F78" s="34">
        <v>5.0000000000000001E-4</v>
      </c>
      <c r="G78">
        <f>125000*400*0.0005</f>
        <v>25000</v>
      </c>
    </row>
    <row r="79" spans="1:14" x14ac:dyDescent="0.15">
      <c r="A79" t="s">
        <v>399</v>
      </c>
      <c r="B79">
        <v>10000</v>
      </c>
      <c r="E79" t="s">
        <v>400</v>
      </c>
      <c r="F79" s="34">
        <v>1.2999999999999999E-2</v>
      </c>
      <c r="G79">
        <f>125000*400*0.013</f>
        <v>650000</v>
      </c>
    </row>
    <row r="80" spans="1:14" x14ac:dyDescent="0.15">
      <c r="A80" t="s">
        <v>401</v>
      </c>
      <c r="B80">
        <v>30000</v>
      </c>
      <c r="E80" t="s">
        <v>126</v>
      </c>
      <c r="G80">
        <f>SUM(G77:G79)</f>
        <v>682500</v>
      </c>
    </row>
    <row r="81" spans="1:19" x14ac:dyDescent="0.15">
      <c r="A81" t="s">
        <v>126</v>
      </c>
      <c r="B81">
        <f>SUM(B77:B80)</f>
        <v>105000</v>
      </c>
    </row>
    <row r="83" spans="1:19" x14ac:dyDescent="0.15">
      <c r="A83" s="135" t="s">
        <v>402</v>
      </c>
      <c r="B83" s="135" t="s">
        <v>392</v>
      </c>
      <c r="E83" t="s">
        <v>403</v>
      </c>
      <c r="F83" s="135" t="s">
        <v>347</v>
      </c>
      <c r="G83" s="135" t="s">
        <v>392</v>
      </c>
    </row>
    <row r="84" spans="1:19" x14ac:dyDescent="0.15">
      <c r="A84" t="s">
        <v>394</v>
      </c>
      <c r="B84">
        <v>35000</v>
      </c>
      <c r="E84" t="s">
        <v>404</v>
      </c>
      <c r="F84" s="36">
        <v>0.03</v>
      </c>
      <c r="G84">
        <f>125000*400*0.03</f>
        <v>1500000</v>
      </c>
    </row>
    <row r="85" spans="1:19" x14ac:dyDescent="0.15">
      <c r="A85" t="s">
        <v>396</v>
      </c>
      <c r="B85">
        <v>30000</v>
      </c>
      <c r="C85" t="s">
        <v>397</v>
      </c>
      <c r="E85" t="s">
        <v>126</v>
      </c>
      <c r="G85">
        <f>G84</f>
        <v>1500000</v>
      </c>
    </row>
    <row r="86" spans="1:19" x14ac:dyDescent="0.15">
      <c r="A86" t="s">
        <v>399</v>
      </c>
      <c r="B86">
        <v>10000</v>
      </c>
    </row>
    <row r="87" spans="1:19" x14ac:dyDescent="0.15">
      <c r="A87" t="s">
        <v>401</v>
      </c>
      <c r="B87">
        <v>30000</v>
      </c>
    </row>
    <row r="88" spans="1:19" x14ac:dyDescent="0.15">
      <c r="A88" t="s">
        <v>405</v>
      </c>
      <c r="B88">
        <v>40000</v>
      </c>
    </row>
    <row r="89" spans="1:19" x14ac:dyDescent="0.15">
      <c r="A89" t="s">
        <v>126</v>
      </c>
      <c r="B89">
        <f>SUM(B84:B88)</f>
        <v>145000</v>
      </c>
    </row>
    <row r="90" spans="1:19" x14ac:dyDescent="0.15">
      <c r="A90" s="152"/>
      <c r="B90" s="152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2"/>
    </row>
    <row r="91" spans="1:19" x14ac:dyDescent="0.15">
      <c r="N91" t="s">
        <v>406</v>
      </c>
      <c r="O91" t="s">
        <v>407</v>
      </c>
      <c r="P91" t="s">
        <v>335</v>
      </c>
    </row>
    <row r="92" spans="1:19" x14ac:dyDescent="0.15">
      <c r="N92" s="153">
        <v>1</v>
      </c>
      <c r="O92">
        <v>87113</v>
      </c>
      <c r="P92">
        <v>80660</v>
      </c>
    </row>
    <row r="93" spans="1:19" x14ac:dyDescent="0.15">
      <c r="A93" s="154" t="s">
        <v>408</v>
      </c>
      <c r="N93" s="155" t="s">
        <v>409</v>
      </c>
      <c r="O93">
        <v>130000</v>
      </c>
      <c r="P93">
        <v>125000</v>
      </c>
    </row>
    <row r="95" spans="1:19" x14ac:dyDescent="0.15">
      <c r="M95" s="1" t="s">
        <v>410</v>
      </c>
    </row>
    <row r="96" spans="1:19" x14ac:dyDescent="0.15">
      <c r="M96" t="s">
        <v>411</v>
      </c>
      <c r="N96">
        <f>O93/N129</f>
        <v>1.04</v>
      </c>
    </row>
    <row r="97" spans="13:15" x14ac:dyDescent="0.15">
      <c r="M97" t="s">
        <v>412</v>
      </c>
      <c r="N97">
        <f>O93*'E-InvAT Datos y links'!D12</f>
        <v>17160000</v>
      </c>
      <c r="O97" t="s">
        <v>413</v>
      </c>
    </row>
    <row r="98" spans="13:15" x14ac:dyDescent="0.15">
      <c r="M98" t="s">
        <v>289</v>
      </c>
      <c r="N98">
        <f>N97/N129</f>
        <v>137.28</v>
      </c>
    </row>
    <row r="102" spans="13:15" x14ac:dyDescent="0.15">
      <c r="M102" s="1" t="s">
        <v>56</v>
      </c>
    </row>
    <row r="104" spans="13:15" x14ac:dyDescent="0.15">
      <c r="M104" t="s">
        <v>414</v>
      </c>
      <c r="N104">
        <f>O92</f>
        <v>87113</v>
      </c>
    </row>
    <row r="105" spans="13:15" x14ac:dyDescent="0.15">
      <c r="M105" t="s">
        <v>415</v>
      </c>
      <c r="N105">
        <f>P92*N96</f>
        <v>83886.400000000009</v>
      </c>
    </row>
    <row r="106" spans="13:15" x14ac:dyDescent="0.15">
      <c r="M106" t="s">
        <v>416</v>
      </c>
      <c r="N106">
        <v>201</v>
      </c>
      <c r="O106" t="s">
        <v>384</v>
      </c>
    </row>
    <row r="107" spans="13:15" x14ac:dyDescent="0.15">
      <c r="M107" t="s">
        <v>417</v>
      </c>
      <c r="N107">
        <f>N104-N105-N106</f>
        <v>3025.5999999999913</v>
      </c>
    </row>
    <row r="110" spans="13:15" x14ac:dyDescent="0.15">
      <c r="M110" t="s">
        <v>418</v>
      </c>
      <c r="N110">
        <f>N106*'E-InvAT Datos y links'!D12</f>
        <v>26532</v>
      </c>
    </row>
    <row r="111" spans="13:15" x14ac:dyDescent="0.15">
      <c r="M111" t="s">
        <v>419</v>
      </c>
      <c r="N111">
        <f>N107*'E-InvAT Datos y links'!D12</f>
        <v>399379.19999999885</v>
      </c>
    </row>
    <row r="116" spans="1:15" x14ac:dyDescent="0.15">
      <c r="M116" s="13" t="s">
        <v>420</v>
      </c>
    </row>
    <row r="121" spans="1:15" x14ac:dyDescent="0.15">
      <c r="A121" s="154" t="s">
        <v>421</v>
      </c>
    </row>
    <row r="122" spans="1:15" x14ac:dyDescent="0.15">
      <c r="A122" t="s">
        <v>422</v>
      </c>
    </row>
    <row r="123" spans="1:15" x14ac:dyDescent="0.15">
      <c r="A123" s="156"/>
      <c r="B123" s="157"/>
      <c r="C123" s="157" t="s">
        <v>423</v>
      </c>
      <c r="D123" s="157" t="s">
        <v>424</v>
      </c>
      <c r="E123" s="157" t="s">
        <v>423</v>
      </c>
      <c r="F123" s="157" t="s">
        <v>56</v>
      </c>
      <c r="G123" s="157" t="s">
        <v>343</v>
      </c>
      <c r="H123" s="158" t="s">
        <v>345</v>
      </c>
      <c r="N123" s="13" t="s">
        <v>425</v>
      </c>
    </row>
    <row r="124" spans="1:15" x14ac:dyDescent="0.15">
      <c r="A124" s="159" t="s">
        <v>351</v>
      </c>
      <c r="B124" s="160">
        <v>0.01</v>
      </c>
      <c r="C124" s="64" t="s">
        <v>426</v>
      </c>
      <c r="D124" s="64"/>
      <c r="E124" s="64"/>
      <c r="F124" s="64"/>
      <c r="G124" s="64"/>
      <c r="H124" s="161">
        <f>('E-Inv AF y Am'!D20-'E-Costos Datos y links'!I23)*'E-Costos Datos y links'!B124*'E-Costos Datos y links'!B133</f>
        <v>1624.3984320300001</v>
      </c>
      <c r="N124" t="s">
        <v>427</v>
      </c>
    </row>
    <row r="125" spans="1:15" x14ac:dyDescent="0.15">
      <c r="A125" s="159" t="s">
        <v>90</v>
      </c>
      <c r="B125" s="160">
        <v>1.6E-2</v>
      </c>
      <c r="C125" s="64" t="s">
        <v>426</v>
      </c>
      <c r="D125" s="64">
        <f>(11%+5%)</f>
        <v>0.16</v>
      </c>
      <c r="E125" s="64" t="s">
        <v>428</v>
      </c>
      <c r="F125" s="64"/>
      <c r="G125" s="64"/>
      <c r="H125" s="161">
        <f>(N125*B125+N126*D125+I125)</f>
        <v>25761.394560000004</v>
      </c>
      <c r="I125">
        <f>(N125*B125+N126*D125)*B131</f>
        <v>2341.9449600000003</v>
      </c>
      <c r="J125" s="36">
        <v>0.1</v>
      </c>
      <c r="M125" t="s">
        <v>90</v>
      </c>
      <c r="N125">
        <f>SUM('E-Inv AF y Am'!B11:D15)-'E-Inv AF y Am Datos y links'!B86</f>
        <v>1449210.12</v>
      </c>
      <c r="O125" t="s">
        <v>429</v>
      </c>
    </row>
    <row r="126" spans="1:15" x14ac:dyDescent="0.15">
      <c r="A126" s="159" t="s">
        <v>335</v>
      </c>
      <c r="B126" s="160">
        <v>1.4999999999999999E-2</v>
      </c>
      <c r="C126" s="64" t="s">
        <v>430</v>
      </c>
      <c r="D126" s="64"/>
      <c r="E126" s="64"/>
      <c r="F126" s="64"/>
      <c r="G126" s="64"/>
      <c r="H126" s="161">
        <f>B126*'E-Costos'!E7</f>
        <v>257400</v>
      </c>
      <c r="N126">
        <f>'E-Inv AF y Am Datos y links'!B86*D125</f>
        <v>1450.5480000000002</v>
      </c>
      <c r="O126" t="s">
        <v>431</v>
      </c>
    </row>
    <row r="127" spans="1:15" x14ac:dyDescent="0.15">
      <c r="A127" s="159" t="s">
        <v>238</v>
      </c>
      <c r="B127" s="160">
        <v>0.03</v>
      </c>
      <c r="C127" s="64" t="s">
        <v>432</v>
      </c>
      <c r="D127" s="64"/>
      <c r="E127" s="64"/>
      <c r="F127" s="64"/>
      <c r="G127" s="64"/>
      <c r="H127" s="161">
        <f>('E-Costos'!F8+'E-Costos'!F11)*B127</f>
        <v>184377.60000000001</v>
      </c>
    </row>
    <row r="128" spans="1:15" x14ac:dyDescent="0.15">
      <c r="A128" s="162" t="s">
        <v>433</v>
      </c>
      <c r="B128" s="163"/>
      <c r="C128" s="163"/>
      <c r="D128" s="163"/>
      <c r="E128" s="163"/>
      <c r="F128" s="163">
        <f>G128*0.9</f>
        <v>418624.93111682701</v>
      </c>
      <c r="G128" s="163">
        <f>H128-N126-N126*D125-I125</f>
        <v>465138.81235203001</v>
      </c>
      <c r="H128" s="164">
        <f>SUM(H124:H127)</f>
        <v>469163.39299203001</v>
      </c>
    </row>
    <row r="129" spans="1:15" x14ac:dyDescent="0.15">
      <c r="M129" t="s">
        <v>381</v>
      </c>
      <c r="N129">
        <v>125000</v>
      </c>
    </row>
    <row r="130" spans="1:15" x14ac:dyDescent="0.15">
      <c r="M130" t="s">
        <v>289</v>
      </c>
      <c r="N130">
        <f>H128/N129</f>
        <v>3.7533071439362402</v>
      </c>
    </row>
    <row r="131" spans="1:15" x14ac:dyDescent="0.15">
      <c r="A131" t="s">
        <v>434</v>
      </c>
      <c r="B131" s="36">
        <v>0.1</v>
      </c>
      <c r="M131" t="s">
        <v>383</v>
      </c>
      <c r="N131">
        <v>183.81</v>
      </c>
      <c r="O131" t="s">
        <v>384</v>
      </c>
    </row>
    <row r="132" spans="1:15" x14ac:dyDescent="0.15">
      <c r="A132" t="s">
        <v>435</v>
      </c>
      <c r="M132" t="s">
        <v>385</v>
      </c>
      <c r="N132">
        <f>N131*N130/2</f>
        <v>344.94769306346018</v>
      </c>
    </row>
    <row r="133" spans="1:15" x14ac:dyDescent="0.15">
      <c r="B133" s="36">
        <v>0.9</v>
      </c>
      <c r="C133" t="s">
        <v>436</v>
      </c>
    </row>
    <row r="136" spans="1:15" x14ac:dyDescent="0.15">
      <c r="M136" t="s">
        <v>388</v>
      </c>
      <c r="N136" s="151">
        <v>80660</v>
      </c>
    </row>
    <row r="137" spans="1:15" x14ac:dyDescent="0.15">
      <c r="M137" t="s">
        <v>389</v>
      </c>
      <c r="N137">
        <f>N136*N130</f>
        <v>302741.75422989711</v>
      </c>
    </row>
    <row r="138" spans="1:15" x14ac:dyDescent="0.15">
      <c r="M138" t="s">
        <v>385</v>
      </c>
      <c r="N138">
        <f>N131*N130/2</f>
        <v>344.94769306346018</v>
      </c>
    </row>
    <row r="139" spans="1:15" x14ac:dyDescent="0.15">
      <c r="M139" t="s">
        <v>437</v>
      </c>
      <c r="N139">
        <f>F128-N137-N138</f>
        <v>115538.22919386644</v>
      </c>
    </row>
    <row r="142" spans="1:15" x14ac:dyDescent="0.15">
      <c r="M142" s="13" t="s">
        <v>438</v>
      </c>
    </row>
    <row r="149" spans="1:15" x14ac:dyDescent="0.15">
      <c r="A149" s="154" t="s">
        <v>439</v>
      </c>
    </row>
    <row r="150" spans="1:15" x14ac:dyDescent="0.15">
      <c r="M150" t="s">
        <v>440</v>
      </c>
      <c r="N150">
        <f>F152/N129</f>
        <v>0.13824000000000003</v>
      </c>
      <c r="O150" t="s">
        <v>382</v>
      </c>
    </row>
    <row r="151" spans="1:15" x14ac:dyDescent="0.15">
      <c r="A151" s="165" t="s">
        <v>441</v>
      </c>
      <c r="B151" s="166" t="s">
        <v>122</v>
      </c>
      <c r="C151" s="166" t="s">
        <v>442</v>
      </c>
      <c r="D151" s="166" t="s">
        <v>443</v>
      </c>
      <c r="E151" s="166" t="s">
        <v>442</v>
      </c>
      <c r="F151" s="166" t="s">
        <v>444</v>
      </c>
      <c r="G151" s="167" t="s">
        <v>445</v>
      </c>
      <c r="M151" t="s">
        <v>446</v>
      </c>
      <c r="N151">
        <f>N150*N131/2</f>
        <v>12.704947200000003</v>
      </c>
    </row>
    <row r="152" spans="1:15" x14ac:dyDescent="0.15">
      <c r="A152" s="168" t="s">
        <v>447</v>
      </c>
      <c r="B152" s="169">
        <v>1.5</v>
      </c>
      <c r="C152" s="169" t="s">
        <v>448</v>
      </c>
      <c r="D152" s="169">
        <v>2440</v>
      </c>
      <c r="E152" s="169" t="s">
        <v>449</v>
      </c>
      <c r="F152" s="163">
        <f>B159*B160*B161*B162</f>
        <v>17280.000000000004</v>
      </c>
      <c r="G152" s="164">
        <f>0.95*F152</f>
        <v>16416.000000000004</v>
      </c>
    </row>
    <row r="153" spans="1:15" x14ac:dyDescent="0.15">
      <c r="M153" t="s">
        <v>450</v>
      </c>
      <c r="N153">
        <f>N136*N150</f>
        <v>11150.438400000003</v>
      </c>
    </row>
    <row r="154" spans="1:15" x14ac:dyDescent="0.15">
      <c r="M154" t="s">
        <v>451</v>
      </c>
      <c r="N154">
        <f>N150*N131/2</f>
        <v>12.704947200000003</v>
      </c>
    </row>
    <row r="155" spans="1:15" x14ac:dyDescent="0.15">
      <c r="M155" t="s">
        <v>452</v>
      </c>
      <c r="N155">
        <f>G152-N153-N154</f>
        <v>5252.856652800001</v>
      </c>
    </row>
    <row r="156" spans="1:15" x14ac:dyDescent="0.15">
      <c r="A156" t="s">
        <v>453</v>
      </c>
    </row>
    <row r="157" spans="1:15" x14ac:dyDescent="0.15">
      <c r="M157" s="13" t="s">
        <v>454</v>
      </c>
    </row>
    <row r="159" spans="1:15" x14ac:dyDescent="0.15">
      <c r="A159" t="s">
        <v>455</v>
      </c>
      <c r="B159">
        <v>0.4</v>
      </c>
    </row>
    <row r="160" spans="1:15" x14ac:dyDescent="0.15">
      <c r="A160" t="s">
        <v>456</v>
      </c>
      <c r="B160">
        <v>6</v>
      </c>
    </row>
    <row r="161" spans="1:15" x14ac:dyDescent="0.15">
      <c r="A161" t="s">
        <v>457</v>
      </c>
      <c r="B161">
        <v>240</v>
      </c>
    </row>
    <row r="162" spans="1:15" x14ac:dyDescent="0.15">
      <c r="A162" t="s">
        <v>458</v>
      </c>
      <c r="B162">
        <v>30</v>
      </c>
    </row>
    <row r="168" spans="1:15" x14ac:dyDescent="0.15">
      <c r="A168" s="64"/>
      <c r="B168" s="64"/>
      <c r="C168" s="64"/>
      <c r="D168" s="64"/>
      <c r="E168" s="64"/>
      <c r="F168" s="64"/>
      <c r="G168" s="64"/>
    </row>
    <row r="169" spans="1:15" x14ac:dyDescent="0.15">
      <c r="A169" s="64"/>
      <c r="B169" s="64"/>
      <c r="C169" s="64"/>
      <c r="D169" s="64"/>
      <c r="E169" s="64"/>
      <c r="F169" s="64"/>
      <c r="G169" s="64"/>
    </row>
    <row r="170" spans="1:15" x14ac:dyDescent="0.15">
      <c r="A170" s="64"/>
      <c r="B170" s="64"/>
      <c r="C170" s="64"/>
      <c r="D170" s="64"/>
      <c r="E170" s="64"/>
      <c r="F170" s="64"/>
      <c r="G170" s="64"/>
    </row>
    <row r="171" spans="1:15" x14ac:dyDescent="0.15">
      <c r="A171" s="170" t="s">
        <v>459</v>
      </c>
      <c r="B171" s="64"/>
      <c r="C171" s="64"/>
      <c r="D171" s="64"/>
      <c r="E171" s="64"/>
      <c r="F171" s="64"/>
      <c r="G171" s="64"/>
    </row>
    <row r="172" spans="1:15" x14ac:dyDescent="0.15">
      <c r="A172" s="64"/>
      <c r="B172" s="64"/>
      <c r="C172" s="64"/>
      <c r="D172" s="64"/>
      <c r="E172" s="64"/>
      <c r="F172" s="64"/>
      <c r="G172" s="64"/>
      <c r="M172" t="s">
        <v>460</v>
      </c>
      <c r="N172">
        <f>F176/N129</f>
        <v>2.4798960000000001</v>
      </c>
      <c r="O172" t="s">
        <v>382</v>
      </c>
    </row>
    <row r="173" spans="1:15" x14ac:dyDescent="0.15">
      <c r="A173" s="171"/>
      <c r="B173" s="172"/>
      <c r="C173" s="172"/>
      <c r="D173" s="172"/>
      <c r="E173" s="172"/>
      <c r="F173" s="172" t="s">
        <v>56</v>
      </c>
      <c r="G173" s="173" t="s">
        <v>410</v>
      </c>
      <c r="M173" t="s">
        <v>461</v>
      </c>
      <c r="N173">
        <f>N131*N172/2</f>
        <v>227.91484188000001</v>
      </c>
    </row>
    <row r="174" spans="1:15" x14ac:dyDescent="0.15">
      <c r="A174" s="159" t="s">
        <v>462</v>
      </c>
      <c r="B174" s="160">
        <v>8.0000000000000002E-3</v>
      </c>
      <c r="C174" s="64" t="s">
        <v>463</v>
      </c>
      <c r="D174" s="67">
        <v>0.9</v>
      </c>
      <c r="E174" s="64" t="s">
        <v>464</v>
      </c>
      <c r="F174" s="64">
        <f>B178*B174*D174</f>
        <v>137772</v>
      </c>
      <c r="G174" s="161">
        <f>B174*D174*B178</f>
        <v>137772</v>
      </c>
    </row>
    <row r="175" spans="1:15" x14ac:dyDescent="0.15">
      <c r="A175" s="162" t="s">
        <v>465</v>
      </c>
      <c r="B175" s="174">
        <v>0.01</v>
      </c>
      <c r="C175" s="163"/>
      <c r="D175" s="174">
        <v>0.9</v>
      </c>
      <c r="E175" s="163" t="s">
        <v>464</v>
      </c>
      <c r="F175" s="163">
        <f>B178*B175*D175</f>
        <v>172215</v>
      </c>
      <c r="G175" s="164">
        <f>B175*D175*B178</f>
        <v>172215.00000000003</v>
      </c>
    </row>
    <row r="176" spans="1:15" x14ac:dyDescent="0.15">
      <c r="E176" t="s">
        <v>126</v>
      </c>
      <c r="F176">
        <f>SUM(F174:F175)</f>
        <v>309987</v>
      </c>
      <c r="G176">
        <f>SUM(G174:G175)</f>
        <v>309987</v>
      </c>
    </row>
    <row r="177" spans="1:14" x14ac:dyDescent="0.15">
      <c r="M177" t="s">
        <v>466</v>
      </c>
      <c r="N177">
        <f>G176/N136</f>
        <v>3.8431316637738657</v>
      </c>
    </row>
    <row r="178" spans="1:14" x14ac:dyDescent="0.15">
      <c r="A178" s="73" t="s">
        <v>467</v>
      </c>
      <c r="B178" s="74">
        <f>SUM('E-Inv AF y Am'!B7:B8)</f>
        <v>19135000</v>
      </c>
      <c r="M178" t="s">
        <v>468</v>
      </c>
      <c r="N178">
        <f>N177*N131/2</f>
        <v>353.20301555913716</v>
      </c>
    </row>
    <row r="180" spans="1:14" x14ac:dyDescent="0.15">
      <c r="M180" s="13" t="s">
        <v>469</v>
      </c>
    </row>
    <row r="186" spans="1:14" x14ac:dyDescent="0.15">
      <c r="A186" s="154" t="s">
        <v>470</v>
      </c>
    </row>
    <row r="188" spans="1:14" x14ac:dyDescent="0.15">
      <c r="A188" t="s">
        <v>471</v>
      </c>
      <c r="B188" s="36">
        <v>3.5000000000000003E-2</v>
      </c>
      <c r="D188" s="136"/>
      <c r="E188" s="136" t="s">
        <v>56</v>
      </c>
      <c r="F188" s="136" t="s">
        <v>386</v>
      </c>
    </row>
    <row r="189" spans="1:14" x14ac:dyDescent="0.15">
      <c r="D189" s="159" t="s">
        <v>472</v>
      </c>
      <c r="E189" s="64">
        <f>SUM('E-Costos'!B7:B15)</f>
        <v>18900967.422543328</v>
      </c>
      <c r="F189" s="161">
        <f>SUM('E-Costos'!C7:C15)</f>
        <v>26492062.426975533</v>
      </c>
    </row>
    <row r="190" spans="1:14" x14ac:dyDescent="0.15">
      <c r="D190" s="162" t="s">
        <v>21</v>
      </c>
      <c r="E190" s="163">
        <f>E189*B188</f>
        <v>661533.85978901654</v>
      </c>
      <c r="F190" s="164">
        <f>F189*B188</f>
        <v>927222.18494414375</v>
      </c>
    </row>
    <row r="197" spans="1:6" x14ac:dyDescent="0.15">
      <c r="A197" s="175" t="s">
        <v>406</v>
      </c>
      <c r="B197" s="176">
        <v>1</v>
      </c>
      <c r="C197" s="176">
        <v>2</v>
      </c>
      <c r="D197" s="176">
        <v>3</v>
      </c>
      <c r="E197" s="176">
        <v>4</v>
      </c>
      <c r="F197" s="177">
        <v>5</v>
      </c>
    </row>
    <row r="198" spans="1:6" x14ac:dyDescent="0.15">
      <c r="A198" s="159" t="s">
        <v>473</v>
      </c>
      <c r="B198" s="64">
        <v>2404</v>
      </c>
      <c r="C198" s="64">
        <v>2404</v>
      </c>
      <c r="D198" s="64">
        <v>2404</v>
      </c>
      <c r="E198" s="64">
        <v>2404</v>
      </c>
      <c r="F198" s="161">
        <v>2404</v>
      </c>
    </row>
    <row r="199" spans="1:6" x14ac:dyDescent="0.15">
      <c r="A199" s="159"/>
      <c r="B199" s="64"/>
      <c r="C199" s="64"/>
      <c r="D199" s="64"/>
      <c r="E199" s="64"/>
      <c r="F199" s="161"/>
    </row>
    <row r="200" spans="1:6" x14ac:dyDescent="0.15">
      <c r="A200" s="159" t="s">
        <v>474</v>
      </c>
      <c r="B200" s="178">
        <f>2404*'E-Costos'!B102</f>
        <v>556495.25411479094</v>
      </c>
      <c r="C200" s="178">
        <f>2404*'E-Costos'!C102</f>
        <v>526662.92500179599</v>
      </c>
      <c r="D200" s="178">
        <f>2404*'E-Costos'!D102</f>
        <v>526662.92500179599</v>
      </c>
      <c r="E200" s="178">
        <f>2404*'E-Costos'!E102</f>
        <v>526688.006460562</v>
      </c>
      <c r="F200" s="179">
        <f>2404*'E-Costos'!F102</f>
        <v>526688.006460562</v>
      </c>
    </row>
    <row r="201" spans="1:6" x14ac:dyDescent="0.15">
      <c r="A201" s="159" t="s">
        <v>475</v>
      </c>
      <c r="B201" s="64"/>
      <c r="C201" s="64">
        <f>B200</f>
        <v>556495.25411479094</v>
      </c>
      <c r="D201" s="64">
        <f>C200</f>
        <v>526662.92500179599</v>
      </c>
      <c r="E201" s="178">
        <f>D200</f>
        <v>526662.92500179599</v>
      </c>
      <c r="F201" s="179">
        <f>E200</f>
        <v>526688.006460562</v>
      </c>
    </row>
    <row r="202" spans="1:6" x14ac:dyDescent="0.15">
      <c r="A202" s="159" t="s">
        <v>476</v>
      </c>
      <c r="B202" s="178">
        <f>B200-B201</f>
        <v>556495.25411479094</v>
      </c>
      <c r="C202" s="178">
        <f>C200-C201</f>
        <v>-29832.32911299495</v>
      </c>
      <c r="D202" s="178">
        <f>D200-D201</f>
        <v>0</v>
      </c>
      <c r="E202" s="178">
        <f>E200-E201</f>
        <v>25.081458766013384</v>
      </c>
      <c r="F202" s="179">
        <f>F200-F201</f>
        <v>0</v>
      </c>
    </row>
    <row r="203" spans="1:6" x14ac:dyDescent="0.15">
      <c r="A203" s="180"/>
      <c r="B203" s="163"/>
      <c r="C203" s="163"/>
      <c r="D203" s="163"/>
      <c r="E203" s="163"/>
      <c r="F203" s="164"/>
    </row>
    <row r="208" spans="1:6" x14ac:dyDescent="0.15">
      <c r="A208" s="181" t="s">
        <v>406</v>
      </c>
      <c r="B208" s="182" t="s">
        <v>407</v>
      </c>
    </row>
    <row r="209" spans="1:2" x14ac:dyDescent="0.15">
      <c r="A209" s="183">
        <v>1</v>
      </c>
      <c r="B209" s="161">
        <v>87113</v>
      </c>
    </row>
    <row r="210" spans="1:2" x14ac:dyDescent="0.15">
      <c r="A210" s="184" t="s">
        <v>409</v>
      </c>
      <c r="B210" s="164">
        <v>130000</v>
      </c>
    </row>
  </sheetData>
  <mergeCells count="1">
    <mergeCell ref="G28:K28"/>
  </mergeCells>
  <hyperlinks>
    <hyperlink ref="G50" r:id="rId1" xr:uid="{00000000-0004-0000-0400-000000000000}"/>
  </hyperlinks>
  <pageMargins left="0.7" right="0.7" top="0.75" bottom="0.75" header="0.51180555555555496" footer="0.51180555555555496"/>
  <pageSetup paperSize="9" firstPageNumber="0" orientation="portrait" horizontalDpi="300" verticalDpi="30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6"/>
  <sheetViews>
    <sheetView topLeftCell="A2" zoomScale="90" zoomScaleNormal="90" workbookViewId="0">
      <selection activeCell="B9" sqref="B9:G14"/>
    </sheetView>
  </sheetViews>
  <sheetFormatPr baseColWidth="10" defaultColWidth="8.83203125" defaultRowHeight="13" x14ac:dyDescent="0.15"/>
  <cols>
    <col min="1" max="1" width="45.5" customWidth="1"/>
    <col min="2" max="2" width="16" customWidth="1"/>
    <col min="3" max="3" width="15.5" customWidth="1"/>
    <col min="4" max="7" width="14.83203125" customWidth="1"/>
    <col min="8" max="8" width="17.33203125" customWidth="1"/>
    <col min="9" max="9" width="33.6640625" customWidth="1"/>
    <col min="10" max="10" width="27.83203125" customWidth="1"/>
    <col min="11" max="11" width="10.5" customWidth="1"/>
    <col min="12" max="1025" width="11.33203125" customWidth="1"/>
  </cols>
  <sheetData>
    <row r="1" spans="1:16" x14ac:dyDescent="0.15">
      <c r="A1" s="1" t="s">
        <v>0</v>
      </c>
      <c r="E1" s="2">
        <v>14</v>
      </c>
    </row>
    <row r="2" spans="1:16" x14ac:dyDescent="0.15">
      <c r="A2" s="1"/>
      <c r="E2" s="64"/>
    </row>
    <row r="3" spans="1:16" ht="16" x14ac:dyDescent="0.2">
      <c r="A3" s="185" t="s">
        <v>477</v>
      </c>
      <c r="B3" s="186"/>
      <c r="C3" s="186"/>
      <c r="D3" s="186"/>
      <c r="E3" s="186"/>
      <c r="F3" s="186"/>
      <c r="G3" s="187"/>
    </row>
    <row r="4" spans="1:16" x14ac:dyDescent="0.15">
      <c r="A4" s="188" t="s">
        <v>206</v>
      </c>
      <c r="B4" s="22" t="s">
        <v>55</v>
      </c>
      <c r="C4" s="22" t="s">
        <v>56</v>
      </c>
      <c r="D4" s="22" t="s">
        <v>207</v>
      </c>
      <c r="E4" s="22" t="s">
        <v>208</v>
      </c>
      <c r="F4" s="22" t="s">
        <v>209</v>
      </c>
      <c r="G4" s="189" t="s">
        <v>210</v>
      </c>
    </row>
    <row r="5" spans="1:16" x14ac:dyDescent="0.15">
      <c r="A5" s="190" t="s">
        <v>478</v>
      </c>
      <c r="B5" s="191"/>
      <c r="C5" s="191"/>
      <c r="D5" s="191"/>
      <c r="E5" s="191"/>
      <c r="F5" s="191"/>
      <c r="G5" s="192"/>
    </row>
    <row r="6" spans="1:16" x14ac:dyDescent="0.15">
      <c r="A6" s="190" t="s">
        <v>479</v>
      </c>
      <c r="B6" s="82">
        <f>'E-InvAT Datos y links'!G5*C6</f>
        <v>800000</v>
      </c>
      <c r="C6" s="82">
        <f>InfoInicial!$B$19*'E-InvAT Datos y links'!$D$5*InfoInicial!$B$20</f>
        <v>1000000</v>
      </c>
      <c r="D6" s="82">
        <f>InfoInicial!$B$19*'E-InvAT Datos y links'!$D$5*InfoInicial!$B$20</f>
        <v>1000000</v>
      </c>
      <c r="E6" s="82">
        <f>InfoInicial!$B$19*'E-InvAT Datos y links'!$D$5*InfoInicial!$B$20</f>
        <v>1000000</v>
      </c>
      <c r="F6" s="82">
        <f>InfoInicial!$B$19*'E-InvAT Datos y links'!$D$5*InfoInicial!$B$20</f>
        <v>1000000</v>
      </c>
      <c r="G6" s="193">
        <f>InfoInicial!$B$19*'E-InvAT Datos y links'!$D$5*InfoInicial!$B$20</f>
        <v>1000000</v>
      </c>
      <c r="P6" s="64" t="s">
        <v>480</v>
      </c>
    </row>
    <row r="7" spans="1:16" x14ac:dyDescent="0.15">
      <c r="A7" s="190" t="s">
        <v>481</v>
      </c>
      <c r="B7" s="82">
        <v>0</v>
      </c>
      <c r="C7" s="82">
        <f>InfoInicial!$B$19*InfoInicial!$B$20*30/365</f>
        <v>4109589.0410958906</v>
      </c>
      <c r="D7" s="82">
        <f>InfoInicial!$B$19*InfoInicial!$B$20*30/365</f>
        <v>4109589.0410958906</v>
      </c>
      <c r="E7" s="82">
        <f>InfoInicial!$B$19*InfoInicial!$B$20*30/365</f>
        <v>4109589.0410958906</v>
      </c>
      <c r="F7" s="82">
        <f>InfoInicial!$B$19*InfoInicial!$B$20*30/365</f>
        <v>4109589.0410958906</v>
      </c>
      <c r="G7" s="193">
        <f>InfoInicial!$B$19*InfoInicial!$B$20*30/365</f>
        <v>4109589.0410958906</v>
      </c>
      <c r="O7" s="64" t="s">
        <v>480</v>
      </c>
    </row>
    <row r="8" spans="1:16" x14ac:dyDescent="0.15">
      <c r="A8" s="194"/>
      <c r="B8" s="105"/>
      <c r="C8" s="105"/>
      <c r="D8" s="105"/>
      <c r="E8" s="105"/>
      <c r="F8" s="105"/>
      <c r="G8" s="195"/>
    </row>
    <row r="9" spans="1:16" x14ac:dyDescent="0.15">
      <c r="A9" s="190" t="s">
        <v>482</v>
      </c>
      <c r="B9" s="392"/>
      <c r="C9" s="392"/>
      <c r="D9" s="392"/>
      <c r="E9" s="392"/>
      <c r="F9" s="392"/>
      <c r="G9" s="393"/>
    </row>
    <row r="10" spans="1:16" x14ac:dyDescent="0.15">
      <c r="A10" s="194" t="s">
        <v>483</v>
      </c>
      <c r="B10" s="394">
        <f>'E-InvAT Datos y links'!C21*'E-InvAT Datos y links'!D12</f>
        <v>1557600</v>
      </c>
      <c r="C10" s="394">
        <f>'E-InvAT Datos y links'!$D$21*('E-InvAT Datos y links'!$D$12)</f>
        <v>1833480</v>
      </c>
      <c r="D10" s="394">
        <f>'E-InvAT Datos y links'!$E$21*('E-InvAT Datos y links'!$D$12)</f>
        <v>1833480</v>
      </c>
      <c r="E10" s="394">
        <f>'E-InvAT Datos y links'!$E$21*('E-InvAT Datos y links'!$D$12)</f>
        <v>1833480</v>
      </c>
      <c r="F10" s="394">
        <f>'E-InvAT Datos y links'!$E$21*('E-InvAT Datos y links'!$D$12)</f>
        <v>1833480</v>
      </c>
      <c r="G10" s="395">
        <f>'E-InvAT Datos y links'!$E$21*('E-InvAT Datos y links'!$D$12)</f>
        <v>1833480</v>
      </c>
    </row>
    <row r="11" spans="1:16" x14ac:dyDescent="0.15">
      <c r="A11" s="194" t="s">
        <v>484</v>
      </c>
      <c r="B11" s="394">
        <f>'E-InvAT Datos y links'!G5*C11</f>
        <v>176442.14304144742</v>
      </c>
      <c r="C11" s="394">
        <f>'E-Costos'!B12*'E-InvAT Datos y links'!$C$27/12+'E-Costos'!B54*'E-InvAT Datos y links'!$C$28/12+'E-Costos'!B71*'E-InvAT Datos y links'!$C$29/12</f>
        <v>220552.67880180926</v>
      </c>
      <c r="D11" s="394">
        <f>'E-Costos'!C12*'E-InvAT Datos y links'!$C$27/12+'E-Costos'!C54*'E-InvAT Datos y links'!$C$28/12+'E-Costos'!C71*'E-InvAT Datos y links'!$C$29/12</f>
        <v>245058.5320020103</v>
      </c>
      <c r="E11" s="394">
        <f>'E-Costos'!D12*'E-InvAT Datos y links'!$C$27/12+'E-Costos'!D54*'E-InvAT Datos y links'!$C$28/12+'E-Costos'!D71*'E-InvAT Datos y links'!$C$29/12</f>
        <v>245058.5320020103</v>
      </c>
      <c r="F11" s="394">
        <f>'E-Costos'!E12*'E-InvAT Datos y links'!$C$27/12+'E-Costos'!E54*'E-InvAT Datos y links'!$C$28/12+'E-Costos'!E71*'E-InvAT Datos y links'!$C$29/12</f>
        <v>247070.82232201032</v>
      </c>
      <c r="G11" s="395">
        <f>'E-Costos'!F12*'E-InvAT Datos y links'!$C$27/12+'E-Costos'!F54*'E-InvAT Datos y links'!$C$28/12+'E-Costos'!F71*'E-InvAT Datos y links'!$C$29/12</f>
        <v>247070.82232201032</v>
      </c>
    </row>
    <row r="12" spans="1:16" x14ac:dyDescent="0.15">
      <c r="A12" s="194" t="s">
        <v>485</v>
      </c>
      <c r="B12" s="394">
        <f>'E-InvAT Datos y links'!C19*'E-InvAT Datos y links'!D12</f>
        <v>0</v>
      </c>
      <c r="C12" s="394">
        <f>'E-InvAT Datos y links'!D19*'E-InvAT Datos y links'!D12</f>
        <v>26532</v>
      </c>
      <c r="D12" s="394">
        <f>'E-InvAT Datos y links'!$E$19*'E-InvAT Datos y links'!$D$12</f>
        <v>26532</v>
      </c>
      <c r="E12" s="394">
        <f>'E-InvAT Datos y links'!$E$19*'E-InvAT Datos y links'!$D$12</f>
        <v>26532</v>
      </c>
      <c r="F12" s="394">
        <f>'E-InvAT Datos y links'!$E$19*'E-InvAT Datos y links'!$D$12</f>
        <v>26532</v>
      </c>
      <c r="G12" s="395">
        <f>'E-InvAT Datos y links'!$E$19*'E-InvAT Datos y links'!$D$12</f>
        <v>26532</v>
      </c>
    </row>
    <row r="13" spans="1:16" x14ac:dyDescent="0.15">
      <c r="A13" s="194" t="s">
        <v>486</v>
      </c>
      <c r="B13" s="394">
        <f>'E-InvAT Datos y links'!C16*'E-InvAT Datos y links'!D12</f>
        <v>0</v>
      </c>
      <c r="C13" s="394">
        <f>'E-InvAT Datos y links'!D16*'E-InvAT Datos y links'!D12</f>
        <v>317328</v>
      </c>
      <c r="D13" s="394">
        <f>'E-InvAT Datos y links'!$E$16*'E-InvAT Datos y links'!$D$12</f>
        <v>317328</v>
      </c>
      <c r="E13" s="394">
        <f>'E-InvAT Datos y links'!$E$16*'E-InvAT Datos y links'!$D$12</f>
        <v>317328</v>
      </c>
      <c r="F13" s="394">
        <f>'E-InvAT Datos y links'!$E$16*'E-InvAT Datos y links'!$D$12</f>
        <v>317328</v>
      </c>
      <c r="G13" s="395">
        <f>'E-InvAT Datos y links'!$E$16*'E-InvAT Datos y links'!$D$12</f>
        <v>317328</v>
      </c>
    </row>
    <row r="14" spans="1:16" x14ac:dyDescent="0.15">
      <c r="A14" s="194"/>
      <c r="B14" s="392"/>
      <c r="C14" s="392"/>
      <c r="D14" s="392"/>
      <c r="E14" s="392"/>
      <c r="F14" s="392"/>
      <c r="G14" s="393"/>
    </row>
    <row r="15" spans="1:16" x14ac:dyDescent="0.15">
      <c r="A15" s="190" t="s">
        <v>487</v>
      </c>
      <c r="B15" s="82">
        <f t="shared" ref="B15:G15" si="0">B6+B7+SUM(B10:B13)</f>
        <v>2534042.1430414477</v>
      </c>
      <c r="C15" s="82">
        <f t="shared" si="0"/>
        <v>7507481.7198976995</v>
      </c>
      <c r="D15" s="82">
        <f t="shared" si="0"/>
        <v>7531987.5730979005</v>
      </c>
      <c r="E15" s="82">
        <f t="shared" si="0"/>
        <v>7531987.5730979005</v>
      </c>
      <c r="F15" s="82">
        <f t="shared" si="0"/>
        <v>7533999.8634179002</v>
      </c>
      <c r="G15" s="193">
        <f t="shared" si="0"/>
        <v>7533999.8634179002</v>
      </c>
    </row>
    <row r="16" spans="1:16" x14ac:dyDescent="0.15">
      <c r="A16" s="190" t="s">
        <v>488</v>
      </c>
      <c r="B16" s="105"/>
      <c r="C16" s="105"/>
      <c r="D16" s="105"/>
      <c r="E16" s="105"/>
      <c r="F16" s="105"/>
      <c r="G16" s="195"/>
    </row>
    <row r="17" spans="1:7" x14ac:dyDescent="0.15">
      <c r="A17" s="194" t="s">
        <v>489</v>
      </c>
      <c r="B17" s="82">
        <v>0</v>
      </c>
      <c r="C17" s="82">
        <f>'E-Costos'!B28</f>
        <v>2579.8721035900303</v>
      </c>
      <c r="D17" s="82">
        <f>'E-Costos'!C28</f>
        <v>1664.7398710045745</v>
      </c>
      <c r="E17" s="82">
        <f>'E-Costos'!D28</f>
        <v>1664.7398710045745</v>
      </c>
      <c r="F17" s="82">
        <f>'E-Costos'!E28</f>
        <v>1662.7381801045747</v>
      </c>
      <c r="G17" s="193">
        <f>'E-Costos'!F28</f>
        <v>1662.7381801045747</v>
      </c>
    </row>
    <row r="18" spans="1:7" x14ac:dyDescent="0.15">
      <c r="A18" s="194" t="s">
        <v>490</v>
      </c>
      <c r="B18" s="82">
        <v>0</v>
      </c>
      <c r="C18" s="82">
        <f>('E-Costos'!B10-'E-InvAT'!C17+'E-InvAT'!B17)/'E-InvAT Datos y links'!D17*'E-InvAT Datos y links'!D19</f>
        <v>5635.8570878317869</v>
      </c>
      <c r="D18" s="82">
        <f>('E-Costos'!C10-'E-InvAT'!D17+'E-InvAT'!C17)/'E-InvAT Datos y links'!$E$17*'E-InvAT Datos y links'!$E$19</f>
        <v>3642.3258286086652</v>
      </c>
      <c r="E18" s="82">
        <f>('E-Costos'!D10-'E-InvAT'!E17+'E-InvAT'!D17)/'E-InvAT Datos y links'!$E$17*'E-InvAT Datos y links'!$E$19</f>
        <v>3640.8542959786682</v>
      </c>
      <c r="F18" s="82">
        <f>('E-Costos'!E10-'E-InvAT'!F17+'E-InvAT'!E17)/'E-InvAT Datos y links'!$E$17*'E-InvAT Datos y links'!$E$19</f>
        <v>3636.4797346976356</v>
      </c>
      <c r="G18" s="193">
        <f>('E-Costos'!F10-'E-InvAT'!G17+'E-InvAT'!F17)/'E-InvAT Datos y links'!$E$17*'E-InvAT Datos y links'!$E$19</f>
        <v>3636.476515978668</v>
      </c>
    </row>
    <row r="19" spans="1:7" x14ac:dyDescent="0.15">
      <c r="A19" s="194" t="s">
        <v>491</v>
      </c>
      <c r="B19" s="82">
        <v>0</v>
      </c>
      <c r="C19" s="82">
        <f>C7*'E-Costos'!B121</f>
        <v>544585.26126902585</v>
      </c>
      <c r="D19" s="82">
        <f>D7*'E-Costos'!C121</f>
        <v>744488.07818467601</v>
      </c>
      <c r="E19" s="82">
        <f>E7*'E-Costos'!D121</f>
        <v>745996.04112203128</v>
      </c>
      <c r="F19" s="82">
        <f>F7*'E-Costos'!E121</f>
        <v>745931.38671468128</v>
      </c>
      <c r="G19" s="193">
        <f>G7*'E-Costos'!F121</f>
        <v>745930.11889847822</v>
      </c>
    </row>
    <row r="20" spans="1:7" x14ac:dyDescent="0.15">
      <c r="A20" s="194" t="s">
        <v>492</v>
      </c>
      <c r="B20" s="82">
        <v>0</v>
      </c>
      <c r="C20" s="82">
        <f>('E-Inv AF y Am'!$D$56-'E-InvAT'!C17-'E-InvAT'!C18+'E-InvAT'!B17+'E-InvAT'!B18)/365*30</f>
        <v>206077.30268138999</v>
      </c>
      <c r="D20" s="82">
        <f>('E-Inv AF y Am'!$D$56-'E-InvAT'!D17-'E-InvAT'!D18+'E-InvAT'!C17+'E-InvAT'!C18)/365*30</f>
        <v>206991.63632658703</v>
      </c>
      <c r="E20" s="82">
        <f>('E-Inv AF y Am'!$E$56-'E-InvAT'!E17-'E-InvAT'!E18+'E-InvAT'!D17+'E-InvAT'!D18)/365*30</f>
        <v>206528.92191898328</v>
      </c>
      <c r="F20" s="82">
        <f>('E-Inv AF y Am'!$E$56-'E-InvAT'!F17-'E-InvAT'!F18+'E-InvAT'!E17+'E-InvAT'!E18)/365*30</f>
        <v>206529.32504661763</v>
      </c>
      <c r="G20" s="193">
        <f>('E-Inv AF y Am'!$E$56-'E-InvAT'!G17-'E-InvAT'!G18+'E-InvAT'!F17+'E-InvAT'!F18)/365*30</f>
        <v>206528.80123564816</v>
      </c>
    </row>
    <row r="21" spans="1:7" x14ac:dyDescent="0.15">
      <c r="A21" s="194"/>
      <c r="B21" s="105"/>
      <c r="C21" s="105"/>
      <c r="D21" s="105"/>
      <c r="E21" s="105"/>
      <c r="F21" s="105"/>
      <c r="G21" s="195"/>
    </row>
    <row r="22" spans="1:7" x14ac:dyDescent="0.15">
      <c r="A22" s="190" t="s">
        <v>493</v>
      </c>
      <c r="B22" s="82">
        <f t="shared" ref="B22:G22" si="1">B15-SUM(B17:B20)</f>
        <v>2534042.1430414477</v>
      </c>
      <c r="C22" s="82">
        <f t="shared" si="1"/>
        <v>6748603.4267558623</v>
      </c>
      <c r="D22" s="82">
        <f t="shared" si="1"/>
        <v>6575200.7928870246</v>
      </c>
      <c r="E22" s="82">
        <f t="shared" si="1"/>
        <v>6574157.0158899026</v>
      </c>
      <c r="F22" s="82">
        <f t="shared" si="1"/>
        <v>6576239.9337417986</v>
      </c>
      <c r="G22" s="193">
        <f t="shared" si="1"/>
        <v>6576241.7285876907</v>
      </c>
    </row>
    <row r="23" spans="1:7" x14ac:dyDescent="0.15">
      <c r="A23" s="194"/>
      <c r="B23" s="105"/>
      <c r="C23" s="105"/>
      <c r="D23" s="105"/>
      <c r="E23" s="105"/>
      <c r="F23" s="105"/>
      <c r="G23" s="195"/>
    </row>
    <row r="24" spans="1:7" x14ac:dyDescent="0.15">
      <c r="A24" s="190" t="s">
        <v>494</v>
      </c>
      <c r="B24" s="82">
        <f>B22</f>
        <v>2534042.1430414477</v>
      </c>
      <c r="C24" s="82">
        <f>C15-B15</f>
        <v>4973439.5768562518</v>
      </c>
      <c r="D24" s="82">
        <f>D15-C15</f>
        <v>24505.853200200945</v>
      </c>
      <c r="E24" s="82">
        <f>E15-D15</f>
        <v>0</v>
      </c>
      <c r="F24" s="82">
        <f>F15-E15</f>
        <v>2012.2903199996799</v>
      </c>
      <c r="G24" s="193">
        <f>G15-F15</f>
        <v>0</v>
      </c>
    </row>
    <row r="25" spans="1:7" x14ac:dyDescent="0.15">
      <c r="A25" s="190" t="s">
        <v>495</v>
      </c>
      <c r="B25" s="82">
        <f>B22</f>
        <v>2534042.1430414477</v>
      </c>
      <c r="C25" s="82">
        <f>C22-B22</f>
        <v>4214561.2837144146</v>
      </c>
      <c r="D25" s="82">
        <f>D22-C22</f>
        <v>-173402.63386883773</v>
      </c>
      <c r="E25" s="82">
        <f>E22-D22</f>
        <v>-1043.7769971219823</v>
      </c>
      <c r="F25" s="82">
        <f>F22-E22</f>
        <v>2082.9178518960252</v>
      </c>
      <c r="G25" s="193">
        <f>G22-F22</f>
        <v>1.7948458921164274</v>
      </c>
    </row>
    <row r="26" spans="1:7" x14ac:dyDescent="0.15">
      <c r="A26" s="194"/>
      <c r="B26" s="105"/>
      <c r="C26" s="105"/>
      <c r="D26" s="105"/>
      <c r="E26" s="105"/>
      <c r="F26" s="105"/>
      <c r="G26" s="195"/>
    </row>
    <row r="27" spans="1:7" x14ac:dyDescent="0.15">
      <c r="A27" s="190" t="s">
        <v>496</v>
      </c>
      <c r="B27" s="105"/>
      <c r="C27" s="105"/>
      <c r="D27" s="105"/>
      <c r="E27" s="105"/>
      <c r="F27" s="105"/>
      <c r="G27" s="195"/>
    </row>
    <row r="28" spans="1:7" x14ac:dyDescent="0.15">
      <c r="A28" s="194" t="s">
        <v>497</v>
      </c>
      <c r="B28" s="82"/>
      <c r="C28" s="82"/>
      <c r="D28" s="82"/>
      <c r="E28" s="82"/>
      <c r="F28" s="82"/>
      <c r="G28" s="193"/>
    </row>
    <row r="29" spans="1:7" x14ac:dyDescent="0.15">
      <c r="A29" s="194" t="s">
        <v>498</v>
      </c>
      <c r="B29" s="82"/>
      <c r="C29" s="82"/>
      <c r="D29" s="82"/>
      <c r="E29" s="82"/>
      <c r="F29" s="82"/>
      <c r="G29" s="193"/>
    </row>
    <row r="30" spans="1:7" x14ac:dyDescent="0.15">
      <c r="A30" s="194" t="s">
        <v>499</v>
      </c>
      <c r="B30" s="82">
        <f>B10*InfoInicial!B3</f>
        <v>327096</v>
      </c>
      <c r="C30" s="82">
        <f>(C10-B10)*InfoInicial!$B$3</f>
        <v>57934.799999999996</v>
      </c>
      <c r="D30" s="82">
        <f>(D10-C10)*InfoInicial!$B$3</f>
        <v>0</v>
      </c>
      <c r="E30" s="82">
        <f>(E10-D10)*InfoInicial!$B$3</f>
        <v>0</v>
      </c>
      <c r="F30" s="82">
        <f>(F10-E10)*InfoInicial!$B$3</f>
        <v>0</v>
      </c>
      <c r="G30" s="193">
        <f>(G10-F10)*InfoInicial!$B$3</f>
        <v>0</v>
      </c>
    </row>
    <row r="31" spans="1:7" x14ac:dyDescent="0.15">
      <c r="A31" s="194" t="s">
        <v>500</v>
      </c>
      <c r="B31" s="82">
        <f>B11*InfoInicial!B4</f>
        <v>61754.750064506588</v>
      </c>
      <c r="C31" s="82">
        <f>(C11-B11)*InfoInicial!$B$3</f>
        <v>9263.2125096759883</v>
      </c>
      <c r="D31" s="82">
        <f>(D11-C11)*InfoInicial!$B$3</f>
        <v>5146.2291720422163</v>
      </c>
      <c r="E31" s="82">
        <f>(E11-D11)*InfoInicial!$B$3</f>
        <v>0</v>
      </c>
      <c r="F31" s="82">
        <f>(F11-E11)*InfoInicial!$B$3</f>
        <v>422.58096720000611</v>
      </c>
      <c r="G31" s="193">
        <f>(G11-F11)*InfoInicial!$B$3</f>
        <v>0</v>
      </c>
    </row>
    <row r="32" spans="1:7" x14ac:dyDescent="0.15">
      <c r="A32" s="194" t="s">
        <v>501</v>
      </c>
      <c r="B32" s="69">
        <v>0</v>
      </c>
      <c r="C32" s="82">
        <f>('E-Costos'!B25+'E-Costos'!B30+'E-Costos'!B31+'E-Costos'!B32)*InfoInicial!B3</f>
        <v>5666.8255723368802</v>
      </c>
      <c r="D32" s="82">
        <f>('E-Costos'!C25+'E-Costos'!C30+'E-Costos'!C31+'E-Costos'!C32-'E-Costos'!B25-'E-Costos'!B30-'E-Costos'!B31-'E-Costos'!B32)*InfoInicial!$B$3</f>
        <v>-1.3354650718611082E-13</v>
      </c>
      <c r="E32" s="82">
        <f>('E-Costos'!D25+'E-Costos'!D30+'E-Costos'!D31+'E-Costos'!D32-'E-Costos'!C25-'E-Costos'!C30-'E-Costos'!C31-'E-Costos'!C32)*InfoInicial!$B$3</f>
        <v>-1.3354650718611082E-13</v>
      </c>
      <c r="F32" s="82">
        <f>('E-Costos'!E25+'E-Costos'!E30+'E-Costos'!E31+'E-Costos'!E32-'E-Costos'!D25-'E-Costos'!D30-'E-Costos'!D31-'E-Costos'!D32)*InfoInicial!$B$3</f>
        <v>-1.3354650718611082E-13</v>
      </c>
      <c r="G32" s="193">
        <f>('E-Costos'!F25+'E-Costos'!F30+'E-Costos'!F31+'E-Costos'!F32-'E-Costos'!E25-'E-Costos'!E30-'E-Costos'!E31-'E-Costos'!E32)*InfoInicial!$B$3</f>
        <v>-1.3354650718611082E-13</v>
      </c>
    </row>
    <row r="33" spans="1:7" x14ac:dyDescent="0.15">
      <c r="A33" s="194" t="s">
        <v>502</v>
      </c>
      <c r="B33" s="196">
        <v>0</v>
      </c>
      <c r="C33" s="196">
        <f>'E-InvAT Datos y links'!C39</f>
        <v>70981.482449279254</v>
      </c>
      <c r="D33" s="196">
        <f>'E-InvAT Datos y links'!D39</f>
        <v>162.3228671359393</v>
      </c>
      <c r="E33" s="196">
        <f>'E-InvAT Datos y links'!E39</f>
        <v>0</v>
      </c>
      <c r="F33" s="196">
        <f>'E-InvAT Datos y links'!F39</f>
        <v>16.254154322392424</v>
      </c>
      <c r="G33" s="197">
        <f>'E-InvAT Datos y links'!G39</f>
        <v>0</v>
      </c>
    </row>
    <row r="34" spans="1:7" x14ac:dyDescent="0.15">
      <c r="A34" s="190" t="s">
        <v>503</v>
      </c>
      <c r="B34" s="198">
        <f t="shared" ref="B34:G34" si="2">SUM(B30:B33)</f>
        <v>388850.7500645066</v>
      </c>
      <c r="C34" s="198">
        <f t="shared" si="2"/>
        <v>143846.32053129212</v>
      </c>
      <c r="D34" s="198">
        <f t="shared" si="2"/>
        <v>5308.5520391781556</v>
      </c>
      <c r="E34" s="198">
        <f t="shared" si="2"/>
        <v>-1.3354650718611082E-13</v>
      </c>
      <c r="F34" s="198">
        <f t="shared" si="2"/>
        <v>438.83512152239842</v>
      </c>
      <c r="G34" s="199">
        <f t="shared" si="2"/>
        <v>-1.3354650718611082E-13</v>
      </c>
    </row>
    <row r="35" spans="1:7" x14ac:dyDescent="0.15">
      <c r="A35" s="194"/>
      <c r="B35" s="200"/>
      <c r="C35" s="200"/>
      <c r="D35" s="200"/>
      <c r="E35" s="200"/>
      <c r="F35" s="200"/>
      <c r="G35" s="201"/>
    </row>
    <row r="36" spans="1:7" x14ac:dyDescent="0.15">
      <c r="A36" s="202" t="s">
        <v>504</v>
      </c>
      <c r="B36" s="203">
        <f t="shared" ref="B36:G36" si="3">B25+B34</f>
        <v>2922892.8931059544</v>
      </c>
      <c r="C36" s="203">
        <f t="shared" si="3"/>
        <v>4358407.6042457065</v>
      </c>
      <c r="D36" s="203">
        <f t="shared" si="3"/>
        <v>-168094.08182965958</v>
      </c>
      <c r="E36" s="203">
        <f t="shared" si="3"/>
        <v>-1043.7769971219825</v>
      </c>
      <c r="F36" s="203">
        <f t="shared" si="3"/>
        <v>2521.7529734184236</v>
      </c>
      <c r="G36" s="204">
        <f t="shared" si="3"/>
        <v>1.794845892116294</v>
      </c>
    </row>
  </sheetData>
  <pageMargins left="0.25972222222222202" right="0.45972222222222198" top="0.6" bottom="1" header="0.51180555555555496" footer="0.51180555555555496"/>
  <pageSetup paperSize="9" firstPageNumber="0" fitToHeight="4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H39"/>
  <sheetViews>
    <sheetView zoomScale="90" zoomScaleNormal="90" workbookViewId="0">
      <selection activeCell="J23" sqref="J23"/>
    </sheetView>
  </sheetViews>
  <sheetFormatPr baseColWidth="10" defaultColWidth="8.83203125" defaultRowHeight="13" x14ac:dyDescent="0.15"/>
  <cols>
    <col min="1" max="1" width="10.6640625" customWidth="1"/>
    <col min="2" max="2" width="33.33203125" customWidth="1"/>
    <col min="3" max="3" width="10.6640625" customWidth="1"/>
    <col min="4" max="4" width="11.1640625" customWidth="1"/>
    <col min="5" max="1025" width="10.6640625" customWidth="1"/>
  </cols>
  <sheetData>
    <row r="5" spans="2:8" x14ac:dyDescent="0.15">
      <c r="B5" s="13" t="s">
        <v>505</v>
      </c>
      <c r="C5" s="205" t="s">
        <v>506</v>
      </c>
      <c r="D5" s="36">
        <v>0.02</v>
      </c>
      <c r="F5" t="s">
        <v>55</v>
      </c>
      <c r="G5" s="36">
        <v>0.8</v>
      </c>
      <c r="H5" t="s">
        <v>507</v>
      </c>
    </row>
    <row r="6" spans="2:8" x14ac:dyDescent="0.15">
      <c r="B6" s="65" t="s">
        <v>508</v>
      </c>
      <c r="C6" t="s">
        <v>509</v>
      </c>
    </row>
    <row r="8" spans="2:8" x14ac:dyDescent="0.15">
      <c r="B8" s="206" t="s">
        <v>211</v>
      </c>
      <c r="C8" s="207" t="s">
        <v>510</v>
      </c>
      <c r="D8" s="207" t="s">
        <v>511</v>
      </c>
      <c r="E8" s="208" t="s">
        <v>512</v>
      </c>
    </row>
    <row r="9" spans="2:8" x14ac:dyDescent="0.15">
      <c r="B9" s="159" t="s">
        <v>513</v>
      </c>
      <c r="C9" s="64" t="s">
        <v>514</v>
      </c>
      <c r="D9" s="64">
        <v>48</v>
      </c>
      <c r="E9" s="161" t="s">
        <v>515</v>
      </c>
      <c r="F9" s="64" t="s">
        <v>480</v>
      </c>
    </row>
    <row r="10" spans="2:8" x14ac:dyDescent="0.15">
      <c r="B10" s="159" t="s">
        <v>516</v>
      </c>
      <c r="C10" s="64" t="s">
        <v>517</v>
      </c>
      <c r="D10" s="64">
        <v>60</v>
      </c>
      <c r="E10" s="161" t="s">
        <v>518</v>
      </c>
      <c r="F10" s="64" t="s">
        <v>480</v>
      </c>
    </row>
    <row r="11" spans="2:8" x14ac:dyDescent="0.15">
      <c r="B11" s="180" t="s">
        <v>519</v>
      </c>
      <c r="C11" s="163"/>
      <c r="D11" s="163">
        <v>24</v>
      </c>
      <c r="E11" s="164" t="s">
        <v>520</v>
      </c>
      <c r="F11" s="64" t="s">
        <v>480</v>
      </c>
    </row>
    <row r="12" spans="2:8" x14ac:dyDescent="0.15">
      <c r="C12" s="64" t="s">
        <v>126</v>
      </c>
      <c r="D12">
        <f>SUM(D9:D11)</f>
        <v>132</v>
      </c>
    </row>
    <row r="14" spans="2:8" x14ac:dyDescent="0.15">
      <c r="B14" s="171"/>
      <c r="C14" s="209" t="s">
        <v>201</v>
      </c>
      <c r="D14" s="209" t="s">
        <v>202</v>
      </c>
      <c r="E14" s="173" t="s">
        <v>521</v>
      </c>
    </row>
    <row r="15" spans="2:8" ht="18" x14ac:dyDescent="0.2">
      <c r="B15" s="210" t="s">
        <v>522</v>
      </c>
      <c r="C15" s="211"/>
      <c r="D15" s="212">
        <v>78256</v>
      </c>
      <c r="E15" s="213">
        <v>125000</v>
      </c>
    </row>
    <row r="16" spans="2:8" ht="18" x14ac:dyDescent="0.2">
      <c r="B16" s="210" t="s">
        <v>523</v>
      </c>
      <c r="C16" s="211"/>
      <c r="D16" s="212">
        <v>2404</v>
      </c>
      <c r="E16" s="213">
        <v>2404</v>
      </c>
    </row>
    <row r="17" spans="2:7" ht="18" x14ac:dyDescent="0.2">
      <c r="B17" s="210" t="s">
        <v>335</v>
      </c>
      <c r="C17" s="211"/>
      <c r="D17" s="212">
        <v>80660</v>
      </c>
      <c r="E17" s="213">
        <v>125000</v>
      </c>
    </row>
    <row r="18" spans="2:7" ht="18" x14ac:dyDescent="0.2">
      <c r="B18" s="210" t="s">
        <v>524</v>
      </c>
      <c r="C18" s="211"/>
      <c r="D18" s="212">
        <v>6453</v>
      </c>
      <c r="E18" s="213">
        <v>5000</v>
      </c>
    </row>
    <row r="19" spans="2:7" ht="18" x14ac:dyDescent="0.2">
      <c r="B19" s="210" t="s">
        <v>525</v>
      </c>
      <c r="C19" s="211"/>
      <c r="D19" s="211">
        <v>201</v>
      </c>
      <c r="E19" s="214">
        <v>201</v>
      </c>
    </row>
    <row r="20" spans="2:7" ht="18" x14ac:dyDescent="0.2">
      <c r="B20" s="210" t="s">
        <v>526</v>
      </c>
      <c r="C20" s="211"/>
      <c r="D20" s="212">
        <v>87314</v>
      </c>
      <c r="E20" s="213">
        <v>130000</v>
      </c>
    </row>
    <row r="21" spans="2:7" ht="18" x14ac:dyDescent="0.2">
      <c r="B21" s="210" t="s">
        <v>527</v>
      </c>
      <c r="C21" s="390">
        <v>11800</v>
      </c>
      <c r="D21" s="390">
        <v>13890</v>
      </c>
      <c r="E21" s="213">
        <v>13890</v>
      </c>
      <c r="G21" s="215"/>
    </row>
    <row r="22" spans="2:7" ht="18" x14ac:dyDescent="0.2">
      <c r="B22" s="216" t="s">
        <v>528</v>
      </c>
      <c r="C22" s="391">
        <v>11800</v>
      </c>
      <c r="D22" s="391">
        <f>D20+D21-C22</f>
        <v>89404</v>
      </c>
      <c r="E22" s="217">
        <v>130000</v>
      </c>
    </row>
    <row r="24" spans="2:7" x14ac:dyDescent="0.15">
      <c r="D24" s="151"/>
    </row>
    <row r="26" spans="2:7" x14ac:dyDescent="0.15">
      <c r="B26" t="s">
        <v>529</v>
      </c>
      <c r="C26" t="s">
        <v>530</v>
      </c>
    </row>
    <row r="27" spans="2:7" x14ac:dyDescent="0.15">
      <c r="B27" t="s">
        <v>335</v>
      </c>
      <c r="C27">
        <v>6</v>
      </c>
      <c r="D27" t="s">
        <v>531</v>
      </c>
    </row>
    <row r="28" spans="2:7" x14ac:dyDescent="0.15">
      <c r="B28" t="s">
        <v>532</v>
      </c>
      <c r="C28">
        <v>1</v>
      </c>
      <c r="D28" t="s">
        <v>531</v>
      </c>
    </row>
    <row r="29" spans="2:7" x14ac:dyDescent="0.15">
      <c r="B29" t="s">
        <v>533</v>
      </c>
      <c r="C29">
        <v>1</v>
      </c>
      <c r="D29" t="s">
        <v>531</v>
      </c>
    </row>
    <row r="33" spans="2:7" x14ac:dyDescent="0.15">
      <c r="B33" t="s">
        <v>534</v>
      </c>
      <c r="C33" t="s">
        <v>202</v>
      </c>
      <c r="D33" t="s">
        <v>521</v>
      </c>
      <c r="E33" t="s">
        <v>535</v>
      </c>
      <c r="F33" t="s">
        <v>536</v>
      </c>
      <c r="G33" t="s">
        <v>280</v>
      </c>
    </row>
    <row r="34" spans="2:7" x14ac:dyDescent="0.15">
      <c r="B34" t="s">
        <v>211</v>
      </c>
      <c r="C34" s="218">
        <f>('E-Costos'!B7-'E-Costos'!B25-'E-Costos'!G25)*InfoInicial!$B$3*'E-InvAT Datos y links'!$D$16/'E-InvAT Datos y links'!$D$17</f>
        <v>69304.435199999993</v>
      </c>
      <c r="D34" s="218">
        <f>('E-Costos'!C7-'E-Costos'!C25)*InfoInicial!$B$3*'E-InvAT Datos y links'!$E$16/'E-InvAT Datos y links'!$E$17</f>
        <v>69197.279880959992</v>
      </c>
      <c r="E34" s="218">
        <f>('E-Costos'!D7-'E-Costos'!D25)*InfoInicial!$B$3*'E-InvAT Datos y links'!$E$16/'E-InvAT Datos y links'!$E$17</f>
        <v>69197.279880959992</v>
      </c>
      <c r="F34" s="218">
        <f>('E-Costos'!E7-'E-Costos'!E25)*InfoInicial!$B$3*'E-InvAT Datos y links'!$E$16/'E-InvAT Datos y links'!$E$17</f>
        <v>69197.279880959992</v>
      </c>
      <c r="G34" s="218">
        <f>('E-Costos'!F7-'E-Costos'!F25)*InfoInicial!$B$3*'E-InvAT Datos y links'!$E$16/'E-InvAT Datos y links'!$E$17</f>
        <v>69197.279880959992</v>
      </c>
    </row>
    <row r="35" spans="2:7" x14ac:dyDescent="0.15">
      <c r="B35" t="s">
        <v>216</v>
      </c>
      <c r="C35" s="218">
        <f>('E-Costos'!B12-'E-Costos'!B30-'E-Costos'!G30)*InfoInicial!$B$3*'E-InvAT Datos y links'!$D$16/'E-InvAT Datos y links'!$D$17</f>
        <v>1894.819578544771</v>
      </c>
      <c r="D35" s="218">
        <f>('E-Costos'!C12-'E-Costos'!C30)*InfoInicial!$B$3*'E-InvAT Datos y links'!$E$16/'E-InvAT Datos y links'!$E$17</f>
        <v>1877.1722770754611</v>
      </c>
      <c r="E35" s="218">
        <f>('E-Costos'!D12-'E-Costos'!D30)*InfoInicial!$B$3*'E-InvAT Datos y links'!$E$16/'E-InvAT Datos y links'!$E$17</f>
        <v>1877.1722770754611</v>
      </c>
      <c r="F35" s="218">
        <f>('E-Costos'!E12-'E-Costos'!E30)*InfoInicial!$B$3*'E-InvAT Datos y links'!$E$16/'E-InvAT Datos y links'!$E$17</f>
        <v>1893.4264313978422</v>
      </c>
      <c r="G35" s="218">
        <f>('E-Costos'!F12-'E-Costos'!F30)*InfoInicial!$B$3*'E-InvAT Datos y links'!$E$16/'E-InvAT Datos y links'!$E$17</f>
        <v>1893.4264313978422</v>
      </c>
    </row>
    <row r="36" spans="2:7" x14ac:dyDescent="0.15">
      <c r="B36" t="s">
        <v>217</v>
      </c>
      <c r="C36" s="218">
        <f>(-'E-Costos'!B31-'E-Costos'!G31)*InfoInicial!$B$3*'E-InvAT Datos y links'!$D$16/'E-InvAT Datos y links'!$D$17</f>
        <v>-287.56141086551156</v>
      </c>
      <c r="D36" s="218">
        <f>(-'E-Costos'!C31)*InfoInicial!$B$3*'E-InvAT Datos y links'!$E$16/'E-InvAT Datos y links'!$E$17</f>
        <v>-0.38461149589803884</v>
      </c>
      <c r="E36" s="218">
        <f>(-'E-Costos'!D31)*InfoInicial!$B$3*'E-InvAT Datos y links'!$E$16/'E-InvAT Datos y links'!$E$17</f>
        <v>-0.38461149589803884</v>
      </c>
      <c r="F36" s="218">
        <f>(-'E-Costos'!E31)*InfoInicial!$B$3*'E-InvAT Datos y links'!$E$16/'E-InvAT Datos y links'!$E$17</f>
        <v>-0.38461149589803884</v>
      </c>
      <c r="G36" s="218">
        <f>(-'E-Costos'!F31)*InfoInicial!$B$3*'E-InvAT Datos y links'!$E$16/'E-InvAT Datos y links'!$E$17</f>
        <v>-0.38461149589803884</v>
      </c>
    </row>
    <row r="37" spans="2:7" x14ac:dyDescent="0.15">
      <c r="B37" t="s">
        <v>218</v>
      </c>
      <c r="C37" s="218">
        <f>('E-Costos'!B14-'E-Costos'!B32-'E-Costos'!G32)*InfoInicial!$B$3*'E-InvAT Datos y links'!$D$16/'E-InvAT Datos y links'!$D$17</f>
        <v>69.789081600000017</v>
      </c>
      <c r="D37" s="218">
        <f>('E-Costos'!C14-'E-Costos'!C32)*InfoInicial!$B$3*'E-InvAT Datos y links'!$E$16/'E-InvAT Datos y links'!$E$17</f>
        <v>69.737769875644432</v>
      </c>
      <c r="E37" s="218">
        <f>('E-Costos'!D14-'E-Costos'!D32)*InfoInicial!$B$3*'E-InvAT Datos y links'!$E$16/'E-InvAT Datos y links'!$E$17</f>
        <v>69.737769875644432</v>
      </c>
      <c r="F37" s="218">
        <f>('E-Costos'!E14-'E-Costos'!E32)*InfoInicial!$B$3*'E-InvAT Datos y links'!$E$16/'E-InvAT Datos y links'!$E$17</f>
        <v>69.737769875644432</v>
      </c>
      <c r="G37" s="218">
        <f>('E-Costos'!F14-'E-Costos'!F32)*InfoInicial!$B$3*'E-InvAT Datos y links'!$E$16/'E-InvAT Datos y links'!$E$17</f>
        <v>69.737769875644432</v>
      </c>
    </row>
    <row r="38" spans="2:7" x14ac:dyDescent="0.15">
      <c r="B38" t="s">
        <v>126</v>
      </c>
      <c r="C38" s="218">
        <f>SUM(C34:C37)</f>
        <v>70981.482449279254</v>
      </c>
      <c r="D38" s="218">
        <f>SUM(D34:D37)</f>
        <v>71143.805316415193</v>
      </c>
      <c r="E38" s="218">
        <f>SUM(E34:E37)</f>
        <v>71143.805316415193</v>
      </c>
      <c r="F38" s="218">
        <f>SUM(F34:F37)</f>
        <v>71160.059470737586</v>
      </c>
      <c r="G38" s="218">
        <f>SUM(G34:G37)</f>
        <v>71160.059470737586</v>
      </c>
    </row>
    <row r="39" spans="2:7" x14ac:dyDescent="0.15">
      <c r="B39" t="s">
        <v>537</v>
      </c>
      <c r="C39" s="218">
        <f>C38</f>
        <v>70981.482449279254</v>
      </c>
      <c r="D39" s="218">
        <f>D38-C38</f>
        <v>162.3228671359393</v>
      </c>
      <c r="E39" s="218">
        <f>E38-D38</f>
        <v>0</v>
      </c>
      <c r="F39" s="218">
        <f>F38-E38</f>
        <v>16.254154322392424</v>
      </c>
      <c r="G39" s="218">
        <f>G38-F38</f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5"/>
  <sheetViews>
    <sheetView zoomScale="90" zoomScaleNormal="90" workbookViewId="0">
      <selection activeCell="E31" sqref="E31"/>
    </sheetView>
  </sheetViews>
  <sheetFormatPr baseColWidth="10" defaultColWidth="8.83203125" defaultRowHeight="13" x14ac:dyDescent="0.15"/>
  <cols>
    <col min="1" max="1" width="28" customWidth="1"/>
    <col min="2" max="2" width="13.33203125" customWidth="1"/>
    <col min="3" max="3" width="16" customWidth="1"/>
    <col min="4" max="4" width="16.6640625" customWidth="1"/>
    <col min="5" max="8" width="13.83203125" customWidth="1"/>
    <col min="9" max="9" width="16" customWidth="1"/>
    <col min="10" max="10" width="17.33203125" customWidth="1"/>
    <col min="11" max="1025" width="11.33203125" customWidth="1"/>
  </cols>
  <sheetData>
    <row r="1" spans="1:9" x14ac:dyDescent="0.15">
      <c r="A1" s="1" t="s">
        <v>0</v>
      </c>
      <c r="G1" s="2">
        <f>InfoInicial!E1</f>
        <v>14</v>
      </c>
    </row>
    <row r="3" spans="1:9" ht="16" x14ac:dyDescent="0.2">
      <c r="A3" s="75" t="s">
        <v>538</v>
      </c>
      <c r="B3" s="76"/>
      <c r="C3" s="76"/>
      <c r="D3" s="76"/>
      <c r="E3" s="76"/>
      <c r="F3" s="76"/>
      <c r="G3" s="76"/>
      <c r="H3" s="76"/>
      <c r="I3" s="77"/>
    </row>
    <row r="4" spans="1:9" ht="28" x14ac:dyDescent="0.15">
      <c r="A4" s="78" t="s">
        <v>206</v>
      </c>
      <c r="B4" s="219" t="s">
        <v>539</v>
      </c>
      <c r="C4" s="219" t="s">
        <v>540</v>
      </c>
      <c r="D4" s="22" t="s">
        <v>56</v>
      </c>
      <c r="E4" s="22" t="s">
        <v>207</v>
      </c>
      <c r="F4" s="22" t="s">
        <v>208</v>
      </c>
      <c r="G4" s="22" t="s">
        <v>209</v>
      </c>
      <c r="H4" s="220" t="s">
        <v>210</v>
      </c>
      <c r="I4" s="23" t="s">
        <v>541</v>
      </c>
    </row>
    <row r="5" spans="1:9" x14ac:dyDescent="0.15">
      <c r="A5" s="221" t="s">
        <v>542</v>
      </c>
      <c r="B5" s="191"/>
      <c r="C5" s="191"/>
      <c r="D5" s="191"/>
      <c r="E5" s="191"/>
      <c r="F5" s="191"/>
      <c r="G5" s="191"/>
      <c r="H5" s="222"/>
      <c r="I5" s="223"/>
    </row>
    <row r="6" spans="1:9" x14ac:dyDescent="0.15">
      <c r="A6" s="224" t="s">
        <v>543</v>
      </c>
      <c r="B6" s="82"/>
      <c r="C6" s="82">
        <f>'E-Inv AF y Am'!B20+'E-Inv AF y Am'!D20</f>
        <v>34482733.831574999</v>
      </c>
      <c r="D6" s="82"/>
      <c r="E6" s="82"/>
      <c r="F6" s="82"/>
      <c r="G6" s="82"/>
      <c r="H6" s="225"/>
      <c r="I6" s="83">
        <f>SUM(B6:H6)</f>
        <v>34482733.831574999</v>
      </c>
    </row>
    <row r="7" spans="1:9" x14ac:dyDescent="0.15">
      <c r="A7" s="224" t="s">
        <v>544</v>
      </c>
      <c r="B7" s="82">
        <f>'E-Inv AF y Am'!B23+'E-Inv AF y Am'!B23*InfoInicial!B15</f>
        <v>155250</v>
      </c>
      <c r="C7" s="82">
        <f>SUM('E-Inv AF y Am'!B24:B28)+SUM('E-Inv AF y Am'!B24:B28)*InfoInicial!B15</f>
        <v>1138500</v>
      </c>
      <c r="D7" s="82">
        <f>'E-Inv AF y Am'!C31</f>
        <v>155250</v>
      </c>
      <c r="E7" s="82"/>
      <c r="F7" s="82"/>
      <c r="G7" s="82"/>
      <c r="H7" s="225"/>
      <c r="I7" s="83">
        <f>SUM(B7:H7)</f>
        <v>1449000</v>
      </c>
    </row>
    <row r="8" spans="1:9" x14ac:dyDescent="0.15">
      <c r="A8" s="221" t="s">
        <v>545</v>
      </c>
      <c r="B8" s="82">
        <f>B6+B7</f>
        <v>155250</v>
      </c>
      <c r="C8" s="82">
        <f>C6+C7</f>
        <v>35621233.831574999</v>
      </c>
      <c r="D8" s="82">
        <f>D6+D7</f>
        <v>155250</v>
      </c>
      <c r="E8" s="82"/>
      <c r="F8" s="82"/>
      <c r="G8" s="82"/>
      <c r="H8" s="225"/>
      <c r="I8" s="83">
        <f>SUM(B8:H8)</f>
        <v>35931733.831574999</v>
      </c>
    </row>
    <row r="9" spans="1:9" x14ac:dyDescent="0.15">
      <c r="A9" s="224"/>
      <c r="B9" s="105"/>
      <c r="C9" s="105"/>
      <c r="D9" s="105"/>
      <c r="E9" s="105"/>
      <c r="F9" s="105"/>
      <c r="G9" s="105"/>
      <c r="H9" s="226"/>
      <c r="I9" s="83"/>
    </row>
    <row r="10" spans="1:9" x14ac:dyDescent="0.15">
      <c r="A10" s="221" t="s">
        <v>546</v>
      </c>
      <c r="B10" s="82"/>
      <c r="C10" s="82"/>
      <c r="D10" s="82"/>
      <c r="E10" s="82"/>
      <c r="F10" s="82"/>
      <c r="G10" s="82"/>
      <c r="H10" s="225"/>
      <c r="I10" s="83"/>
    </row>
    <row r="11" spans="1:9" x14ac:dyDescent="0.15">
      <c r="A11" s="224" t="s">
        <v>547</v>
      </c>
      <c r="B11" s="82"/>
      <c r="C11" s="394">
        <f>'E-InvAT'!B6</f>
        <v>800000</v>
      </c>
      <c r="D11" s="394">
        <f>'E-InvAT'!C6-'E-InvAT'!B6</f>
        <v>200000</v>
      </c>
      <c r="E11" s="394">
        <f>'E-InvAT'!D6-'E-InvAT'!C6</f>
        <v>0</v>
      </c>
      <c r="F11" s="394">
        <f>'E-InvAT'!E6-'E-InvAT'!D6</f>
        <v>0</v>
      </c>
      <c r="G11" s="394">
        <f>'E-InvAT'!F6-'E-InvAT'!E6</f>
        <v>0</v>
      </c>
      <c r="H11" s="82">
        <f>'E-InvAT'!G6-'E-InvAT'!F6</f>
        <v>0</v>
      </c>
      <c r="I11" s="83">
        <f>SUM(B11:H11)</f>
        <v>1000000</v>
      </c>
    </row>
    <row r="12" spans="1:9" x14ac:dyDescent="0.15">
      <c r="A12" s="224" t="s">
        <v>548</v>
      </c>
      <c r="B12" s="82"/>
      <c r="C12" s="394"/>
      <c r="D12" s="394"/>
      <c r="E12" s="394"/>
      <c r="F12" s="394"/>
      <c r="G12" s="394"/>
      <c r="H12" s="225"/>
      <c r="I12" s="83">
        <f>SUM(B12:H12)</f>
        <v>0</v>
      </c>
    </row>
    <row r="13" spans="1:9" x14ac:dyDescent="0.15">
      <c r="A13" s="224" t="s">
        <v>549</v>
      </c>
      <c r="B13" s="82"/>
      <c r="C13" s="394"/>
      <c r="D13" s="394"/>
      <c r="E13" s="394"/>
      <c r="F13" s="394"/>
      <c r="G13" s="394"/>
      <c r="H13" s="225"/>
      <c r="I13" s="83"/>
    </row>
    <row r="14" spans="1:9" x14ac:dyDescent="0.15">
      <c r="A14" s="224" t="s">
        <v>550</v>
      </c>
      <c r="B14" s="82"/>
      <c r="C14" s="394">
        <f>'E-InvAT'!B10</f>
        <v>1557600</v>
      </c>
      <c r="D14" s="394">
        <f>'E-InvAT'!C10-'E-InvAT'!B10</f>
        <v>275880</v>
      </c>
      <c r="E14" s="394">
        <f>'E-InvAT'!D10-'E-InvAT'!C10</f>
        <v>0</v>
      </c>
      <c r="F14" s="394">
        <f>'E-InvAT'!E10-'E-InvAT'!D10</f>
        <v>0</v>
      </c>
      <c r="G14" s="394">
        <f>'E-InvAT'!F10-'E-InvAT'!E10</f>
        <v>0</v>
      </c>
      <c r="H14" s="82">
        <f>'E-InvAT'!G10-'E-InvAT'!F10</f>
        <v>0</v>
      </c>
      <c r="I14" s="83">
        <f>SUM(B14:H14)</f>
        <v>1833480</v>
      </c>
    </row>
    <row r="15" spans="1:9" x14ac:dyDescent="0.15">
      <c r="A15" s="224" t="s">
        <v>551</v>
      </c>
      <c r="B15" s="82"/>
      <c r="C15" s="394">
        <f>'E-InvAT'!B11</f>
        <v>176442.14304144742</v>
      </c>
      <c r="D15" s="394">
        <f>'E-InvAT'!C11-'E-InvAT'!B11</f>
        <v>44110.535760361847</v>
      </c>
      <c r="E15" s="394">
        <f>'E-InvAT'!D11-'E-InvAT'!C11</f>
        <v>24505.853200201032</v>
      </c>
      <c r="F15" s="394">
        <f>'E-InvAT'!E11-'E-InvAT'!D11</f>
        <v>0</v>
      </c>
      <c r="G15" s="394">
        <f>'E-InvAT'!F11-'E-InvAT'!E11</f>
        <v>2012.2903200000292</v>
      </c>
      <c r="H15" s="82">
        <f>'E-InvAT'!G11-'E-InvAT'!F11</f>
        <v>0</v>
      </c>
      <c r="I15" s="83">
        <f>SUM(B15:H15)</f>
        <v>247070.82232201032</v>
      </c>
    </row>
    <row r="16" spans="1:9" x14ac:dyDescent="0.15">
      <c r="A16" s="224" t="s">
        <v>552</v>
      </c>
      <c r="B16" s="82"/>
      <c r="C16" s="394">
        <f>'E-InvAT'!B12</f>
        <v>0</v>
      </c>
      <c r="D16" s="394">
        <f>'E-InvAT'!C12-'E-InvAT'!B12</f>
        <v>26532</v>
      </c>
      <c r="E16" s="394">
        <f>'E-InvAT'!D12-'E-InvAT'!C12</f>
        <v>0</v>
      </c>
      <c r="F16" s="394">
        <f>'E-InvAT'!E12-'E-InvAT'!D12</f>
        <v>0</v>
      </c>
      <c r="G16" s="394">
        <f>'E-InvAT'!F12-'E-InvAT'!E12</f>
        <v>0</v>
      </c>
      <c r="H16" s="227">
        <f>'E-InvAT'!G12-'E-InvAT'!F12</f>
        <v>0</v>
      </c>
      <c r="I16" s="83">
        <f>SUM(B16:H16)</f>
        <v>26532</v>
      </c>
    </row>
    <row r="17" spans="1:9" x14ac:dyDescent="0.15">
      <c r="A17" s="224" t="s">
        <v>553</v>
      </c>
      <c r="B17" s="82"/>
      <c r="C17" s="394">
        <f>'E-InvAT'!B13</f>
        <v>0</v>
      </c>
      <c r="D17" s="394">
        <f>'E-InvAT'!C13-'E-InvAT'!B13</f>
        <v>317328</v>
      </c>
      <c r="E17" s="394">
        <f>'E-InvAT'!D13-'E-InvAT'!C13</f>
        <v>0</v>
      </c>
      <c r="F17" s="394">
        <f>'E-InvAT'!E13-'E-InvAT'!D13</f>
        <v>0</v>
      </c>
      <c r="G17" s="394">
        <f>'E-InvAT'!F13-'E-InvAT'!E13</f>
        <v>0</v>
      </c>
      <c r="H17" s="227">
        <f>'E-InvAT'!G13-'E-InvAT'!F13</f>
        <v>0</v>
      </c>
      <c r="I17" s="83">
        <f>SUM(B17:H17)</f>
        <v>317328</v>
      </c>
    </row>
    <row r="18" spans="1:9" x14ac:dyDescent="0.15">
      <c r="A18" s="221" t="s">
        <v>554</v>
      </c>
      <c r="B18" s="82">
        <f t="shared" ref="B18:H18" si="0">SUM(B11:B17)</f>
        <v>0</v>
      </c>
      <c r="C18" s="394">
        <f t="shared" si="0"/>
        <v>2534042.1430414473</v>
      </c>
      <c r="D18" s="394">
        <f t="shared" si="0"/>
        <v>863850.53576036182</v>
      </c>
      <c r="E18" s="394">
        <f t="shared" si="0"/>
        <v>24505.853200201032</v>
      </c>
      <c r="F18" s="394">
        <f t="shared" si="0"/>
        <v>0</v>
      </c>
      <c r="G18" s="394">
        <f t="shared" si="0"/>
        <v>2012.2903200000292</v>
      </c>
      <c r="H18" s="82">
        <f t="shared" si="0"/>
        <v>0</v>
      </c>
      <c r="I18" s="83">
        <f>SUM(B18:H18)</f>
        <v>3424410.8223220101</v>
      </c>
    </row>
    <row r="19" spans="1:9" x14ac:dyDescent="0.15">
      <c r="A19" s="224"/>
      <c r="B19" s="105"/>
      <c r="C19" s="392"/>
      <c r="D19" s="392"/>
      <c r="E19" s="392"/>
      <c r="F19" s="392"/>
      <c r="G19" s="392"/>
      <c r="H19" s="226"/>
      <c r="I19" s="83"/>
    </row>
    <row r="20" spans="1:9" x14ac:dyDescent="0.15">
      <c r="A20" s="221" t="s">
        <v>555</v>
      </c>
      <c r="B20" s="105"/>
      <c r="C20" s="105"/>
      <c r="D20" s="105"/>
      <c r="E20" s="105"/>
      <c r="F20" s="105"/>
      <c r="G20" s="105"/>
      <c r="H20" s="226"/>
      <c r="I20" s="83"/>
    </row>
    <row r="21" spans="1:9" x14ac:dyDescent="0.15">
      <c r="A21" s="224" t="s">
        <v>556</v>
      </c>
      <c r="B21" s="82">
        <f>B8*InfoInicial!B3</f>
        <v>32602.5</v>
      </c>
      <c r="C21" s="82">
        <f>C8*InfoInicial!B3</f>
        <v>7480459.1046307497</v>
      </c>
      <c r="D21" s="82">
        <f>D8*InfoInicial!B3</f>
        <v>32602.5</v>
      </c>
      <c r="E21" s="82"/>
      <c r="F21" s="82"/>
      <c r="G21" s="82"/>
      <c r="H21" s="225"/>
      <c r="I21" s="83">
        <f>SUM(B21:H21)</f>
        <v>7545664.1046307497</v>
      </c>
    </row>
    <row r="22" spans="1:9" x14ac:dyDescent="0.15">
      <c r="A22" s="224" t="s">
        <v>557</v>
      </c>
      <c r="B22" s="82">
        <f>InfoInicial!$B$3*'E-Cal Inv.'!B18</f>
        <v>0</v>
      </c>
      <c r="C22" s="82">
        <f>InfoInicial!$B$3*'E-Cal Inv.'!C18</f>
        <v>532148.85003870388</v>
      </c>
      <c r="D22" s="82">
        <f>InfoInicial!$B$3*'E-Cal Inv.'!D18</f>
        <v>181408.61250967596</v>
      </c>
      <c r="E22" s="82">
        <f>InfoInicial!$B$3*'E-Cal Inv.'!E18</f>
        <v>5146.2291720422163</v>
      </c>
      <c r="F22" s="82">
        <f>InfoInicial!$B$3*'E-Cal Inv.'!F18</f>
        <v>0</v>
      </c>
      <c r="G22" s="82">
        <f>InfoInicial!$B$3*'E-Cal Inv.'!G18</f>
        <v>422.58096720000611</v>
      </c>
      <c r="H22" s="82">
        <f>InfoInicial!$B$3*'E-Cal Inv.'!H18</f>
        <v>0</v>
      </c>
      <c r="I22" s="83">
        <f>SUM(B22:H22)</f>
        <v>719126.272687622</v>
      </c>
    </row>
    <row r="23" spans="1:9" x14ac:dyDescent="0.15">
      <c r="A23" s="221" t="s">
        <v>558</v>
      </c>
      <c r="B23" s="82">
        <f t="shared" ref="B23:H23" si="1">SUM(B21:B22)</f>
        <v>32602.5</v>
      </c>
      <c r="C23" s="82">
        <f t="shared" si="1"/>
        <v>8012607.9546694532</v>
      </c>
      <c r="D23" s="82">
        <f t="shared" si="1"/>
        <v>214011.11250967596</v>
      </c>
      <c r="E23" s="82">
        <f t="shared" si="1"/>
        <v>5146.2291720422163</v>
      </c>
      <c r="F23" s="82">
        <f t="shared" si="1"/>
        <v>0</v>
      </c>
      <c r="G23" s="82">
        <f t="shared" si="1"/>
        <v>422.58096720000611</v>
      </c>
      <c r="H23" s="82">
        <f t="shared" si="1"/>
        <v>0</v>
      </c>
      <c r="I23" s="83">
        <f>SUM(B23:H23)</f>
        <v>8264790.377318372</v>
      </c>
    </row>
    <row r="24" spans="1:9" x14ac:dyDescent="0.15">
      <c r="A24" s="221"/>
      <c r="B24" s="105"/>
      <c r="C24" s="105"/>
      <c r="D24" s="105"/>
      <c r="E24" s="105"/>
      <c r="F24" s="105"/>
      <c r="G24" s="105"/>
      <c r="H24" s="226"/>
      <c r="I24" s="83"/>
    </row>
    <row r="25" spans="1:9" x14ac:dyDescent="0.15">
      <c r="A25" s="228" t="s">
        <v>559</v>
      </c>
      <c r="B25" s="95">
        <f t="shared" ref="B25:H25" si="2">B8+B18+B23</f>
        <v>187852.5</v>
      </c>
      <c r="C25" s="95">
        <f t="shared" si="2"/>
        <v>46167883.929285899</v>
      </c>
      <c r="D25" s="95">
        <f t="shared" si="2"/>
        <v>1233111.6482700377</v>
      </c>
      <c r="E25" s="95">
        <f t="shared" si="2"/>
        <v>29652.082372243247</v>
      </c>
      <c r="F25" s="95">
        <f t="shared" si="2"/>
        <v>0</v>
      </c>
      <c r="G25" s="95">
        <f t="shared" si="2"/>
        <v>2434.8712872000351</v>
      </c>
      <c r="H25" s="95">
        <f t="shared" si="2"/>
        <v>0</v>
      </c>
      <c r="I25" s="83">
        <f>SUM(B25:H25)</f>
        <v>47620935.031215377</v>
      </c>
    </row>
  </sheetData>
  <pageMargins left="0.25972222222222202" right="0.45972222222222198" top="1.27013888888889" bottom="1" header="0.51180555555555496" footer="0.51180555555555496"/>
  <pageSetup paperSize="9" firstPageNumber="0" fitToHeight="4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30"/>
  <sheetViews>
    <sheetView zoomScale="90" zoomScaleNormal="90" workbookViewId="0">
      <selection activeCell="I14" sqref="I14"/>
    </sheetView>
  </sheetViews>
  <sheetFormatPr baseColWidth="10" defaultColWidth="8.83203125" defaultRowHeight="13" x14ac:dyDescent="0.15"/>
  <cols>
    <col min="1" max="1" width="28" customWidth="1"/>
    <col min="2" max="5" width="13.83203125" customWidth="1"/>
    <col min="6" max="6" width="14.33203125" customWidth="1"/>
    <col min="7" max="7" width="13.1640625" customWidth="1"/>
    <col min="8" max="8" width="17.33203125" customWidth="1"/>
    <col min="9" max="9" width="20.33203125" customWidth="1"/>
    <col min="10" max="1025" width="11.33203125" customWidth="1"/>
  </cols>
  <sheetData>
    <row r="1" spans="1:10" x14ac:dyDescent="0.15">
      <c r="A1" s="229" t="s">
        <v>0</v>
      </c>
      <c r="B1" s="207">
        <v>14</v>
      </c>
      <c r="C1" s="172"/>
      <c r="D1" s="172"/>
      <c r="E1" s="172"/>
      <c r="F1" s="172"/>
      <c r="G1" s="173"/>
    </row>
    <row r="2" spans="1:10" ht="16" x14ac:dyDescent="0.2">
      <c r="A2" s="230" t="s">
        <v>560</v>
      </c>
      <c r="B2" s="63"/>
      <c r="C2" s="63"/>
      <c r="D2" s="63"/>
      <c r="E2" s="63"/>
      <c r="F2" s="64"/>
      <c r="G2" s="161"/>
    </row>
    <row r="3" spans="1:10" ht="16" x14ac:dyDescent="0.2">
      <c r="A3" s="230"/>
      <c r="B3" s="63" t="s">
        <v>561</v>
      </c>
      <c r="C3" s="63"/>
      <c r="D3" s="63"/>
      <c r="E3" s="63"/>
      <c r="F3" s="63"/>
      <c r="G3" s="161"/>
    </row>
    <row r="4" spans="1:10" x14ac:dyDescent="0.15">
      <c r="A4" s="231" t="s">
        <v>206</v>
      </c>
      <c r="B4" s="65" t="s">
        <v>55</v>
      </c>
      <c r="C4" s="65" t="s">
        <v>56</v>
      </c>
      <c r="D4" s="65" t="s">
        <v>207</v>
      </c>
      <c r="E4" s="65" t="s">
        <v>208</v>
      </c>
      <c r="F4" s="65" t="s">
        <v>209</v>
      </c>
      <c r="G4" s="232" t="s">
        <v>210</v>
      </c>
      <c r="I4" s="13"/>
      <c r="J4" s="233"/>
    </row>
    <row r="5" spans="1:10" x14ac:dyDescent="0.15">
      <c r="A5" s="231" t="s">
        <v>562</v>
      </c>
      <c r="B5" s="64"/>
      <c r="C5" s="64"/>
      <c r="D5" s="64"/>
      <c r="E5" s="64"/>
      <c r="F5" s="64"/>
      <c r="G5" s="161"/>
    </row>
    <row r="6" spans="1:10" x14ac:dyDescent="0.15">
      <c r="A6" s="159" t="s">
        <v>563</v>
      </c>
      <c r="B6" s="234" t="s">
        <v>564</v>
      </c>
      <c r="C6" s="234">
        <f>InfoInicial!$B$3*'E-Costos'!B7</f>
        <v>2414772.36</v>
      </c>
      <c r="D6" s="234">
        <f>InfoInicial!$B$3*'E-Costos'!C7</f>
        <v>3603600</v>
      </c>
      <c r="E6" s="234">
        <f>InfoInicial!$B$3*'E-Costos'!D7</f>
        <v>3603600</v>
      </c>
      <c r="F6" s="234">
        <f>InfoInicial!$B$3*'E-Costos'!E7</f>
        <v>3603600</v>
      </c>
      <c r="G6" s="235">
        <f>InfoInicial!$B$3*'E-Costos'!F7</f>
        <v>3603600</v>
      </c>
    </row>
    <row r="7" spans="1:10" x14ac:dyDescent="0.15">
      <c r="A7" s="159" t="s">
        <v>216</v>
      </c>
      <c r="B7" s="234" t="s">
        <v>564</v>
      </c>
      <c r="C7" s="234">
        <f>InfoInicial!$B$3*'E-Costos'!B12</f>
        <v>87911.235534533669</v>
      </c>
      <c r="D7" s="234">
        <f>InfoInicial!$B$3*'E-Costos'!C12</f>
        <v>97679.150593926301</v>
      </c>
      <c r="E7" s="234">
        <f>InfoInicial!$B$3*'E-Costos'!D12</f>
        <v>97679.150593926301</v>
      </c>
      <c r="F7" s="234">
        <f>InfoInicial!$B$3*'E-Costos'!E12</f>
        <v>98524.312528326293</v>
      </c>
      <c r="G7" s="235">
        <f>InfoInicial!$B$3*'E-Costos'!F12</f>
        <v>98524.312528326293</v>
      </c>
    </row>
    <row r="8" spans="1:10" x14ac:dyDescent="0.15">
      <c r="A8" s="159" t="s">
        <v>217</v>
      </c>
      <c r="B8" s="234" t="s">
        <v>564</v>
      </c>
      <c r="C8" s="234">
        <f>InfoInicial!$B$3*'E-Costos'!B13</f>
        <v>19039.990366529997</v>
      </c>
      <c r="D8" s="234">
        <f>InfoInicial!$B$3*'E-Costos'!C13</f>
        <v>27199.986237900004</v>
      </c>
      <c r="E8" s="234">
        <f>InfoInicial!$B$3*'E-Costos'!D13</f>
        <v>27199.986237900004</v>
      </c>
      <c r="F8" s="234">
        <f>InfoInicial!$B$3*'E-Costos'!E13</f>
        <v>27199.986237900004</v>
      </c>
      <c r="G8" s="235">
        <f>InfoInicial!$B$3*'E-Costos'!F13</f>
        <v>27199.986237900004</v>
      </c>
    </row>
    <row r="9" spans="1:10" x14ac:dyDescent="0.15">
      <c r="A9" s="159" t="s">
        <v>218</v>
      </c>
      <c r="B9" s="234" t="s">
        <v>564</v>
      </c>
      <c r="C9" s="234">
        <f>InfoInicial!$B$3*'E-Costos'!B14</f>
        <v>3447.3600000000006</v>
      </c>
      <c r="D9" s="234">
        <f>InfoInicial!$B$3*'E-Costos'!C14</f>
        <v>3628.8000000000006</v>
      </c>
      <c r="E9" s="234">
        <f>InfoInicial!$B$3*'E-Costos'!D14</f>
        <v>3628.8000000000006</v>
      </c>
      <c r="F9" s="234">
        <f>InfoInicial!$B$3*'E-Costos'!E14</f>
        <v>3628.8000000000006</v>
      </c>
      <c r="G9" s="235">
        <f>InfoInicial!$B$3*'E-Costos'!F14</f>
        <v>3628.8000000000006</v>
      </c>
    </row>
    <row r="10" spans="1:10" x14ac:dyDescent="0.15">
      <c r="A10" s="159" t="s">
        <v>565</v>
      </c>
      <c r="B10" s="234" t="s">
        <v>564</v>
      </c>
      <c r="C10" s="234" t="s">
        <v>566</v>
      </c>
      <c r="D10" s="234" t="s">
        <v>566</v>
      </c>
      <c r="E10" s="234" t="s">
        <v>566</v>
      </c>
      <c r="F10" s="234" t="s">
        <v>566</v>
      </c>
      <c r="G10" s="235" t="s">
        <v>566</v>
      </c>
    </row>
    <row r="11" spans="1:10" x14ac:dyDescent="0.15">
      <c r="A11" s="159" t="s">
        <v>243</v>
      </c>
      <c r="B11" s="234" t="s">
        <v>564</v>
      </c>
      <c r="C11" s="234" t="s">
        <v>566</v>
      </c>
      <c r="D11" s="234" t="s">
        <v>566</v>
      </c>
      <c r="E11" s="234" t="s">
        <v>566</v>
      </c>
      <c r="F11" s="234" t="s">
        <v>566</v>
      </c>
      <c r="G11" s="235" t="s">
        <v>566</v>
      </c>
    </row>
    <row r="12" spans="1:10" x14ac:dyDescent="0.15">
      <c r="A12" s="231" t="s">
        <v>91</v>
      </c>
      <c r="B12" s="234" t="s">
        <v>564</v>
      </c>
      <c r="C12" s="234">
        <f>SUM(C6:C11)</f>
        <v>2525170.9459010637</v>
      </c>
      <c r="D12" s="234">
        <f>SUM(D6:D11)</f>
        <v>3732107.9368318259</v>
      </c>
      <c r="E12" s="234">
        <f>SUM(E6:E11)</f>
        <v>3732107.9368318259</v>
      </c>
      <c r="F12" s="234">
        <f>SUM(F6:F11)</f>
        <v>3732953.0987662259</v>
      </c>
      <c r="G12" s="235">
        <f>SUM(G6:G11)</f>
        <v>3732953.0987662259</v>
      </c>
    </row>
    <row r="13" spans="1:10" x14ac:dyDescent="0.15">
      <c r="A13" s="159" t="s">
        <v>567</v>
      </c>
      <c r="B13" s="234" t="s">
        <v>564</v>
      </c>
      <c r="C13" s="234">
        <f>('E-Costos'!G35-'E-Costos'!G26)*InfoInicial!B3</f>
        <v>118864.14062822604</v>
      </c>
      <c r="D13" s="234">
        <v>0</v>
      </c>
      <c r="E13" s="234">
        <v>0</v>
      </c>
      <c r="F13" s="234">
        <v>0</v>
      </c>
      <c r="G13" s="235">
        <v>0</v>
      </c>
    </row>
    <row r="14" spans="1:10" x14ac:dyDescent="0.15">
      <c r="A14" s="159" t="s">
        <v>568</v>
      </c>
      <c r="B14" s="234"/>
      <c r="C14" s="234"/>
      <c r="D14" s="234"/>
      <c r="E14" s="234"/>
      <c r="F14" s="234"/>
      <c r="G14" s="235"/>
    </row>
    <row r="15" spans="1:10" x14ac:dyDescent="0.15">
      <c r="A15" s="159" t="s">
        <v>569</v>
      </c>
      <c r="B15" s="234" t="s">
        <v>564</v>
      </c>
      <c r="C15" s="234">
        <f>'E-InvAT'!C32</f>
        <v>5666.8255723368802</v>
      </c>
      <c r="D15" s="234">
        <f>'E-InvAT'!D32</f>
        <v>-1.3354650718611082E-13</v>
      </c>
      <c r="E15" s="234">
        <f>'E-InvAT'!E32</f>
        <v>-1.3354650718611082E-13</v>
      </c>
      <c r="F15" s="234">
        <f>'E-InvAT'!F32</f>
        <v>-1.3354650718611082E-13</v>
      </c>
      <c r="G15" s="235">
        <f>'E-InvAT'!G32</f>
        <v>-1.3354650718611082E-13</v>
      </c>
    </row>
    <row r="16" spans="1:10" x14ac:dyDescent="0.15">
      <c r="A16" s="159" t="s">
        <v>570</v>
      </c>
      <c r="B16" s="234" t="s">
        <v>564</v>
      </c>
      <c r="C16" s="234">
        <f>'E-InvAT'!C33</f>
        <v>70981.482449279254</v>
      </c>
      <c r="D16" s="234">
        <f>'E-InvAT'!D33</f>
        <v>162.3228671359393</v>
      </c>
      <c r="E16" s="234">
        <f>'E-InvAT'!E33</f>
        <v>0</v>
      </c>
      <c r="F16" s="234">
        <f>'E-InvAT'!F33</f>
        <v>16.254154322392424</v>
      </c>
      <c r="G16" s="235">
        <f>'E-InvAT'!G33</f>
        <v>0</v>
      </c>
    </row>
    <row r="17" spans="1:7" x14ac:dyDescent="0.15">
      <c r="A17" s="231" t="s">
        <v>571</v>
      </c>
      <c r="B17" s="234" t="s">
        <v>564</v>
      </c>
      <c r="C17" s="234">
        <f>C12-C13-C15-C16</f>
        <v>2329658.4972512214</v>
      </c>
      <c r="D17" s="234">
        <f>D12-D13-D15-D16</f>
        <v>3731945.6139646899</v>
      </c>
      <c r="E17" s="234">
        <f>E12-E13-E15-E16</f>
        <v>3732107.9368318259</v>
      </c>
      <c r="F17" s="234">
        <f>F12-F13-F15-F16</f>
        <v>3732936.8446119037</v>
      </c>
      <c r="G17" s="235">
        <f>G12-G13-G15-G16</f>
        <v>3732953.0987662259</v>
      </c>
    </row>
    <row r="18" spans="1:7" x14ac:dyDescent="0.15">
      <c r="A18" s="231" t="s">
        <v>572</v>
      </c>
      <c r="B18" s="234" t="s">
        <v>564</v>
      </c>
      <c r="C18" s="236">
        <f>InfoInicial!$B$3*('E-Costos'!B54+'E-Costos'!B55+'E-Costos'!B56+'E-Costos'!B57)</f>
        <v>41780.837913074916</v>
      </c>
      <c r="D18" s="236">
        <f>InfoInicial!$B$3*('E-Costos'!C54+'E-Costos'!C55+'E-Costos'!C56+'E-Costos'!C57)</f>
        <v>44308.955535983252</v>
      </c>
      <c r="E18" s="236">
        <f>InfoInicial!$B$3*('E-Costos'!D54+'E-Costos'!D55+'E-Costos'!D56+'E-Costos'!D57)</f>
        <v>44308.955535983252</v>
      </c>
      <c r="F18" s="236">
        <f>InfoInicial!$B$3*('E-Costos'!E54+'E-Costos'!E55+'E-Costos'!E56+'E-Costos'!E57)</f>
        <v>44308.955535983252</v>
      </c>
      <c r="G18" s="235">
        <f>InfoInicial!$B$3*('E-Costos'!F54+'E-Costos'!F55+'E-Costos'!F56+'E-Costos'!F57)</f>
        <v>44308.955535983252</v>
      </c>
    </row>
    <row r="19" spans="1:7" x14ac:dyDescent="0.15">
      <c r="A19" s="231" t="s">
        <v>573</v>
      </c>
      <c r="B19" s="234" t="s">
        <v>564</v>
      </c>
      <c r="C19" s="236">
        <f>InfoInicial!$B$3*('E-Costos'!B71+'E-Costos'!B72+'E-Costos'!B73+'E-Costos'!B74)</f>
        <v>41160.053945452448</v>
      </c>
      <c r="D19" s="236">
        <f>InfoInicial!$B$3*('E-Costos'!C71+'E-Costos'!C72+'E-Costos'!C73+'E-Costos'!C74)</f>
        <v>42685.862238624934</v>
      </c>
      <c r="E19" s="236">
        <f>InfoInicial!$B$3*('E-Costos'!D71+'E-Costos'!D72+'E-Costos'!D73+'E-Costos'!D74)</f>
        <v>42685.862238624934</v>
      </c>
      <c r="F19" s="236">
        <f>InfoInicial!$B$3*('E-Costos'!E71+'E-Costos'!E72+'E-Costos'!E73+'E-Costos'!E74)</f>
        <v>42685.862238624934</v>
      </c>
      <c r="G19" s="235">
        <f>InfoInicial!$B$3*('E-Costos'!F71+'E-Costos'!F72+'E-Costos'!F73+'E-Costos'!F74)</f>
        <v>42685.862238624934</v>
      </c>
    </row>
    <row r="20" spans="1:7" x14ac:dyDescent="0.15">
      <c r="A20" s="231"/>
      <c r="B20" s="234"/>
      <c r="C20" s="234"/>
      <c r="D20" s="234"/>
      <c r="E20" s="234"/>
      <c r="F20" s="234"/>
      <c r="G20" s="235"/>
    </row>
    <row r="21" spans="1:7" x14ac:dyDescent="0.15">
      <c r="A21" s="159" t="s">
        <v>574</v>
      </c>
      <c r="B21" s="234"/>
      <c r="C21" s="234">
        <f>C17+C18+C19</f>
        <v>2412599.3891097489</v>
      </c>
      <c r="D21" s="234">
        <f>D17+D18+D19</f>
        <v>3818940.4317392982</v>
      </c>
      <c r="E21" s="234">
        <f>E17+E18+E19</f>
        <v>3819102.7546064341</v>
      </c>
      <c r="F21" s="234">
        <f>F17+F18+F19</f>
        <v>3819931.6623865119</v>
      </c>
      <c r="G21" s="235">
        <f>G17+G18+G19</f>
        <v>3819947.9165408341</v>
      </c>
    </row>
    <row r="22" spans="1:7" x14ac:dyDescent="0.15">
      <c r="A22" s="159" t="s">
        <v>575</v>
      </c>
      <c r="B22" s="234"/>
      <c r="C22" s="234">
        <f>'E-Costos'!B88*InfoInicial!$B$3</f>
        <v>6573504</v>
      </c>
      <c r="D22" s="234">
        <f>'E-Costos'!C88*InfoInicial!$B$3</f>
        <v>10500000</v>
      </c>
      <c r="E22" s="234">
        <f>'E-Costos'!D88*InfoInicial!$B$3</f>
        <v>10500000</v>
      </c>
      <c r="F22" s="234">
        <f>'E-Costos'!E88*InfoInicial!$B$3</f>
        <v>10500000</v>
      </c>
      <c r="G22" s="235">
        <f>'E-Costos'!F88*InfoInicial!$B$3</f>
        <v>10500000</v>
      </c>
    </row>
    <row r="23" spans="1:7" x14ac:dyDescent="0.15">
      <c r="A23" s="231" t="s">
        <v>576</v>
      </c>
      <c r="B23" s="234"/>
      <c r="C23" s="234">
        <f>C22-C21</f>
        <v>4160904.6108902511</v>
      </c>
      <c r="D23" s="234">
        <f>D22-D21</f>
        <v>6681059.5682607014</v>
      </c>
      <c r="E23" s="234">
        <f>E22-E21</f>
        <v>6680897.2453935659</v>
      </c>
      <c r="F23" s="234">
        <f>F22-F21</f>
        <v>6680068.3376134876</v>
      </c>
      <c r="G23" s="235">
        <f>G22-G21</f>
        <v>6680052.0834591659</v>
      </c>
    </row>
    <row r="24" spans="1:7" x14ac:dyDescent="0.15">
      <c r="A24" s="159"/>
      <c r="B24" s="234"/>
      <c r="C24" s="234"/>
      <c r="D24" s="234"/>
      <c r="E24" s="234"/>
      <c r="F24" s="234"/>
      <c r="G24" s="235"/>
    </row>
    <row r="25" spans="1:7" x14ac:dyDescent="0.15">
      <c r="A25" s="231" t="s">
        <v>577</v>
      </c>
      <c r="B25" s="234"/>
      <c r="C25" s="234">
        <f>B27</f>
        <v>8045210.4546694532</v>
      </c>
      <c r="D25" s="234">
        <f>C27</f>
        <v>4098316.9562888783</v>
      </c>
      <c r="E25" s="234">
        <f>D27</f>
        <v>0</v>
      </c>
      <c r="F25" s="234">
        <f>E27</f>
        <v>0</v>
      </c>
      <c r="G25" s="235">
        <f>F27</f>
        <v>0</v>
      </c>
    </row>
    <row r="26" spans="1:7" x14ac:dyDescent="0.15">
      <c r="A26" s="231" t="s">
        <v>578</v>
      </c>
      <c r="B26" s="234">
        <f>'E-Cal Inv.'!B23+'E-Cal Inv.'!C23</f>
        <v>8045210.4546694532</v>
      </c>
      <c r="C26" s="234">
        <f>'E-Cal Inv.'!D23</f>
        <v>214011.11250967596</v>
      </c>
      <c r="D26" s="234">
        <f>'E-Cal Inv.'!E23</f>
        <v>5146.2291720422163</v>
      </c>
      <c r="E26" s="234">
        <f>'E-Cal Inv.'!F23</f>
        <v>0</v>
      </c>
      <c r="F26" s="234">
        <f>'E-Cal Inv.'!G23</f>
        <v>422.58096720000611</v>
      </c>
      <c r="G26" s="235">
        <f>'E-Cal Inv.'!H23</f>
        <v>0</v>
      </c>
    </row>
    <row r="27" spans="1:7" x14ac:dyDescent="0.15">
      <c r="A27" s="231" t="s">
        <v>579</v>
      </c>
      <c r="B27" s="234">
        <f>B25+B26-B23</f>
        <v>8045210.4546694532</v>
      </c>
      <c r="C27" s="234">
        <f>C25+C26-C23</f>
        <v>4098316.9562888783</v>
      </c>
      <c r="D27" s="234">
        <v>0</v>
      </c>
      <c r="E27" s="234">
        <v>0</v>
      </c>
      <c r="F27" s="234">
        <v>0</v>
      </c>
      <c r="G27" s="235">
        <v>0</v>
      </c>
    </row>
    <row r="28" spans="1:7" x14ac:dyDescent="0.15">
      <c r="A28" s="237" t="s">
        <v>580</v>
      </c>
      <c r="B28" s="238">
        <f t="shared" ref="B28:G28" si="0">B25+B26-B27</f>
        <v>0</v>
      </c>
      <c r="C28" s="238">
        <f t="shared" si="0"/>
        <v>4160904.6108902511</v>
      </c>
      <c r="D28" s="238">
        <f t="shared" si="0"/>
        <v>4103463.1854609204</v>
      </c>
      <c r="E28" s="238">
        <f t="shared" si="0"/>
        <v>0</v>
      </c>
      <c r="F28" s="238">
        <f t="shared" si="0"/>
        <v>422.58096720000611</v>
      </c>
      <c r="G28" s="239">
        <f t="shared" si="0"/>
        <v>0</v>
      </c>
    </row>
    <row r="29" spans="1:7" x14ac:dyDescent="0.15">
      <c r="B29" s="240"/>
      <c r="C29" s="240"/>
      <c r="D29" s="240"/>
      <c r="E29" s="240"/>
      <c r="F29" s="240"/>
      <c r="G29" s="240"/>
    </row>
    <row r="30" spans="1:7" x14ac:dyDescent="0.15">
      <c r="A30" s="13" t="s">
        <v>581</v>
      </c>
      <c r="B30" s="240">
        <f>B23-B28</f>
        <v>0</v>
      </c>
      <c r="C30" s="240">
        <f>C23-C28</f>
        <v>0</v>
      </c>
      <c r="D30" s="240">
        <f>D23-D28</f>
        <v>2577596.3827997809</v>
      </c>
      <c r="E30" s="240">
        <f>E23-E28</f>
        <v>6680897.2453935659</v>
      </c>
      <c r="F30" s="240">
        <f>F23-F27</f>
        <v>6680068.3376134876</v>
      </c>
      <c r="G30" s="240">
        <f>G23-G27</f>
        <v>6680052.0834591659</v>
      </c>
    </row>
  </sheetData>
  <pageMargins left="0.25972222222222202" right="0.45972222222222198" top="1.27013888888889" bottom="1" header="0.51180555555555496" footer="0.51180555555555496"/>
  <pageSetup paperSize="9" firstPageNumber="0" fitToHeight="4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InfoInicial</vt:lpstr>
      <vt:lpstr>E-Inv AF y Am</vt:lpstr>
      <vt:lpstr>E-Inv AF y Am Datos y links</vt:lpstr>
      <vt:lpstr>E-Costos</vt:lpstr>
      <vt:lpstr>E-Costos Datos y links</vt:lpstr>
      <vt:lpstr>E-InvAT</vt:lpstr>
      <vt:lpstr>E-InvAT Datos y links</vt:lpstr>
      <vt:lpstr>E-Cal Inv.</vt:lpstr>
      <vt:lpstr>E-IVA </vt:lpstr>
      <vt:lpstr>E-Form</vt:lpstr>
      <vt:lpstr>F-Cred</vt:lpstr>
      <vt:lpstr>FCred AD</vt:lpstr>
      <vt:lpstr>F-CRes</vt:lpstr>
      <vt:lpstr>F-2 Estructura</vt:lpstr>
      <vt:lpstr>F-IVA</vt:lpstr>
      <vt:lpstr>F- CFyU</vt:lpstr>
      <vt:lpstr>F-Balance</vt:lpstr>
      <vt:lpstr>F- Form</vt:lpstr>
      <vt:lpstr>'F- CFyU'!Área_de_impresión</vt:lpstr>
      <vt:lpstr>'F-Balance'!Área_de_impresión</vt:lpstr>
      <vt:lpstr>'F-Cred'!Área_de_impresión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Laritines</dc:creator>
  <dc:description/>
  <cp:lastModifiedBy>Usuario de Microsoft Office</cp:lastModifiedBy>
  <cp:revision>4</cp:revision>
  <dcterms:created xsi:type="dcterms:W3CDTF">2018-09-19T18:30:49Z</dcterms:created>
  <dcterms:modified xsi:type="dcterms:W3CDTF">2018-11-04T18:42:13Z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