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485" tabRatio="500"/>
  </bookViews>
  <sheets>
    <sheet name="Auxiliar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2 Estructura" sheetId="10" r:id="rId11"/>
    <sheet name="F-IVA" sheetId="11" r:id="rId12"/>
    <sheet name="F- CFyU" sheetId="12" r:id="rId13"/>
    <sheet name="F-Balance" sheetId="13" r:id="rId14"/>
    <sheet name="F- Form" sheetId="14" r:id="rId15"/>
  </sheets>
  <definedNames>
    <definedName name="_xlnm.Print_Area" localSheetId="3">('E-Costos'!$A$3:$G$47,'E-Costos'!$A$50:$F$81,'E-Costos'!$A$84:$F$136)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2" l="1"/>
  <c r="G1" i="6"/>
  <c r="B16" i="6"/>
  <c r="B15" i="6"/>
  <c r="G22" i="6"/>
  <c r="F22" i="6"/>
  <c r="E22" i="6"/>
  <c r="D22" i="6"/>
  <c r="C22" i="6"/>
  <c r="G19" i="6"/>
  <c r="F19" i="6"/>
  <c r="E19" i="6"/>
  <c r="D19" i="6"/>
  <c r="C19" i="6"/>
  <c r="G18" i="6"/>
  <c r="F18" i="6"/>
  <c r="E18" i="6"/>
  <c r="D18" i="6"/>
  <c r="C18" i="6"/>
  <c r="G9" i="6"/>
  <c r="F9" i="6"/>
  <c r="E9" i="6"/>
  <c r="D9" i="6"/>
  <c r="C9" i="6"/>
  <c r="G8" i="6"/>
  <c r="F8" i="6"/>
  <c r="E8" i="6"/>
  <c r="D8" i="6"/>
  <c r="C8" i="6"/>
  <c r="G6" i="6"/>
  <c r="F6" i="6"/>
  <c r="E6" i="6"/>
  <c r="D6" i="6"/>
  <c r="C6" i="6"/>
  <c r="B21" i="6"/>
  <c r="B23" i="6" s="1"/>
  <c r="B12" i="6"/>
  <c r="G1" i="5"/>
  <c r="D7" i="5"/>
  <c r="C7" i="5"/>
  <c r="B7" i="5"/>
  <c r="H14" i="5"/>
  <c r="G14" i="5"/>
  <c r="F14" i="5"/>
  <c r="E14" i="5"/>
  <c r="D14" i="5"/>
  <c r="C14" i="5"/>
  <c r="H11" i="5"/>
  <c r="G11" i="5"/>
  <c r="F11" i="5"/>
  <c r="E11" i="5"/>
  <c r="D11" i="5"/>
  <c r="C11" i="5"/>
  <c r="B18" i="5"/>
  <c r="I14" i="5"/>
  <c r="H8" i="5"/>
  <c r="H21" i="5" s="1"/>
  <c r="G8" i="5"/>
  <c r="F8" i="5"/>
  <c r="F21" i="5" s="1"/>
  <c r="E8" i="5"/>
  <c r="D8" i="5"/>
  <c r="I7" i="5"/>
  <c r="F102" i="15"/>
  <c r="B29" i="3"/>
  <c r="E1" i="4"/>
  <c r="N45" i="4"/>
  <c r="M45" i="4"/>
  <c r="L45" i="4"/>
  <c r="K45" i="4"/>
  <c r="N44" i="4"/>
  <c r="M44" i="4"/>
  <c r="L44" i="4"/>
  <c r="K44" i="4"/>
  <c r="N42" i="4"/>
  <c r="M42" i="4"/>
  <c r="L42" i="4"/>
  <c r="K42" i="4"/>
  <c r="G10" i="4"/>
  <c r="F10" i="4"/>
  <c r="E10" i="4"/>
  <c r="D10" i="4"/>
  <c r="C10" i="4"/>
  <c r="B10" i="4"/>
  <c r="F30" i="4"/>
  <c r="N36" i="4"/>
  <c r="M36" i="4"/>
  <c r="L36" i="4"/>
  <c r="K36" i="4"/>
  <c r="J36" i="4"/>
  <c r="N35" i="4"/>
  <c r="M35" i="4"/>
  <c r="L35" i="4"/>
  <c r="K35" i="4"/>
  <c r="J35" i="4"/>
  <c r="N33" i="4"/>
  <c r="M33" i="4"/>
  <c r="L33" i="4"/>
  <c r="K33" i="4"/>
  <c r="J33" i="4"/>
  <c r="E30" i="4"/>
  <c r="D30" i="4"/>
  <c r="C30" i="4"/>
  <c r="B30" i="4"/>
  <c r="O9" i="4"/>
  <c r="O8" i="4"/>
  <c r="G7" i="4"/>
  <c r="F7" i="4"/>
  <c r="E7" i="4"/>
  <c r="D7" i="4"/>
  <c r="C7" i="4"/>
  <c r="G6" i="4"/>
  <c r="F6" i="4"/>
  <c r="E6" i="4"/>
  <c r="D6" i="4"/>
  <c r="C6" i="4"/>
  <c r="D21" i="5" l="1"/>
  <c r="B8" i="5"/>
  <c r="I11" i="5"/>
  <c r="E21" i="5"/>
  <c r="G21" i="5"/>
  <c r="G30" i="4"/>
  <c r="B6" i="4"/>
  <c r="B21" i="5" l="1"/>
  <c r="B23" i="5" s="1"/>
  <c r="B25" i="5" s="1"/>
  <c r="B49" i="2" l="1"/>
  <c r="D49" i="2" s="1"/>
  <c r="C29" i="2"/>
  <c r="B29" i="2"/>
  <c r="B13" i="15"/>
  <c r="B135" i="15" l="1"/>
  <c r="B101" i="3"/>
  <c r="D101" i="3"/>
  <c r="E101" i="3"/>
  <c r="F101" i="3"/>
  <c r="C101" i="3"/>
  <c r="C90" i="3"/>
  <c r="D90" i="3"/>
  <c r="E90" i="3"/>
  <c r="F90" i="3"/>
  <c r="C91" i="3"/>
  <c r="D91" i="3"/>
  <c r="E91" i="3"/>
  <c r="F91" i="3"/>
  <c r="B91" i="3"/>
  <c r="B90" i="3"/>
  <c r="C88" i="3"/>
  <c r="D88" i="3"/>
  <c r="E88" i="3"/>
  <c r="F88" i="3"/>
  <c r="B88" i="3"/>
  <c r="F86" i="3"/>
  <c r="D86" i="3"/>
  <c r="E86" i="3"/>
  <c r="C86" i="3"/>
  <c r="B86" i="3"/>
  <c r="C75" i="3"/>
  <c r="D75" i="3"/>
  <c r="E75" i="3"/>
  <c r="F75" i="3"/>
  <c r="B75" i="3"/>
  <c r="D72" i="3"/>
  <c r="E72" i="3"/>
  <c r="F72" i="3"/>
  <c r="C72" i="3"/>
  <c r="B72" i="3" s="1"/>
  <c r="F128" i="15"/>
  <c r="D71" i="3"/>
  <c r="E71" i="3"/>
  <c r="F71" i="3"/>
  <c r="C71" i="3"/>
  <c r="B71" i="3"/>
  <c r="F124" i="15"/>
  <c r="F126" i="15" s="1"/>
  <c r="B124" i="15"/>
  <c r="B126" i="15"/>
  <c r="B54" i="3" s="1"/>
  <c r="F72" i="15"/>
  <c r="I70" i="15" s="1"/>
  <c r="B102" i="15"/>
  <c r="E93" i="15"/>
  <c r="E92" i="15"/>
  <c r="E91" i="15"/>
  <c r="D69" i="3" s="1"/>
  <c r="E90" i="15"/>
  <c r="C69" i="3" s="1"/>
  <c r="B86" i="15"/>
  <c r="D8" i="3" s="1"/>
  <c r="B85" i="15"/>
  <c r="E11" i="3" s="1"/>
  <c r="B69" i="15"/>
  <c r="E69" i="15"/>
  <c r="F69" i="15" s="1"/>
  <c r="B70" i="15"/>
  <c r="B71" i="15"/>
  <c r="B72" i="15"/>
  <c r="B73" i="15"/>
  <c r="B74" i="15"/>
  <c r="B75" i="15"/>
  <c r="B76" i="15"/>
  <c r="E76" i="15"/>
  <c r="F76" i="15" s="1"/>
  <c r="E78" i="15" s="1"/>
  <c r="E79" i="15" s="1"/>
  <c r="B53" i="2"/>
  <c r="D56" i="15"/>
  <c r="B53" i="15"/>
  <c r="D59" i="15" s="1"/>
  <c r="B49" i="15"/>
  <c r="E49" i="15" s="1"/>
  <c r="B50" i="2"/>
  <c r="B25" i="2"/>
  <c r="F33" i="15"/>
  <c r="F32" i="15"/>
  <c r="B34" i="15"/>
  <c r="B36" i="15" s="1"/>
  <c r="B38" i="15" s="1"/>
  <c r="B39" i="15" s="1"/>
  <c r="B41" i="15" s="1"/>
  <c r="B24" i="2"/>
  <c r="B23" i="2"/>
  <c r="B15" i="2"/>
  <c r="B47" i="2" s="1"/>
  <c r="B14" i="2"/>
  <c r="H25" i="15"/>
  <c r="H24" i="15"/>
  <c r="G23" i="15"/>
  <c r="H23" i="15" s="1"/>
  <c r="H22" i="15"/>
  <c r="H21" i="15"/>
  <c r="H20" i="15"/>
  <c r="H19" i="15"/>
  <c r="H18" i="15"/>
  <c r="H17" i="15"/>
  <c r="H16" i="15"/>
  <c r="H15" i="15"/>
  <c r="H14" i="15"/>
  <c r="H13" i="15"/>
  <c r="H12" i="15"/>
  <c r="B7" i="2"/>
  <c r="B43" i="2" s="1"/>
  <c r="H7" i="15"/>
  <c r="H6" i="15"/>
  <c r="B3" i="15"/>
  <c r="B50" i="15" s="1"/>
  <c r="C14" i="3" l="1"/>
  <c r="B69" i="3"/>
  <c r="E52" i="3"/>
  <c r="C52" i="3"/>
  <c r="E69" i="3"/>
  <c r="B52" i="3"/>
  <c r="F52" i="3"/>
  <c r="D52" i="3"/>
  <c r="F69" i="3"/>
  <c r="E54" i="3"/>
  <c r="C54" i="3"/>
  <c r="F54" i="3"/>
  <c r="D54" i="3"/>
  <c r="B32" i="3"/>
  <c r="E32" i="3"/>
  <c r="C32" i="3"/>
  <c r="D32" i="3"/>
  <c r="F32" i="3"/>
  <c r="E80" i="15"/>
  <c r="G32" i="3" s="1"/>
  <c r="E71" i="15"/>
  <c r="F71" i="15" s="1"/>
  <c r="E70" i="15"/>
  <c r="F70" i="15" s="1"/>
  <c r="B77" i="15"/>
  <c r="D11" i="3"/>
  <c r="F11" i="3"/>
  <c r="F50" i="15"/>
  <c r="D50" i="15"/>
  <c r="E50" i="15"/>
  <c r="F49" i="15"/>
  <c r="H9" i="15"/>
  <c r="B7" i="15" s="1"/>
  <c r="F34" i="15"/>
  <c r="C31" i="15" s="1"/>
  <c r="C26" i="2" s="1"/>
  <c r="D49" i="15"/>
  <c r="D53" i="15"/>
  <c r="E53" i="15"/>
  <c r="C8" i="3"/>
  <c r="G26" i="3" s="1"/>
  <c r="E8" i="3"/>
  <c r="C11" i="3"/>
  <c r="E94" i="15"/>
  <c r="F8" i="3"/>
  <c r="E59" i="15"/>
  <c r="B4" i="15"/>
  <c r="B8" i="2"/>
  <c r="B44" i="2" s="1"/>
  <c r="H26" i="15"/>
  <c r="B11" i="15" s="1"/>
  <c r="B106" i="15" l="1"/>
  <c r="B104" i="15"/>
  <c r="B105" i="15" s="1"/>
  <c r="F73" i="15"/>
  <c r="B128" i="15" s="1"/>
  <c r="E73" i="15"/>
  <c r="C34" i="15"/>
  <c r="C36" i="15" s="1"/>
  <c r="C38" i="15" s="1"/>
  <c r="C39" i="15" s="1"/>
  <c r="B16" i="2"/>
  <c r="B48" i="2" s="1"/>
  <c r="B54" i="15"/>
  <c r="B9" i="2"/>
  <c r="B45" i="2" s="1"/>
  <c r="B51" i="15"/>
  <c r="B55" i="15"/>
  <c r="B12" i="2"/>
  <c r="B46" i="2" s="1"/>
  <c r="B52" i="15"/>
  <c r="C41" i="15"/>
  <c r="E26" i="3"/>
  <c r="G25" i="3"/>
  <c r="C15" i="3"/>
  <c r="C58" i="3" s="1"/>
  <c r="D15" i="3"/>
  <c r="D58" i="3" s="1"/>
  <c r="E15" i="3"/>
  <c r="E58" i="3" s="1"/>
  <c r="F15" i="3"/>
  <c r="F58" i="3" s="1"/>
  <c r="B15" i="3"/>
  <c r="B58" i="3" s="1"/>
  <c r="B11" i="3"/>
  <c r="D26" i="3"/>
  <c r="E53" i="2"/>
  <c r="D53" i="2"/>
  <c r="D50" i="2"/>
  <c r="E47" i="2"/>
  <c r="E45" i="2"/>
  <c r="F45" i="2"/>
  <c r="E44" i="2"/>
  <c r="F44" i="2"/>
  <c r="D47" i="2"/>
  <c r="D45" i="2"/>
  <c r="D44" i="2"/>
  <c r="D43" i="2"/>
  <c r="B31" i="2"/>
  <c r="E3" i="3"/>
  <c r="G1" i="7"/>
  <c r="M18" i="7"/>
  <c r="M19" i="7"/>
  <c r="M20" i="7"/>
  <c r="M21" i="7"/>
  <c r="E1" i="2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E55" i="3" l="1"/>
  <c r="C55" i="3"/>
  <c r="B55" i="3" s="1"/>
  <c r="D55" i="3"/>
  <c r="F55" i="3"/>
  <c r="B117" i="15"/>
  <c r="B118" i="15"/>
  <c r="B33" i="3" s="1"/>
  <c r="E29" i="3"/>
  <c r="D29" i="3"/>
  <c r="F29" i="3"/>
  <c r="C29" i="3"/>
  <c r="B15" i="15"/>
  <c r="F51" i="15"/>
  <c r="F57" i="15" s="1"/>
  <c r="F62" i="15" s="1"/>
  <c r="D51" i="15"/>
  <c r="E51" i="15"/>
  <c r="B57" i="15"/>
  <c r="E54" i="15"/>
  <c r="D54" i="15"/>
  <c r="E52" i="15"/>
  <c r="F52" i="15"/>
  <c r="D52" i="15"/>
  <c r="E55" i="15"/>
  <c r="D55" i="15"/>
  <c r="B20" i="2"/>
  <c r="C6" i="5" s="1"/>
  <c r="E43" i="2"/>
  <c r="F43" i="2" s="1"/>
  <c r="C7" i="3"/>
  <c r="B7" i="3"/>
  <c r="E25" i="3"/>
  <c r="D7" i="3"/>
  <c r="F25" i="3"/>
  <c r="F7" i="3"/>
  <c r="D25" i="3"/>
  <c r="E7" i="3"/>
  <c r="C25" i="3"/>
  <c r="B25" i="3"/>
  <c r="C31" i="2"/>
  <c r="C33" i="2" s="1"/>
  <c r="F14" i="3"/>
  <c r="B14" i="3"/>
  <c r="D14" i="3"/>
  <c r="E14" i="3"/>
  <c r="B8" i="3"/>
  <c r="B26" i="3"/>
  <c r="F26" i="3"/>
  <c r="C26" i="3"/>
  <c r="I6" i="5" l="1"/>
  <c r="I8" i="5" s="1"/>
  <c r="I21" i="5" s="1"/>
  <c r="C8" i="5"/>
  <c r="D33" i="3"/>
  <c r="F33" i="3"/>
  <c r="E33" i="3"/>
  <c r="C33" i="3"/>
  <c r="D57" i="15"/>
  <c r="D62" i="15" s="1"/>
  <c r="E57" i="15"/>
  <c r="E62" i="15" s="1"/>
  <c r="E49" i="2"/>
  <c r="C34" i="2"/>
  <c r="C36" i="2" s="1"/>
  <c r="C13" i="3"/>
  <c r="D13" i="3"/>
  <c r="E13" i="3"/>
  <c r="F13" i="3"/>
  <c r="D46" i="2"/>
  <c r="F46" i="2"/>
  <c r="F51" i="2" s="1"/>
  <c r="F56" i="2" s="1"/>
  <c r="E46" i="2"/>
  <c r="B51" i="2"/>
  <c r="B56" i="2" s="1"/>
  <c r="C21" i="5" l="1"/>
  <c r="B13" i="3"/>
  <c r="D31" i="3"/>
  <c r="F31" i="3"/>
  <c r="E31" i="3"/>
  <c r="C31" i="3"/>
  <c r="B31" i="3" s="1"/>
  <c r="G31" i="3" s="1"/>
  <c r="B33" i="2"/>
  <c r="B34" i="2" s="1"/>
  <c r="B36" i="2" s="1"/>
  <c r="D12" i="3"/>
  <c r="C12" i="3"/>
  <c r="F12" i="3"/>
  <c r="E12" i="3"/>
  <c r="E48" i="2"/>
  <c r="D48" i="2"/>
  <c r="E51" i="2"/>
  <c r="E56" i="2" s="1"/>
  <c r="F30" i="3" l="1"/>
  <c r="F7" i="6"/>
  <c r="F12" i="6" s="1"/>
  <c r="E30" i="3"/>
  <c r="M34" i="4" s="1"/>
  <c r="M38" i="4" s="1"/>
  <c r="M43" i="4"/>
  <c r="M47" i="4" s="1"/>
  <c r="B110" i="15"/>
  <c r="D30" i="3"/>
  <c r="L34" i="4" s="1"/>
  <c r="L38" i="4" s="1"/>
  <c r="D7" i="6"/>
  <c r="D12" i="6" s="1"/>
  <c r="B30" i="3"/>
  <c r="C30" i="3"/>
  <c r="D11" i="4"/>
  <c r="G7" i="6"/>
  <c r="G12" i="6" s="1"/>
  <c r="G11" i="4"/>
  <c r="E7" i="6"/>
  <c r="E12" i="6" s="1"/>
  <c r="L43" i="4"/>
  <c r="L47" i="4" s="1"/>
  <c r="B112" i="15"/>
  <c r="B113" i="15"/>
  <c r="E53" i="3"/>
  <c r="E59" i="3" s="1"/>
  <c r="F53" i="3"/>
  <c r="F59" i="3" s="1"/>
  <c r="B12" i="3"/>
  <c r="D51" i="2"/>
  <c r="D56" i="2" s="1"/>
  <c r="F10" i="3"/>
  <c r="E10" i="3"/>
  <c r="F16" i="3" l="1"/>
  <c r="B111" i="15"/>
  <c r="C7" i="6"/>
  <c r="C12" i="6" s="1"/>
  <c r="E11" i="4"/>
  <c r="F15" i="5" s="1"/>
  <c r="K43" i="4"/>
  <c r="K47" i="4" s="1"/>
  <c r="K34" i="4"/>
  <c r="K38" i="4" s="1"/>
  <c r="F11" i="4"/>
  <c r="G31" i="4" s="1"/>
  <c r="G34" i="4" s="1"/>
  <c r="H22" i="5" s="1"/>
  <c r="H23" i="5" s="1"/>
  <c r="G26" i="6" s="1"/>
  <c r="E16" i="3"/>
  <c r="H15" i="5"/>
  <c r="E31" i="4"/>
  <c r="D31" i="4"/>
  <c r="C11" i="4"/>
  <c r="J34" i="4"/>
  <c r="J38" i="4" s="1"/>
  <c r="J39" i="4" s="1"/>
  <c r="C32" i="4" s="1"/>
  <c r="C15" i="6" s="1"/>
  <c r="L39" i="4"/>
  <c r="E32" i="4" s="1"/>
  <c r="E15" i="6" s="1"/>
  <c r="M48" i="4"/>
  <c r="F33" i="4" s="1"/>
  <c r="F16" i="6" s="1"/>
  <c r="M39" i="4"/>
  <c r="F32" i="4" s="1"/>
  <c r="F15" i="6" s="1"/>
  <c r="F17" i="6" s="1"/>
  <c r="F21" i="6" s="1"/>
  <c r="F23" i="6" s="1"/>
  <c r="F28" i="6" s="1"/>
  <c r="N43" i="4"/>
  <c r="N47" i="4" s="1"/>
  <c r="N48" i="4" s="1"/>
  <c r="G33" i="4" s="1"/>
  <c r="G16" i="6" s="1"/>
  <c r="N34" i="4"/>
  <c r="N38" i="4" s="1"/>
  <c r="N39" i="4" s="1"/>
  <c r="G32" i="4" s="1"/>
  <c r="G15" i="6" s="1"/>
  <c r="G17" i="6" s="1"/>
  <c r="G21" i="6" s="1"/>
  <c r="G23" i="6" s="1"/>
  <c r="D70" i="3"/>
  <c r="D76" i="3" s="1"/>
  <c r="F70" i="3"/>
  <c r="F76" i="3" s="1"/>
  <c r="C70" i="3"/>
  <c r="C76" i="3" s="1"/>
  <c r="E70" i="3"/>
  <c r="E76" i="3" s="1"/>
  <c r="B70" i="3"/>
  <c r="B76" i="3" s="1"/>
  <c r="E61" i="3"/>
  <c r="F61" i="3"/>
  <c r="D53" i="3"/>
  <c r="D59" i="3" s="1"/>
  <c r="C53" i="3"/>
  <c r="C59" i="3" s="1"/>
  <c r="B53" i="3"/>
  <c r="B59" i="3" s="1"/>
  <c r="B114" i="15"/>
  <c r="G30" i="3" s="1"/>
  <c r="G35" i="3" s="1"/>
  <c r="C13" i="6" s="1"/>
  <c r="F28" i="3"/>
  <c r="E28" i="3"/>
  <c r="D10" i="3"/>
  <c r="B10" i="3"/>
  <c r="C10" i="3"/>
  <c r="F17" i="3"/>
  <c r="F94" i="3" s="1"/>
  <c r="E39" i="3"/>
  <c r="B16" i="3" l="1"/>
  <c r="F17" i="4"/>
  <c r="E34" i="3"/>
  <c r="C16" i="3"/>
  <c r="D16" i="3"/>
  <c r="G17" i="4"/>
  <c r="G18" i="4" s="1"/>
  <c r="F34" i="3"/>
  <c r="D15" i="5"/>
  <c r="B11" i="4"/>
  <c r="E15" i="5"/>
  <c r="G15" i="5"/>
  <c r="F31" i="4"/>
  <c r="F34" i="4" s="1"/>
  <c r="G22" i="5" s="1"/>
  <c r="G23" i="5" s="1"/>
  <c r="K39" i="4"/>
  <c r="D32" i="4" s="1"/>
  <c r="D15" i="6" s="1"/>
  <c r="L48" i="4"/>
  <c r="E33" i="4" s="1"/>
  <c r="E16" i="6" s="1"/>
  <c r="E17" i="6" s="1"/>
  <c r="E21" i="6" s="1"/>
  <c r="E23" i="6" s="1"/>
  <c r="E28" i="6" s="1"/>
  <c r="B92" i="3"/>
  <c r="B41" i="3"/>
  <c r="B97" i="3"/>
  <c r="F109" i="3"/>
  <c r="E125" i="3"/>
  <c r="E78" i="3"/>
  <c r="F125" i="3"/>
  <c r="F78" i="3"/>
  <c r="F92" i="3"/>
  <c r="E63" i="3"/>
  <c r="E130" i="3" s="1"/>
  <c r="E109" i="3"/>
  <c r="B78" i="3"/>
  <c r="E92" i="3"/>
  <c r="F63" i="3"/>
  <c r="F130" i="3" s="1"/>
  <c r="F64" i="3"/>
  <c r="F131" i="3" s="1"/>
  <c r="E17" i="3"/>
  <c r="E94" i="3" s="1"/>
  <c r="B61" i="3"/>
  <c r="D61" i="3"/>
  <c r="E64" i="3"/>
  <c r="E131" i="3" s="1"/>
  <c r="C61" i="3"/>
  <c r="B28" i="3"/>
  <c r="B39" i="3"/>
  <c r="B17" i="3"/>
  <c r="B94" i="3" s="1"/>
  <c r="E35" i="3"/>
  <c r="F12" i="4" s="1"/>
  <c r="F39" i="3"/>
  <c r="D28" i="3"/>
  <c r="C28" i="3"/>
  <c r="F35" i="3"/>
  <c r="G12" i="4" s="1"/>
  <c r="H16" i="5" s="1"/>
  <c r="C17" i="3"/>
  <c r="C94" i="3" s="1"/>
  <c r="E19" i="3"/>
  <c r="E128" i="3" s="1"/>
  <c r="F19" i="3"/>
  <c r="F128" i="3" s="1"/>
  <c r="D39" i="3"/>
  <c r="E17" i="4" l="1"/>
  <c r="E18" i="4" s="1"/>
  <c r="D34" i="3"/>
  <c r="D125" i="3"/>
  <c r="J42" i="4"/>
  <c r="J44" i="4"/>
  <c r="J45" i="4"/>
  <c r="J43" i="4"/>
  <c r="C125" i="3"/>
  <c r="D17" i="4"/>
  <c r="C34" i="3"/>
  <c r="B125" i="3"/>
  <c r="C17" i="4"/>
  <c r="C18" i="4" s="1"/>
  <c r="C20" i="4" s="1"/>
  <c r="B34" i="3"/>
  <c r="F26" i="6"/>
  <c r="E34" i="4"/>
  <c r="F22" i="5" s="1"/>
  <c r="F23" i="5" s="1"/>
  <c r="E26" i="6" s="1"/>
  <c r="C31" i="4"/>
  <c r="C15" i="5"/>
  <c r="B9" i="4"/>
  <c r="B15" i="4" s="1"/>
  <c r="B31" i="4"/>
  <c r="B34" i="4" s="1"/>
  <c r="C22" i="5" s="1"/>
  <c r="D63" i="3"/>
  <c r="D130" i="3" s="1"/>
  <c r="D109" i="3"/>
  <c r="B63" i="3"/>
  <c r="B130" i="3"/>
  <c r="B109" i="3"/>
  <c r="B110" i="3"/>
  <c r="B80" i="3"/>
  <c r="B132" i="3" s="1"/>
  <c r="B81" i="3"/>
  <c r="B133" i="3" s="1"/>
  <c r="B19" i="3"/>
  <c r="B128" i="3" s="1"/>
  <c r="C109" i="3"/>
  <c r="D78" i="3"/>
  <c r="C78" i="3"/>
  <c r="D92" i="3"/>
  <c r="C92" i="3"/>
  <c r="F110" i="3"/>
  <c r="F80" i="3"/>
  <c r="F132" i="3" s="1"/>
  <c r="F81" i="3"/>
  <c r="F133" i="3" s="1"/>
  <c r="E80" i="3"/>
  <c r="E132" i="3" s="1"/>
  <c r="E110" i="3"/>
  <c r="E81" i="3"/>
  <c r="E133" i="3" s="1"/>
  <c r="C39" i="3"/>
  <c r="D64" i="3"/>
  <c r="D131" i="3" s="1"/>
  <c r="E47" i="3"/>
  <c r="C63" i="3"/>
  <c r="C130" i="3" s="1"/>
  <c r="C64" i="3"/>
  <c r="C131" i="3" s="1"/>
  <c r="B64" i="3"/>
  <c r="B131" i="3" s="1"/>
  <c r="F47" i="3"/>
  <c r="F42" i="3"/>
  <c r="F46" i="3"/>
  <c r="C35" i="3"/>
  <c r="D12" i="4" s="1"/>
  <c r="D35" i="3"/>
  <c r="E46" i="3"/>
  <c r="D17" i="3"/>
  <c r="D20" i="3" s="1"/>
  <c r="D129" i="3" s="1"/>
  <c r="B35" i="3"/>
  <c r="C12" i="4" s="1"/>
  <c r="D16" i="5" s="1"/>
  <c r="E20" i="3"/>
  <c r="E129" i="3" s="1"/>
  <c r="C19" i="3"/>
  <c r="C128" i="3" s="1"/>
  <c r="C20" i="3"/>
  <c r="C129" i="3" s="1"/>
  <c r="B20" i="3"/>
  <c r="B129" i="3" s="1"/>
  <c r="F20" i="3"/>
  <c r="F129" i="3" s="1"/>
  <c r="E16" i="5" l="1"/>
  <c r="B22" i="4"/>
  <c r="B25" i="4" s="1"/>
  <c r="B36" i="4" s="1"/>
  <c r="B24" i="4"/>
  <c r="D18" i="4"/>
  <c r="D20" i="4" s="1"/>
  <c r="F18" i="4"/>
  <c r="J47" i="4"/>
  <c r="C23" i="5"/>
  <c r="B26" i="6" s="1"/>
  <c r="B27" i="6" s="1"/>
  <c r="I15" i="5"/>
  <c r="C18" i="5"/>
  <c r="C25" i="5" s="1"/>
  <c r="E20" i="4"/>
  <c r="E42" i="3"/>
  <c r="E98" i="3" s="1"/>
  <c r="E100" i="3" s="1"/>
  <c r="E12" i="4"/>
  <c r="B134" i="3"/>
  <c r="B135" i="3" s="1"/>
  <c r="E134" i="3"/>
  <c r="E135" i="3" s="1"/>
  <c r="D19" i="3"/>
  <c r="D128" i="3" s="1"/>
  <c r="D94" i="3"/>
  <c r="E43" i="3"/>
  <c r="E44" i="3" s="1"/>
  <c r="D110" i="3"/>
  <c r="D80" i="3"/>
  <c r="D132" i="3" s="1"/>
  <c r="D81" i="3"/>
  <c r="D133" i="3" s="1"/>
  <c r="D134" i="3" s="1"/>
  <c r="F134" i="3"/>
  <c r="F135" i="3" s="1"/>
  <c r="F43" i="3"/>
  <c r="F44" i="3" s="1"/>
  <c r="F98" i="3"/>
  <c r="F100" i="3" s="1"/>
  <c r="C80" i="3"/>
  <c r="C132" i="3" s="1"/>
  <c r="C110" i="3"/>
  <c r="C81" i="3"/>
  <c r="C133" i="3" s="1"/>
  <c r="C134" i="3" s="1"/>
  <c r="B42" i="3"/>
  <c r="B46" i="3"/>
  <c r="D46" i="3"/>
  <c r="D42" i="3"/>
  <c r="C42" i="3"/>
  <c r="C46" i="3"/>
  <c r="B47" i="3"/>
  <c r="D47" i="3"/>
  <c r="C47" i="3"/>
  <c r="C25" i="6" l="1"/>
  <c r="J48" i="4"/>
  <c r="C33" i="4" s="1"/>
  <c r="K48" i="4"/>
  <c r="D33" i="4" s="1"/>
  <c r="F16" i="5"/>
  <c r="I16" i="5" s="1"/>
  <c r="G16" i="5"/>
  <c r="F20" i="4"/>
  <c r="G20" i="4"/>
  <c r="C135" i="3"/>
  <c r="C43" i="3"/>
  <c r="C44" i="3" s="1"/>
  <c r="C98" i="3"/>
  <c r="C100" i="3" s="1"/>
  <c r="B43" i="3"/>
  <c r="B44" i="3" s="1"/>
  <c r="B98" i="3"/>
  <c r="B100" i="3" s="1"/>
  <c r="E102" i="3"/>
  <c r="F13" i="4" s="1"/>
  <c r="D43" i="3"/>
  <c r="D44" i="3" s="1"/>
  <c r="D98" i="3"/>
  <c r="D100" i="3" s="1"/>
  <c r="F102" i="3"/>
  <c r="G13" i="4" s="1"/>
  <c r="D135" i="3"/>
  <c r="F9" i="4" l="1"/>
  <c r="F15" i="4" s="1"/>
  <c r="D16" i="6"/>
  <c r="D17" i="6" s="1"/>
  <c r="D21" i="6" s="1"/>
  <c r="D23" i="6" s="1"/>
  <c r="D28" i="6" s="1"/>
  <c r="D34" i="4"/>
  <c r="E22" i="5" s="1"/>
  <c r="E23" i="5" s="1"/>
  <c r="G9" i="4"/>
  <c r="G15" i="4" s="1"/>
  <c r="H17" i="5"/>
  <c r="C16" i="6"/>
  <c r="C17" i="6" s="1"/>
  <c r="C21" i="6" s="1"/>
  <c r="C23" i="6" s="1"/>
  <c r="C34" i="4"/>
  <c r="D22" i="5" s="1"/>
  <c r="G24" i="4"/>
  <c r="D102" i="3"/>
  <c r="B102" i="3"/>
  <c r="F105" i="3"/>
  <c r="C102" i="3"/>
  <c r="D26" i="6" l="1"/>
  <c r="D23" i="5"/>
  <c r="I22" i="5"/>
  <c r="I23" i="5" s="1"/>
  <c r="C28" i="6"/>
  <c r="F107" i="3"/>
  <c r="F112" i="3" s="1"/>
  <c r="F116" i="3" s="1"/>
  <c r="E105" i="3"/>
  <c r="E13" i="4"/>
  <c r="C105" i="3"/>
  <c r="D13" i="4"/>
  <c r="E17" i="5" s="1"/>
  <c r="B105" i="3"/>
  <c r="C13" i="4"/>
  <c r="D17" i="5" s="1"/>
  <c r="D105" i="3"/>
  <c r="F17" i="5" l="1"/>
  <c r="I17" i="5" s="1"/>
  <c r="G17" i="5"/>
  <c r="C26" i="6"/>
  <c r="C27" i="6" s="1"/>
  <c r="F114" i="3"/>
  <c r="E9" i="4"/>
  <c r="E15" i="4" s="1"/>
  <c r="F24" i="4" s="1"/>
  <c r="E107" i="3"/>
  <c r="E112" i="3" s="1"/>
  <c r="D107" i="3"/>
  <c r="D112" i="3" s="1"/>
  <c r="B107" i="3"/>
  <c r="B112" i="3" s="1"/>
  <c r="C9" i="4"/>
  <c r="C15" i="4" s="1"/>
  <c r="D9" i="4"/>
  <c r="D15" i="4" s="1"/>
  <c r="C107" i="3"/>
  <c r="C112" i="3" s="1"/>
  <c r="F118" i="3"/>
  <c r="F117" i="3"/>
  <c r="D27" i="6" l="1"/>
  <c r="D25" i="6"/>
  <c r="E114" i="3"/>
  <c r="E116" i="3"/>
  <c r="D114" i="3"/>
  <c r="D116" i="3"/>
  <c r="D117" i="3" s="1"/>
  <c r="C116" i="3"/>
  <c r="C114" i="3"/>
  <c r="D24" i="4"/>
  <c r="E24" i="4"/>
  <c r="C24" i="4"/>
  <c r="B116" i="3"/>
  <c r="B114" i="3"/>
  <c r="F120" i="3"/>
  <c r="F121" i="3" s="1"/>
  <c r="G19" i="4" s="1"/>
  <c r="D118" i="3"/>
  <c r="G16" i="4" l="1"/>
  <c r="G22" i="4" s="1"/>
  <c r="E27" i="6"/>
  <c r="E25" i="6"/>
  <c r="E117" i="3"/>
  <c r="E120" i="3" s="1"/>
  <c r="E118" i="3"/>
  <c r="B118" i="3"/>
  <c r="B117" i="3"/>
  <c r="C117" i="3"/>
  <c r="C118" i="3"/>
  <c r="F124" i="3"/>
  <c r="F126" i="3" s="1"/>
  <c r="D120" i="3"/>
  <c r="D121" i="3" s="1"/>
  <c r="E19" i="4" s="1"/>
  <c r="F27" i="6" l="1"/>
  <c r="F25" i="6"/>
  <c r="E124" i="3"/>
  <c r="E126" i="3" s="1"/>
  <c r="E121" i="3"/>
  <c r="F19" i="4" s="1"/>
  <c r="C120" i="3"/>
  <c r="C124" i="3" s="1"/>
  <c r="C126" i="3" s="1"/>
  <c r="E16" i="4"/>
  <c r="E22" i="4" s="1"/>
  <c r="B120" i="3"/>
  <c r="D124" i="3"/>
  <c r="D126" i="3" s="1"/>
  <c r="G12" i="5" l="1"/>
  <c r="G18" i="5" s="1"/>
  <c r="G25" i="5" s="1"/>
  <c r="H12" i="5"/>
  <c r="H18" i="5" s="1"/>
  <c r="H25" i="5" s="1"/>
  <c r="G25" i="6"/>
  <c r="G28" i="6"/>
  <c r="G30" i="6" s="1"/>
  <c r="C121" i="3"/>
  <c r="D19" i="4" s="1"/>
  <c r="F16" i="4"/>
  <c r="F22" i="4" s="1"/>
  <c r="G25" i="4" s="1"/>
  <c r="G36" i="4" s="1"/>
  <c r="B124" i="3"/>
  <c r="B126" i="3" s="1"/>
  <c r="B121" i="3"/>
  <c r="C19" i="4" s="1"/>
  <c r="D12" i="5" s="1"/>
  <c r="F25" i="4"/>
  <c r="F36" i="4" s="1"/>
  <c r="D18" i="5" l="1"/>
  <c r="D25" i="5" s="1"/>
  <c r="D16" i="4"/>
  <c r="D22" i="4" s="1"/>
  <c r="E25" i="4" s="1"/>
  <c r="E36" i="4" s="1"/>
  <c r="E12" i="5"/>
  <c r="E18" i="5" s="1"/>
  <c r="E25" i="5" s="1"/>
  <c r="F12" i="5"/>
  <c r="F18" i="5" s="1"/>
  <c r="F25" i="5" s="1"/>
  <c r="C16" i="4"/>
  <c r="C22" i="4" s="1"/>
  <c r="C25" i="4" s="1"/>
  <c r="C36" i="4" s="1"/>
  <c r="D25" i="4"/>
  <c r="D36" i="4" s="1"/>
  <c r="I12" i="5" l="1"/>
  <c r="I18" i="5" s="1"/>
  <c r="I25" i="5" s="1"/>
</calcChain>
</file>

<file path=xl/sharedStrings.xml><?xml version="1.0" encoding="utf-8"?>
<sst xmlns="http://schemas.openxmlformats.org/spreadsheetml/2006/main" count="864" uniqueCount="532">
  <si>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</si>
  <si>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</si>
  <si>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</si>
  <si>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</si>
  <si>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</si>
  <si>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</si>
  <si>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</si>
  <si>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</si>
  <si>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</si>
  <si>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</si>
  <si>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</si>
  <si>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</si>
  <si>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</si>
  <si>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</si>
  <si>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</si>
  <si>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</si>
  <si>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</si>
  <si>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</si>
  <si>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</si>
  <si>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</si>
  <si>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</si>
  <si>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</si>
  <si>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</si>
  <si>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</si>
  <si>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</si>
  <si>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</si>
  <si>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</si>
  <si>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</si>
  <si>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</si>
  <si>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</si>
  <si>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</si>
  <si>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</si>
  <si>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</si>
  <si>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</si>
  <si>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</si>
  <si>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</si>
  <si>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</si>
  <si>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</si>
  <si>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</si>
  <si>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</si>
  <si>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</si>
  <si>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</si>
  <si>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</si>
  <si>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</si>
  <si>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</si>
  <si>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</si>
  <si>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</si>
  <si>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</si>
  <si>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Oktubre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</si>
  <si>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</si>
  <si>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</si>
  <si>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</si>
  <si>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</si>
  <si>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</si>
  <si>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</si>
  <si>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</si>
  <si>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</si>
  <si>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</si>
  <si>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</si>
  <si>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</si>
  <si>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</si>
  <si>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</si>
  <si>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</si>
  <si>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</si>
  <si>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</si>
  <si>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</si>
  <si>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</si>
  <si>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</si>
  <si>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</si>
  <si>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</si>
  <si>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</si>
  <si>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</si>
  <si>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</si>
  <si>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</si>
  <si>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</si>
  <si>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</si>
  <si>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</si>
  <si>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</si>
  <si>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</si>
  <si>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</si>
  <si>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</si>
  <si>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</si>
  <si>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</si>
  <si>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</si>
  <si>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</si>
  <si>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</si>
  <si>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</si>
  <si>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</si>
  <si>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</si>
  <si>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</si>
  <si>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</si>
  <si>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</si>
  <si>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</si>
  <si>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</si>
  <si>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</si>
  <si>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</si>
  <si>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</si>
  <si>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</si>
  <si>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</si>
  <si>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</si>
  <si>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</si>
  <si>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</si>
  <si>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</si>
  <si>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</si>
  <si>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</si>
  <si>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</si>
  <si>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</si>
  <si>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</si>
  <si>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</si>
  <si>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</si>
  <si>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</si>
  <si>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</si>
  <si>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</si>
  <si>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</si>
  <si>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</si>
  <si>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</si>
  <si>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</si>
  <si>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</si>
  <si>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</si>
  <si>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</si>
  <si>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</si>
  <si>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</si>
  <si>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</si>
  <si>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</si>
  <si>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</si>
  <si>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</si>
  <si>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</si>
  <si>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</si>
  <si>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</si>
  <si>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</si>
  <si>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</si>
  <si>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</si>
  <si>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</si>
  <si>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</si>
  <si>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</si>
  <si>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</si>
  <si>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</si>
  <si>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</si>
  <si>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</si>
  <si>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</si>
  <si>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</si>
  <si>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</si>
  <si>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</si>
  <si>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</si>
  <si>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</si>
  <si>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</si>
  <si>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</si>
  <si>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</si>
  <si>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</si>
  <si>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</si>
  <si>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</si>
  <si>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</si>
  <si>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</si>
  <si>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</si>
  <si>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</si>
  <si>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</si>
  <si>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</si>
  <si>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</si>
  <si>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</si>
  <si>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</si>
  <si>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</si>
  <si>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</si>
  <si>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</si>
  <si>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</si>
  <si>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</si>
  <si>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</si>
  <si>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</si>
  <si>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</si>
  <si>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</si>
  <si>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</si>
  <si>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</si>
  <si>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</si>
  <si>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</si>
  <si>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</si>
  <si>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</si>
  <si>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</si>
  <si>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</si>
  <si>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</si>
  <si>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</si>
  <si>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</si>
  <si>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</si>
  <si>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</si>
  <si>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</si>
  <si>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</si>
  <si>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</si>
  <si>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</si>
  <si>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</si>
  <si>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</si>
  <si>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</si>
  <si>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</si>
  <si>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</si>
  <si>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</si>
  <si>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</si>
  <si>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</si>
  <si>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</si>
  <si>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</si>
  <si>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</si>
  <si>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</si>
  <si>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</si>
  <si>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</si>
  <si>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</si>
  <si>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</si>
  <si>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</si>
  <si>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</si>
  <si>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</si>
  <si>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</si>
  <si>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</si>
  <si>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</si>
  <si>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</si>
  <si>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</si>
  <si>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</si>
  <si>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</si>
  <si>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</si>
  <si>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</si>
  <si>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</si>
  <si>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</si>
  <si>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</si>
  <si>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</si>
  <si>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</si>
  <si>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</si>
  <si>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</si>
  <si>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</si>
  <si>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</si>
  <si>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</si>
  <si>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</si>
  <si>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</si>
  <si>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</si>
  <si>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</si>
  <si>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</si>
  <si>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</si>
  <si>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</si>
  <si>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</si>
  <si>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</si>
  <si>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</si>
  <si>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</si>
  <si>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</si>
  <si>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</si>
  <si>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</si>
  <si>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</si>
  <si>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</si>
  <si>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</si>
  <si>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</si>
  <si>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</si>
  <si>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</si>
  <si>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</si>
  <si>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</si>
  <si>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</si>
  <si>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</si>
  <si>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</si>
  <si>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</si>
  <si>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</si>
  <si>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</si>
  <si>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</si>
  <si>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</si>
  <si>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</si>
  <si>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</si>
  <si>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</si>
  <si>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</si>
  <si>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</si>
  <si>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</si>
  <si>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</si>
  <si>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</si>
  <si>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</si>
  <si>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</si>
  <si>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</si>
  <si>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</si>
  <si>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</si>
  <si>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</si>
  <si>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</si>
  <si>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</si>
  <si>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</si>
  <si>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</si>
  <si>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</si>
  <si>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</si>
  <si>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</si>
  <si>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</si>
  <si>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</si>
  <si>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</si>
  <si>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</si>
  <si>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</si>
  <si>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</si>
  <si>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</si>
  <si>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</si>
  <si>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</si>
  <si>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</si>
  <si>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</si>
  <si>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</si>
  <si>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</si>
  <si>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</si>
  <si>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</si>
  <si>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</si>
  <si>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</si>
  <si>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</si>
  <si>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</si>
  <si>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</si>
  <si>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</si>
  <si>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</si>
  <si>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</si>
  <si>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</si>
  <si>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</si>
  <si>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</si>
  <si>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</si>
  <si>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</si>
  <si>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</si>
  <si>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</si>
  <si>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</si>
  <si>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</si>
  <si>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</si>
  <si>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</si>
  <si>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</si>
  <si>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</si>
  <si>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</si>
  <si>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</si>
  <si>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</si>
  <si>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</si>
  <si>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</si>
  <si>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</si>
  <si>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</si>
  <si>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</si>
  <si>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</si>
  <si>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</si>
  <si>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</si>
  <si>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</si>
  <si>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</si>
  <si>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</si>
  <si>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</si>
  <si>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</si>
  <si>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</si>
  <si>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</si>
  <si>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</si>
  <si>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</si>
  <si>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</si>
  <si>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</si>
  <si>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</si>
  <si>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</si>
  <si>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</si>
  <si>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</si>
  <si>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</si>
  <si>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</si>
  <si>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</si>
  <si>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</si>
  <si>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</si>
  <si>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</si>
  <si>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</si>
  <si>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</si>
  <si>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</si>
  <si>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</si>
  <si>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</si>
  <si>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</si>
  <si>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</si>
  <si>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</si>
  <si>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</si>
  <si>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</si>
  <si>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</si>
  <si>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</si>
  <si>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</si>
  <si>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</si>
  <si>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</si>
  <si>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</si>
  <si>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</si>
  <si>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</si>
  <si>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</si>
  <si>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</si>
  <si>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</si>
  <si>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</si>
  <si>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</si>
  <si>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</si>
  <si>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</si>
  <si>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</si>
  <si>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</si>
  <si>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</si>
  <si>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</si>
  <si>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</si>
  <si>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</si>
  <si>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</si>
  <si>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</si>
  <si>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</si>
  <si>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</si>
  <si>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</si>
  <si>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</si>
  <si>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</si>
  <si>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</si>
  <si>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</si>
  <si>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</si>
  <si>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</si>
  <si>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</si>
  <si>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</si>
  <si>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</si>
  <si>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</si>
  <si>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</si>
  <si>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</si>
  <si>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</si>
  <si>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</si>
  <si>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</si>
  <si>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</si>
  <si>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</si>
  <si>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</si>
  <si>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</si>
  <si>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</si>
  <si>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</si>
  <si>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Barbero</t>
  </si>
  <si>
    <t>Terreno</t>
  </si>
  <si>
    <t>Muebles y Utiles</t>
  </si>
  <si>
    <t>Pc</t>
  </si>
  <si>
    <t>Sillas</t>
  </si>
  <si>
    <t>Ventiladores</t>
  </si>
  <si>
    <t>Estufa</t>
  </si>
  <si>
    <t>Aire acondicionado</t>
  </si>
  <si>
    <t>Cafetera</t>
  </si>
  <si>
    <t>Telefono fijo</t>
  </si>
  <si>
    <t>Escritorios</t>
  </si>
  <si>
    <t>cant</t>
  </si>
  <si>
    <t>impresora</t>
  </si>
  <si>
    <t>Estanterias pt</t>
  </si>
  <si>
    <t>Estanterias mp</t>
  </si>
  <si>
    <t>Mesas industriales</t>
  </si>
  <si>
    <t>Mesa Gerencial</t>
  </si>
  <si>
    <t>Mesas Operacionales</t>
  </si>
  <si>
    <t>Precio unitario</t>
  </si>
  <si>
    <t>Máquinas</t>
  </si>
  <si>
    <t>Corte</t>
  </si>
  <si>
    <t>Confección</t>
  </si>
  <si>
    <t>Cantiodad</t>
  </si>
  <si>
    <t>Precio Unitario</t>
  </si>
  <si>
    <t>Shablon+Maniqueta</t>
  </si>
  <si>
    <t>Exceso Tela</t>
  </si>
  <si>
    <t>Exceso Servicios</t>
  </si>
  <si>
    <t>Años 6/10</t>
  </si>
  <si>
    <t>Cantidad</t>
  </si>
  <si>
    <t>Componentes 1 barbero</t>
  </si>
  <si>
    <t>Tela sylver</t>
  </si>
  <si>
    <t xml:space="preserve">Velcro </t>
  </si>
  <si>
    <t>Sopapas Ventosas</t>
  </si>
  <si>
    <t>Argollas de metal</t>
  </si>
  <si>
    <t>Tela Bies</t>
  </si>
  <si>
    <t>Hilo de Poliester</t>
  </si>
  <si>
    <t>Tinta</t>
  </si>
  <si>
    <t>Empaque</t>
  </si>
  <si>
    <t>Costo</t>
  </si>
  <si>
    <t>Energía</t>
  </si>
  <si>
    <t>Consumo Anual en Régimen</t>
  </si>
  <si>
    <t>Consumo Área Producción</t>
  </si>
  <si>
    <t>Consumo Mantenimiento</t>
  </si>
  <si>
    <t>Gasto Fijo Anual</t>
  </si>
  <si>
    <t>Consumo</t>
  </si>
  <si>
    <t>*</t>
  </si>
  <si>
    <t>*33,23 precio gas oil por litro</t>
  </si>
  <si>
    <t>*32643 es preoducción en el período de puesta en marcha</t>
  </si>
  <si>
    <t>**1,436 es (14,36+0,1*14,369)-14,36</t>
  </si>
  <si>
    <t>14,36 es el porcentaje de desperdicio no recuperables</t>
  </si>
  <si>
    <t>https://www.zonaprop.com.ar/propiedades/lote-portela-al-500-42873238.html</t>
  </si>
  <si>
    <t>https://servicio.mercadolibre.com.ar/MLA-741092832-galpones-completos-tinglados-pisos-industriales-x-m2-comp-_JM</t>
  </si>
  <si>
    <t>Consideramo que la instalaciones industriales son un 80% del costo de edificio y obras complementarias</t>
  </si>
  <si>
    <t>https://auto.mercadolibre.com.ar/MLA-745872965-fiat-fiorino-13-fire-2010-_JM</t>
  </si>
  <si>
    <t>https://articulo.mercadolibre.com.ar/MLA-736904866-cortadora-de-tela-cuchilla-circular-dapet-5-pulgadas-_JM</t>
  </si>
  <si>
    <t>https://articulo.mercadolibre.com.ar/MLA-678847238-nueva-recta-industrial-jack-f4-motor-bajo-consumo-_JM</t>
  </si>
  <si>
    <t>Imprevistos consideramos que es el 1% de los gastos de bienes de uso</t>
  </si>
  <si>
    <t>https://articulo.mercadolibre.com.ar/MLA-606269565-schablones-shablones-40x50-47h-serigrafia-manigueta-_JM</t>
  </si>
  <si>
    <t>https://articulo.mercadolibre.com.ar/MLA-699259684-manigueta-25cm-color-ambar-serigrafia-_JM</t>
  </si>
  <si>
    <t>Aproximación del costo de abrir una SRL (pyme)</t>
  </si>
  <si>
    <t>Sale del dimensionamiento técnico</t>
  </si>
  <si>
    <t>precio tela sylver: 46$/m2</t>
  </si>
  <si>
    <t>Instalaciones Industriales</t>
  </si>
  <si>
    <t>Máquinas Operativas</t>
  </si>
  <si>
    <t>Años de amorización</t>
  </si>
  <si>
    <t>Repuesto</t>
  </si>
  <si>
    <t>Cuchilla Cortadora</t>
  </si>
  <si>
    <t>Set de agujas</t>
  </si>
  <si>
    <t>Gerente General 100000</t>
  </si>
  <si>
    <t>Gerente Producción 80000</t>
  </si>
  <si>
    <t>Jefes 60000</t>
  </si>
  <si>
    <t>Limpieza y Operario 10700</t>
  </si>
  <si>
    <t>Total PI</t>
  </si>
  <si>
    <t>MOD</t>
  </si>
  <si>
    <t>Mercaderiá en curso y SE 1341,8 (dimensionamiento técnico)</t>
  </si>
  <si>
    <t>Sueldo</t>
  </si>
  <si>
    <t>Gasto anual</t>
  </si>
  <si>
    <t>Gerente General</t>
  </si>
  <si>
    <t>Gerente Producción</t>
  </si>
  <si>
    <t>Jefe</t>
  </si>
  <si>
    <t>Carga Social (%)</t>
  </si>
  <si>
    <t>Gasto anueal adicional</t>
  </si>
  <si>
    <t>Días de trabajo</t>
  </si>
  <si>
    <t>Cantidad de operarios</t>
  </si>
  <si>
    <t>Turno</t>
  </si>
  <si>
    <t>Horas</t>
  </si>
  <si>
    <t>Jornal ($/h)</t>
  </si>
  <si>
    <t>Gasto específico</t>
  </si>
  <si>
    <t>Gasto de la mercadería en proceso</t>
  </si>
  <si>
    <t>Gasto en la mercadería en proceso</t>
  </si>
  <si>
    <t>Consumo de MP en proceso</t>
  </si>
  <si>
    <t>Potencia Total Instalada</t>
  </si>
  <si>
    <t>Ventas Año 1</t>
  </si>
  <si>
    <t>Gas Oil</t>
  </si>
  <si>
    <t>Gasto Específico</t>
  </si>
  <si>
    <t>Gasto de Mercadería en Proceso</t>
  </si>
  <si>
    <t>Exceso gasto PM</t>
  </si>
  <si>
    <t>Materiales Mercadería CySE Puesta en MArcha</t>
  </si>
  <si>
    <t>Gasto Anual</t>
  </si>
  <si>
    <t>Gasto de Producto Terminado</t>
  </si>
  <si>
    <t>Exceso de gasto de materiales en PM</t>
  </si>
  <si>
    <t>Impuestos</t>
  </si>
  <si>
    <t>Año 2 a n</t>
  </si>
  <si>
    <t>Gastos en el Área de Administración</t>
  </si>
  <si>
    <t>Mantenimiento</t>
  </si>
  <si>
    <t>Limpieza</t>
  </si>
  <si>
    <t xml:space="preserve">Papelería y útiles </t>
  </si>
  <si>
    <t>(10% de limpieza)</t>
  </si>
  <si>
    <t>5% del total</t>
  </si>
  <si>
    <t>Librería</t>
  </si>
  <si>
    <t>Costo Total y Resultados a Nivel Económico</t>
  </si>
  <si>
    <t>Costo de Producción Anual</t>
  </si>
  <si>
    <t>Producción Anual en Unidades Año 1</t>
  </si>
  <si>
    <t>Sale del dimensionamiento Técnico</t>
  </si>
  <si>
    <t>Produccion en MCySE</t>
  </si>
  <si>
    <t>Las disponibilidades mínimas en Caja y Bancos se estiman en el 2% de las ventas anuales.</t>
  </si>
  <si>
    <t>El plazo promedio de financiación a clientes es de 30 días.</t>
  </si>
  <si>
    <t>llamar colum</t>
  </si>
  <si>
    <t>ventas en u</t>
  </si>
  <si>
    <t>precio de venta</t>
  </si>
  <si>
    <t>venta en $</t>
  </si>
  <si>
    <t>año1</t>
  </si>
  <si>
    <t>año 2-n</t>
  </si>
  <si>
    <t>mp</t>
  </si>
  <si>
    <t>año 0</t>
  </si>
  <si>
    <t>Produción anual</t>
  </si>
  <si>
    <t>Stock elab</t>
  </si>
  <si>
    <t>año2-n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</si>
  <si>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</si>
  <si>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</si>
  <si>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</si>
  <si>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e) Recupero de Credito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</si>
</sst>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\$* #,##0.000_);_(\$* \(#,##0.000\);_(\$* \-??_);_(@_)"/>
    <numFmt numFmtId="171" formatCode="0.0%"/>
    <numFmt numFmtId="172" formatCode="#,##0.0"/>
  </numFmts>
  <fonts count="27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12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21" fillId="13" borderId="0" xfId="0" applyNumberFormat="1" applyFont="1" applyFill="1"/>
    <xf numFmtId="4" fontId="0" fillId="11" borderId="2" xfId="0" applyNumberFormat="1" applyFill="1" applyBorder="1" applyProtection="1">
      <protection locked="0"/>
    </xf>
    <xf numFmtId="0" fontId="0" fillId="0" borderId="0" xfId="0" applyFill="1" applyBorder="1"/>
    <xf numFmtId="0" fontId="0" fillId="14" borderId="0" xfId="0" applyFill="1"/>
    <xf numFmtId="0" fontId="0" fillId="14" borderId="0" xfId="0" applyFill="1" applyBorder="1"/>
    <xf numFmtId="0" fontId="0" fillId="0" borderId="0" xfId="0" applyFont="1" applyFill="1" applyBorder="1" applyAlignment="1">
      <alignment horizontal="left"/>
    </xf>
    <xf numFmtId="170" fontId="0" fillId="0" borderId="17" xfId="13" applyNumberFormat="1" applyFont="1" applyFill="1" applyBorder="1" applyAlignment="1" applyProtection="1">
      <protection locked="0"/>
    </xf>
    <xf numFmtId="43" fontId="20" fillId="0" borderId="17" xfId="13" applyNumberFormat="1" applyFill="1" applyBorder="1" applyAlignment="1" applyProtection="1">
      <protection locked="0"/>
    </xf>
    <xf numFmtId="43" fontId="20" fillId="0" borderId="17" xfId="13" applyNumberFormat="1" applyFill="1" applyBorder="1" applyAlignment="1">
      <alignment horizontal="center"/>
    </xf>
    <xf numFmtId="0" fontId="0" fillId="13" borderId="0" xfId="0" applyFill="1"/>
    <xf numFmtId="4" fontId="21" fillId="0" borderId="0" xfId="0" applyNumberFormat="1" applyFont="1"/>
    <xf numFmtId="165" fontId="20" fillId="0" borderId="17" xfId="13" applyFill="1" applyBorder="1" applyAlignment="1" applyProtection="1">
      <alignment horizontal="center"/>
      <protection locked="0"/>
    </xf>
    <xf numFmtId="9" fontId="20" fillId="0" borderId="12" xfId="16" applyFill="1" applyBorder="1" applyAlignment="1" applyProtection="1">
      <alignment horizontal="center"/>
      <protection locked="0"/>
    </xf>
    <xf numFmtId="9" fontId="20" fillId="0" borderId="24" xfId="16" applyFill="1" applyBorder="1" applyAlignment="1" applyProtection="1">
      <alignment horizontal="center"/>
      <protection locked="0"/>
    </xf>
    <xf numFmtId="3" fontId="21" fillId="0" borderId="0" xfId="0" applyNumberFormat="1" applyFont="1"/>
    <xf numFmtId="3" fontId="0" fillId="0" borderId="0" xfId="0" applyNumberFormat="1" applyFill="1"/>
    <xf numFmtId="0" fontId="14" fillId="0" borderId="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22"/>
    <xf numFmtId="9" fontId="0" fillId="0" borderId="0" xfId="0" applyNumberFormat="1"/>
    <xf numFmtId="2" fontId="0" fillId="0" borderId="0" xfId="0" applyNumberForma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13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165" fontId="0" fillId="0" borderId="17" xfId="16" applyNumberFormat="1" applyFont="1" applyFill="1" applyBorder="1" applyAlignment="1" applyProtection="1">
      <protection locked="0"/>
    </xf>
    <xf numFmtId="165" fontId="23" fillId="0" borderId="17" xfId="13" applyFont="1" applyFill="1" applyBorder="1" applyAlignment="1" applyProtection="1">
      <protection locked="0"/>
    </xf>
    <xf numFmtId="171" fontId="20" fillId="0" borderId="12" xfId="16" applyNumberFormat="1" applyFill="1" applyBorder="1" applyAlignment="1" applyProtection="1">
      <protection locked="0"/>
    </xf>
    <xf numFmtId="0" fontId="24" fillId="0" borderId="0" xfId="0" applyFont="1" applyFill="1"/>
    <xf numFmtId="0" fontId="0" fillId="0" borderId="0" xfId="0" applyFill="1" applyAlignment="1">
      <alignment horizontal="left"/>
    </xf>
    <xf numFmtId="172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24" fillId="15" borderId="0" xfId="0" applyFont="1" applyFill="1"/>
    <xf numFmtId="0" fontId="0" fillId="15" borderId="0" xfId="0" applyFill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6" fillId="0" borderId="51" xfId="0" applyFon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165" fontId="20" fillId="0" borderId="0" xfId="13" applyFill="1" applyBorder="1"/>
    <xf numFmtId="165" fontId="20" fillId="0" borderId="55" xfId="13" applyFill="1" applyBorder="1"/>
    <xf numFmtId="167" fontId="0" fillId="0" borderId="0" xfId="0" applyNumberFormat="1" applyFill="1" applyBorder="1"/>
    <xf numFmtId="167" fontId="0" fillId="0" borderId="55" xfId="0" applyNumberFormat="1" applyFill="1" applyBorder="1"/>
    <xf numFmtId="0" fontId="0" fillId="0" borderId="56" xfId="0" applyFill="1" applyBorder="1"/>
    <xf numFmtId="165" fontId="20" fillId="0" borderId="57" xfId="13" applyFill="1" applyBorder="1"/>
    <xf numFmtId="165" fontId="20" fillId="0" borderId="58" xfId="13" applyFill="1" applyBorder="1"/>
    <xf numFmtId="0" fontId="0" fillId="0" borderId="51" xfId="0" applyFill="1" applyBorder="1"/>
    <xf numFmtId="165" fontId="14" fillId="0" borderId="36" xfId="13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0" fontId="0" fillId="15" borderId="0" xfId="0" applyFont="1" applyFill="1"/>
    <xf numFmtId="165" fontId="14" fillId="0" borderId="24" xfId="13" applyFont="1" applyFill="1" applyBorder="1" applyAlignment="1" applyProtection="1">
      <alignment horizontal="center"/>
      <protection locked="0"/>
    </xf>
    <xf numFmtId="165" fontId="14" fillId="0" borderId="36" xfId="13" applyFont="1" applyFill="1" applyBorder="1" applyAlignment="1" applyProtection="1">
      <alignment horizontal="center"/>
    </xf>
    <xf numFmtId="165" fontId="14" fillId="0" borderId="38" xfId="13" applyFont="1" applyFill="1" applyBorder="1" applyAlignment="1" applyProtection="1">
      <alignment horizontal="center"/>
      <protection locked="0"/>
    </xf>
  </cellXfs>
  <cellStyles count="23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ipervínculo" xfId="22" builtinId="8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ticulo.mercadolibre.com.ar/MLA-678847238-nueva-recta-industrial-jack-f4-motor-bajo-consumo-_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D3" sqref="D3"/>
    </sheetView>
  </sheetViews>
  <sheetFormatPr baseColWidth="10" defaultRowHeight="12.75" x14ac:dyDescent="0.2"/>
  <cols>
    <col min="1" max="1" width="46" bestFit="1" customWidth="1"/>
    <col min="2" max="2" width="14.85546875" bestFit="1" customWidth="1"/>
    <col min="3" max="3" width="16.28515625" customWidth="1"/>
    <col min="4" max="4" width="25" customWidth="1"/>
    <col min="5" max="5" width="33.42578125" customWidth="1"/>
    <col min="6" max="6" width="13.140625" customWidth="1"/>
    <col min="8" max="8" width="20.42578125" customWidth="1"/>
  </cols>
  <sheetData>
    <row r="1" spans="1:12" x14ac:dyDescent="0.2">
      <c r="A1" s="25" t="s">
        <v>55</v>
      </c>
    </row>
    <row r="2" spans="1:12" x14ac:dyDescent="0.2">
      <c r="A2" s="27" t="s">
        <v>56</v>
      </c>
      <c r="B2" s="28">
        <v>9050500</v>
      </c>
      <c r="C2" s="28"/>
      <c r="E2" t="s">
        <v>450</v>
      </c>
      <c r="K2" s="262" t="s">
        <v>33</v>
      </c>
      <c r="L2">
        <v>250</v>
      </c>
    </row>
    <row r="3" spans="1:12" x14ac:dyDescent="0.2">
      <c r="A3" s="27" t="s">
        <v>57</v>
      </c>
      <c r="B3" s="28">
        <f>L2*4150</f>
        <v>1037500</v>
      </c>
      <c r="C3" s="28"/>
      <c r="E3" t="s">
        <v>451</v>
      </c>
    </row>
    <row r="4" spans="1:12" x14ac:dyDescent="0.2">
      <c r="A4" s="27" t="s">
        <v>58</v>
      </c>
      <c r="B4" s="28">
        <f>B3*0.8</f>
        <v>830000</v>
      </c>
      <c r="C4" s="28"/>
      <c r="E4" t="s">
        <v>452</v>
      </c>
    </row>
    <row r="5" spans="1:12" x14ac:dyDescent="0.2">
      <c r="A5" s="27" t="s">
        <v>59</v>
      </c>
      <c r="B5" s="28"/>
      <c r="C5" s="28"/>
      <c r="E5" s="248" t="s">
        <v>419</v>
      </c>
      <c r="F5" s="248" t="s">
        <v>422</v>
      </c>
      <c r="G5" s="248" t="s">
        <v>423</v>
      </c>
      <c r="H5" s="249" t="s">
        <v>157</v>
      </c>
    </row>
    <row r="6" spans="1:12" x14ac:dyDescent="0.2">
      <c r="A6" s="27" t="s">
        <v>60</v>
      </c>
      <c r="B6" s="28"/>
      <c r="C6" s="28"/>
      <c r="E6" s="16" t="s">
        <v>420</v>
      </c>
      <c r="F6" s="16">
        <v>1</v>
      </c>
      <c r="G6" s="16">
        <v>7000</v>
      </c>
      <c r="H6" s="16">
        <f>G6*F6</f>
        <v>7000</v>
      </c>
      <c r="J6" t="s">
        <v>454</v>
      </c>
    </row>
    <row r="7" spans="1:12" x14ac:dyDescent="0.2">
      <c r="A7" s="27" t="s">
        <v>61</v>
      </c>
      <c r="B7" s="28">
        <f>H9</f>
        <v>29675</v>
      </c>
      <c r="C7" s="28"/>
      <c r="E7" s="16" t="s">
        <v>421</v>
      </c>
      <c r="F7" s="16">
        <v>1</v>
      </c>
      <c r="G7" s="16">
        <v>22000</v>
      </c>
      <c r="H7" s="16">
        <f>G7*F7</f>
        <v>22000</v>
      </c>
      <c r="J7" s="263" t="s">
        <v>455</v>
      </c>
    </row>
    <row r="8" spans="1:12" x14ac:dyDescent="0.2">
      <c r="A8" s="29" t="s">
        <v>62</v>
      </c>
      <c r="B8" s="28">
        <v>0</v>
      </c>
      <c r="C8" s="28"/>
      <c r="E8" s="16" t="s">
        <v>424</v>
      </c>
      <c r="F8" s="16">
        <v>1</v>
      </c>
      <c r="G8" s="16">
        <v>675</v>
      </c>
      <c r="H8" s="16">
        <v>675</v>
      </c>
      <c r="J8" t="s">
        <v>457</v>
      </c>
    </row>
    <row r="9" spans="1:12" x14ac:dyDescent="0.2">
      <c r="A9" s="27" t="s">
        <v>63</v>
      </c>
      <c r="B9" s="28">
        <v>6000</v>
      </c>
      <c r="C9" s="28"/>
      <c r="E9" s="16"/>
      <c r="F9" s="16"/>
      <c r="G9" s="16"/>
      <c r="H9" s="16">
        <f>SUM(H6:H8)</f>
        <v>29675</v>
      </c>
      <c r="J9" t="s">
        <v>458</v>
      </c>
    </row>
    <row r="10" spans="1:12" x14ac:dyDescent="0.2">
      <c r="A10" s="27" t="s">
        <v>64</v>
      </c>
      <c r="B10" s="28">
        <v>140000</v>
      </c>
      <c r="C10" s="28"/>
      <c r="E10" t="s">
        <v>453</v>
      </c>
    </row>
    <row r="11" spans="1:12" x14ac:dyDescent="0.2">
      <c r="A11" s="27" t="s">
        <v>65</v>
      </c>
      <c r="B11" s="28">
        <f>H26</f>
        <v>143250</v>
      </c>
      <c r="C11" s="28"/>
      <c r="E11" s="248" t="s">
        <v>402</v>
      </c>
      <c r="F11" s="248" t="s">
        <v>411</v>
      </c>
      <c r="G11" s="248" t="s">
        <v>418</v>
      </c>
      <c r="H11" s="249" t="s">
        <v>157</v>
      </c>
    </row>
    <row r="12" spans="1:12" x14ac:dyDescent="0.2">
      <c r="A12" s="27" t="s">
        <v>66</v>
      </c>
      <c r="B12" s="28">
        <v>0</v>
      </c>
      <c r="C12" s="28"/>
      <c r="E12" s="16" t="s">
        <v>403</v>
      </c>
      <c r="F12" s="16">
        <v>5</v>
      </c>
      <c r="G12" s="16">
        <v>7000</v>
      </c>
      <c r="H12" s="16">
        <f>G12*F12</f>
        <v>35000</v>
      </c>
    </row>
    <row r="13" spans="1:12" x14ac:dyDescent="0.2">
      <c r="A13" s="27" t="s">
        <v>21</v>
      </c>
      <c r="B13" s="28">
        <f>SUM(B4:B12)*0.08</f>
        <v>91914</v>
      </c>
      <c r="C13" s="28"/>
      <c r="E13" s="16" t="s">
        <v>404</v>
      </c>
      <c r="F13" s="16">
        <v>6</v>
      </c>
      <c r="G13" s="16">
        <v>1000</v>
      </c>
      <c r="H13" s="16">
        <f t="shared" ref="H13:H25" si="0">G13*F13</f>
        <v>6000</v>
      </c>
      <c r="J13" t="s">
        <v>456</v>
      </c>
    </row>
    <row r="14" spans="1:12" x14ac:dyDescent="0.2">
      <c r="A14" s="27"/>
      <c r="B14" s="28"/>
      <c r="C14" s="28"/>
      <c r="E14" s="16" t="s">
        <v>405</v>
      </c>
      <c r="F14" s="16">
        <v>2</v>
      </c>
      <c r="G14" s="16">
        <v>1800</v>
      </c>
      <c r="H14" s="16">
        <f t="shared" si="0"/>
        <v>3600</v>
      </c>
    </row>
    <row r="15" spans="1:12" x14ac:dyDescent="0.2">
      <c r="A15" s="25" t="s">
        <v>67</v>
      </c>
      <c r="B15" s="28">
        <f>SUM(B2:B13)</f>
        <v>11328839</v>
      </c>
      <c r="C15" s="28"/>
      <c r="E15" s="16" t="s">
        <v>406</v>
      </c>
      <c r="F15" s="16">
        <v>2</v>
      </c>
      <c r="G15" s="16">
        <v>2200</v>
      </c>
      <c r="H15" s="16">
        <f t="shared" si="0"/>
        <v>4400</v>
      </c>
    </row>
    <row r="16" spans="1:12" x14ac:dyDescent="0.2">
      <c r="A16" s="27"/>
      <c r="B16" s="30"/>
      <c r="C16" s="30"/>
      <c r="E16" s="16" t="s">
        <v>407</v>
      </c>
      <c r="F16" s="16">
        <v>1</v>
      </c>
      <c r="G16" s="16">
        <v>12700</v>
      </c>
      <c r="H16" s="16">
        <f t="shared" si="0"/>
        <v>12700</v>
      </c>
    </row>
    <row r="17" spans="1:10" x14ac:dyDescent="0.2">
      <c r="E17" s="16" t="s">
        <v>408</v>
      </c>
      <c r="F17" s="16">
        <v>1</v>
      </c>
      <c r="G17" s="16">
        <v>500</v>
      </c>
      <c r="H17" s="16">
        <f t="shared" si="0"/>
        <v>500</v>
      </c>
    </row>
    <row r="18" spans="1:10" x14ac:dyDescent="0.2">
      <c r="E18" s="16" t="s">
        <v>412</v>
      </c>
      <c r="F18" s="16">
        <v>1</v>
      </c>
      <c r="G18" s="16">
        <v>2200</v>
      </c>
      <c r="H18" s="16">
        <f t="shared" si="0"/>
        <v>2200</v>
      </c>
    </row>
    <row r="19" spans="1:10" x14ac:dyDescent="0.2">
      <c r="E19" s="16" t="s">
        <v>413</v>
      </c>
      <c r="F19" s="16">
        <v>1</v>
      </c>
      <c r="G19" s="16">
        <v>2600</v>
      </c>
      <c r="H19" s="16">
        <f t="shared" si="0"/>
        <v>2600</v>
      </c>
    </row>
    <row r="20" spans="1:10" x14ac:dyDescent="0.2">
      <c r="E20" s="16" t="s">
        <v>414</v>
      </c>
      <c r="F20" s="16">
        <v>1</v>
      </c>
      <c r="G20" s="16">
        <v>4000</v>
      </c>
      <c r="H20" s="16">
        <f t="shared" si="0"/>
        <v>4000</v>
      </c>
    </row>
    <row r="21" spans="1:10" x14ac:dyDescent="0.2">
      <c r="E21" s="16" t="s">
        <v>409</v>
      </c>
      <c r="F21" s="16">
        <v>5</v>
      </c>
      <c r="G21" s="16">
        <v>850</v>
      </c>
      <c r="H21" s="16">
        <f t="shared" si="0"/>
        <v>4250</v>
      </c>
    </row>
    <row r="22" spans="1:10" x14ac:dyDescent="0.2">
      <c r="E22" s="16" t="s">
        <v>410</v>
      </c>
      <c r="F22" s="16">
        <v>5</v>
      </c>
      <c r="G22" s="16">
        <v>2200</v>
      </c>
      <c r="H22" s="16">
        <f t="shared" si="0"/>
        <v>11000</v>
      </c>
    </row>
    <row r="23" spans="1:10" x14ac:dyDescent="0.2">
      <c r="E23" s="16" t="s">
        <v>415</v>
      </c>
      <c r="F23" s="16">
        <v>1</v>
      </c>
      <c r="G23" s="16">
        <f>50000</f>
        <v>50000</v>
      </c>
      <c r="H23" s="16">
        <f t="shared" si="0"/>
        <v>50000</v>
      </c>
    </row>
    <row r="24" spans="1:10" x14ac:dyDescent="0.2">
      <c r="E24" s="16" t="s">
        <v>416</v>
      </c>
      <c r="F24" s="16">
        <v>1</v>
      </c>
      <c r="G24" s="16">
        <v>2500</v>
      </c>
      <c r="H24" s="16">
        <f t="shared" si="0"/>
        <v>2500</v>
      </c>
    </row>
    <row r="25" spans="1:10" x14ac:dyDescent="0.2">
      <c r="E25" s="16" t="s">
        <v>417</v>
      </c>
      <c r="F25" s="16">
        <v>3</v>
      </c>
      <c r="G25" s="16">
        <v>1500</v>
      </c>
      <c r="H25" s="16">
        <f t="shared" si="0"/>
        <v>4500</v>
      </c>
    </row>
    <row r="26" spans="1:10" x14ac:dyDescent="0.2">
      <c r="E26" s="16"/>
      <c r="F26" s="16"/>
      <c r="G26" s="16"/>
      <c r="H26" s="16">
        <f>SUM(H12:H25)</f>
        <v>143250</v>
      </c>
    </row>
    <row r="27" spans="1:10" x14ac:dyDescent="0.2">
      <c r="A27" s="25" t="s">
        <v>68</v>
      </c>
      <c r="B27" s="30"/>
      <c r="C27" s="30"/>
    </row>
    <row r="28" spans="1:10" x14ac:dyDescent="0.2">
      <c r="A28" s="27" t="s">
        <v>69</v>
      </c>
      <c r="B28" s="28">
        <v>100000</v>
      </c>
      <c r="C28" s="28"/>
    </row>
    <row r="29" spans="1:10" x14ac:dyDescent="0.2">
      <c r="A29" s="27" t="s">
        <v>70</v>
      </c>
      <c r="B29" s="28">
        <v>35000</v>
      </c>
      <c r="C29" s="28"/>
      <c r="E29" t="s">
        <v>459</v>
      </c>
    </row>
    <row r="30" spans="1:10" x14ac:dyDescent="0.2">
      <c r="A30" s="27" t="s">
        <v>71</v>
      </c>
      <c r="B30" s="28">
        <v>330000</v>
      </c>
      <c r="C30" s="28"/>
    </row>
    <row r="31" spans="1:10" x14ac:dyDescent="0.2">
      <c r="A31" s="29" t="s">
        <v>72</v>
      </c>
      <c r="B31" s="28">
        <v>0</v>
      </c>
      <c r="C31" s="28">
        <f>F34</f>
        <v>349272.28200000001</v>
      </c>
      <c r="E31" s="249" t="s">
        <v>112</v>
      </c>
      <c r="F31" s="16"/>
    </row>
    <row r="32" spans="1:10" x14ac:dyDescent="0.2">
      <c r="A32" s="29" t="s">
        <v>73</v>
      </c>
      <c r="B32" s="28">
        <v>0</v>
      </c>
      <c r="C32" s="28"/>
      <c r="E32" s="247" t="s">
        <v>425</v>
      </c>
      <c r="F32" s="16">
        <f>11458/1.5*90/2</f>
        <v>343740</v>
      </c>
      <c r="G32" t="s">
        <v>460</v>
      </c>
      <c r="J32" t="s">
        <v>461</v>
      </c>
    </row>
    <row r="33" spans="1:14" x14ac:dyDescent="0.2">
      <c r="A33" s="29" t="s">
        <v>74</v>
      </c>
      <c r="B33" s="28">
        <v>0</v>
      </c>
      <c r="C33" s="28"/>
      <c r="E33" s="247" t="s">
        <v>426</v>
      </c>
      <c r="F33" s="16">
        <f>61469.8*0.25*20*6/1000*3</f>
        <v>5532.2820000000002</v>
      </c>
    </row>
    <row r="34" spans="1:14" x14ac:dyDescent="0.2">
      <c r="A34" s="27" t="s">
        <v>21</v>
      </c>
      <c r="B34" s="28">
        <f>SUM(B28:B33)*0.01</f>
        <v>4650</v>
      </c>
      <c r="C34" s="28">
        <f>SUM(C28:C33)*0.01</f>
        <v>3492.72282</v>
      </c>
      <c r="E34" s="247" t="s">
        <v>157</v>
      </c>
      <c r="F34" s="16">
        <f>SUM(F32:F33)</f>
        <v>349272.28200000001</v>
      </c>
    </row>
    <row r="35" spans="1:14" x14ac:dyDescent="0.2">
      <c r="A35" s="27"/>
      <c r="B35" s="28"/>
      <c r="C35" s="28"/>
    </row>
    <row r="36" spans="1:14" x14ac:dyDescent="0.2">
      <c r="A36" s="25" t="s">
        <v>75</v>
      </c>
      <c r="B36" s="28">
        <f>SUM(B28:B34)</f>
        <v>469650</v>
      </c>
      <c r="C36" s="28">
        <f>SUM(C28:C34)</f>
        <v>352765.00482000003</v>
      </c>
    </row>
    <row r="37" spans="1:14" x14ac:dyDescent="0.2">
      <c r="A37" s="27"/>
      <c r="B37" s="30"/>
      <c r="C37" s="30"/>
    </row>
    <row r="38" spans="1:14" x14ac:dyDescent="0.2">
      <c r="A38" s="25" t="s">
        <v>76</v>
      </c>
      <c r="B38" s="28">
        <f>B25+B36</f>
        <v>469650</v>
      </c>
      <c r="C38" s="28">
        <f>C36</f>
        <v>352765.00482000003</v>
      </c>
    </row>
    <row r="39" spans="1:14" x14ac:dyDescent="0.2">
      <c r="A39" s="25" t="s">
        <v>77</v>
      </c>
      <c r="B39" s="28">
        <f>0.21*B38</f>
        <v>98626.5</v>
      </c>
      <c r="C39" s="28">
        <f>0.21*C38</f>
        <v>74080.651012200004</v>
      </c>
      <c r="L39">
        <v>965</v>
      </c>
    </row>
    <row r="40" spans="1:14" x14ac:dyDescent="0.2">
      <c r="A40" s="27"/>
      <c r="B40" s="30"/>
      <c r="C40" s="30"/>
    </row>
    <row r="41" spans="1:14" ht="13.5" thickBot="1" x14ac:dyDescent="0.25">
      <c r="A41" s="31" t="s">
        <v>78</v>
      </c>
      <c r="B41" s="32">
        <f>B39+B38</f>
        <v>568276.5</v>
      </c>
      <c r="C41" s="32">
        <f>C38+C39</f>
        <v>426845.65583220002</v>
      </c>
    </row>
    <row r="42" spans="1:14" ht="13.5" thickTop="1" x14ac:dyDescent="0.2"/>
    <row r="44" spans="1:14" ht="13.5" thickBot="1" x14ac:dyDescent="0.25"/>
    <row r="45" spans="1:14" ht="13.5" thickTop="1" x14ac:dyDescent="0.2">
      <c r="A45" s="33" t="s">
        <v>79</v>
      </c>
      <c r="B45" s="261" t="s">
        <v>80</v>
      </c>
      <c r="C45" s="261" t="s">
        <v>81</v>
      </c>
      <c r="D45" s="296" t="s">
        <v>82</v>
      </c>
      <c r="E45" s="296"/>
      <c r="F45" s="296"/>
    </row>
    <row r="46" spans="1:14" ht="13.5" thickBot="1" x14ac:dyDescent="0.25">
      <c r="A46" s="34"/>
      <c r="B46" s="21" t="s">
        <v>83</v>
      </c>
      <c r="C46" s="21"/>
      <c r="D46" s="21" t="s">
        <v>84</v>
      </c>
      <c r="E46" s="21" t="s">
        <v>85</v>
      </c>
      <c r="F46" s="21" t="s">
        <v>427</v>
      </c>
      <c r="H46" s="16"/>
      <c r="I46" s="16" t="s">
        <v>464</v>
      </c>
      <c r="J46" s="16"/>
      <c r="L46" t="s">
        <v>465</v>
      </c>
      <c r="M46" t="s">
        <v>428</v>
      </c>
      <c r="N46" t="s">
        <v>418</v>
      </c>
    </row>
    <row r="47" spans="1:14" ht="13.5" thickTop="1" x14ac:dyDescent="0.2">
      <c r="A47" s="35" t="s">
        <v>86</v>
      </c>
      <c r="B47" s="36"/>
      <c r="C47" s="36"/>
      <c r="D47" s="36"/>
      <c r="E47" s="36"/>
      <c r="F47" s="37"/>
      <c r="H47" s="16" t="s">
        <v>57</v>
      </c>
      <c r="I47" s="16">
        <v>30</v>
      </c>
      <c r="J47" s="16"/>
      <c r="L47" t="s">
        <v>466</v>
      </c>
      <c r="M47">
        <v>2</v>
      </c>
      <c r="N47">
        <v>400</v>
      </c>
    </row>
    <row r="48" spans="1:14" x14ac:dyDescent="0.2">
      <c r="A48" s="38"/>
      <c r="B48" s="39"/>
      <c r="C48" s="39"/>
      <c r="D48" s="39"/>
      <c r="E48" s="39"/>
      <c r="F48" s="40"/>
      <c r="H48" s="16" t="s">
        <v>462</v>
      </c>
      <c r="I48" s="16">
        <v>10</v>
      </c>
      <c r="J48" s="16"/>
      <c r="L48" t="s">
        <v>467</v>
      </c>
      <c r="M48">
        <v>1</v>
      </c>
      <c r="N48">
        <v>165</v>
      </c>
    </row>
    <row r="49" spans="1:12" x14ac:dyDescent="0.2">
      <c r="A49" s="27" t="s">
        <v>56</v>
      </c>
      <c r="B49" s="28">
        <f>B2</f>
        <v>9050500</v>
      </c>
      <c r="C49" s="28"/>
      <c r="D49" s="251">
        <f>$B$49*$C$49</f>
        <v>0</v>
      </c>
      <c r="E49" s="251">
        <f t="shared" ref="E49:F49" si="1">$B$49*$C$49</f>
        <v>0</v>
      </c>
      <c r="F49" s="251">
        <f t="shared" si="1"/>
        <v>0</v>
      </c>
      <c r="H49" s="16" t="s">
        <v>463</v>
      </c>
      <c r="I49" s="16">
        <v>10</v>
      </c>
      <c r="J49" s="16"/>
      <c r="L49" t="s">
        <v>157</v>
      </c>
    </row>
    <row r="50" spans="1:12" x14ac:dyDescent="0.2">
      <c r="A50" s="27" t="s">
        <v>57</v>
      </c>
      <c r="B50" s="28">
        <f>B3</f>
        <v>1037500</v>
      </c>
      <c r="C50" s="252">
        <v>3.3333333333333333E-2</v>
      </c>
      <c r="D50" s="251">
        <f>$B$50*$C$50</f>
        <v>34583.333333333336</v>
      </c>
      <c r="E50" s="251">
        <f t="shared" ref="E50:F50" si="2">$B$50*$C$50</f>
        <v>34583.333333333336</v>
      </c>
      <c r="F50" s="251">
        <f t="shared" si="2"/>
        <v>34583.333333333336</v>
      </c>
      <c r="H50" s="16" t="s">
        <v>64</v>
      </c>
      <c r="I50" s="16">
        <v>5</v>
      </c>
      <c r="J50" s="16"/>
    </row>
    <row r="51" spans="1:12" x14ac:dyDescent="0.2">
      <c r="A51" s="27" t="s">
        <v>58</v>
      </c>
      <c r="B51" s="28">
        <f>B4</f>
        <v>830000</v>
      </c>
      <c r="C51" s="252">
        <v>0.1</v>
      </c>
      <c r="D51" s="251">
        <f>$B$51*$C$51</f>
        <v>83000</v>
      </c>
      <c r="E51" s="251">
        <f t="shared" ref="E51:F51" si="3">$B$51*$C$51</f>
        <v>83000</v>
      </c>
      <c r="F51" s="251">
        <f t="shared" si="3"/>
        <v>83000</v>
      </c>
      <c r="H51" s="16" t="s">
        <v>65</v>
      </c>
      <c r="I51" s="16">
        <v>5</v>
      </c>
      <c r="J51" s="16"/>
    </row>
    <row r="52" spans="1:12" x14ac:dyDescent="0.2">
      <c r="A52" s="29" t="s">
        <v>59</v>
      </c>
      <c r="B52" s="28">
        <f>B7</f>
        <v>29675</v>
      </c>
      <c r="C52" s="252">
        <v>0.1</v>
      </c>
      <c r="D52" s="251">
        <f>$B$52*$C$52</f>
        <v>2967.5</v>
      </c>
      <c r="E52" s="251">
        <f t="shared" ref="E52:F52" si="4">$B$52*$C$52</f>
        <v>2967.5</v>
      </c>
      <c r="F52" s="251">
        <f t="shared" si="4"/>
        <v>2967.5</v>
      </c>
      <c r="H52" s="16" t="s">
        <v>21</v>
      </c>
      <c r="I52" s="16">
        <v>5</v>
      </c>
      <c r="J52" s="16"/>
    </row>
    <row r="53" spans="1:12" x14ac:dyDescent="0.2">
      <c r="A53" s="29" t="s">
        <v>64</v>
      </c>
      <c r="B53" s="28">
        <f>B10</f>
        <v>140000</v>
      </c>
      <c r="C53" s="252">
        <v>0.2</v>
      </c>
      <c r="D53" s="251">
        <f>$B$53*$C$53</f>
        <v>28000</v>
      </c>
      <c r="E53" s="251">
        <f t="shared" ref="E53" si="5">$B$53*$C$53</f>
        <v>28000</v>
      </c>
      <c r="F53" s="251"/>
      <c r="H53" s="16" t="s">
        <v>87</v>
      </c>
      <c r="I53" s="16">
        <v>3</v>
      </c>
      <c r="J53" s="16"/>
    </row>
    <row r="54" spans="1:12" x14ac:dyDescent="0.2">
      <c r="A54" s="29" t="s">
        <v>65</v>
      </c>
      <c r="B54" s="28">
        <f>B11</f>
        <v>143250</v>
      </c>
      <c r="C54" s="252">
        <v>0.2</v>
      </c>
      <c r="D54" s="251">
        <f>$B$54*$C$54</f>
        <v>28650</v>
      </c>
      <c r="E54" s="251">
        <f t="shared" ref="E54" si="6">$B$54*$C$54</f>
        <v>28650</v>
      </c>
      <c r="F54" s="251"/>
    </row>
    <row r="55" spans="1:12" x14ac:dyDescent="0.2">
      <c r="A55" s="29" t="s">
        <v>21</v>
      </c>
      <c r="B55" s="28">
        <f>B13</f>
        <v>91914</v>
      </c>
      <c r="C55" s="252">
        <v>0.2</v>
      </c>
      <c r="D55" s="251">
        <f>$B$55*$C$55</f>
        <v>18382.8</v>
      </c>
      <c r="E55" s="251">
        <f>$B$55*$C$55</f>
        <v>18382.8</v>
      </c>
      <c r="F55" s="28">
        <v>0</v>
      </c>
    </row>
    <row r="56" spans="1:12" x14ac:dyDescent="0.2">
      <c r="A56" s="29" t="s">
        <v>87</v>
      </c>
      <c r="B56" s="28">
        <v>965</v>
      </c>
      <c r="C56" s="252">
        <v>0.33333333333333331</v>
      </c>
      <c r="D56" s="251">
        <f>$B$56*$C$56</f>
        <v>321.66666666666663</v>
      </c>
      <c r="E56" s="28">
        <v>0</v>
      </c>
      <c r="F56" s="28">
        <v>0</v>
      </c>
    </row>
    <row r="57" spans="1:12" x14ac:dyDescent="0.2">
      <c r="A57" s="42" t="s">
        <v>88</v>
      </c>
      <c r="B57" s="28">
        <f>SUM(B49:B56)</f>
        <v>11323804</v>
      </c>
      <c r="C57" s="252"/>
      <c r="D57" s="28">
        <f>SUM(D49:D56)</f>
        <v>195905.3</v>
      </c>
      <c r="E57" s="28">
        <f>SUM(E49:E56)</f>
        <v>195583.63333333333</v>
      </c>
      <c r="F57" s="28">
        <f>SUM(F49:F56)</f>
        <v>120550.83333333334</v>
      </c>
    </row>
    <row r="58" spans="1:12" x14ac:dyDescent="0.2">
      <c r="A58" s="25"/>
      <c r="B58" s="43"/>
      <c r="C58" s="253"/>
      <c r="D58" s="44"/>
      <c r="E58" s="44"/>
      <c r="F58" s="44"/>
    </row>
    <row r="59" spans="1:12" x14ac:dyDescent="0.2">
      <c r="A59" s="42" t="s">
        <v>89</v>
      </c>
      <c r="B59" s="28">
        <v>469650</v>
      </c>
      <c r="C59" s="252">
        <v>0.2</v>
      </c>
      <c r="D59" s="28">
        <f>$B$53*$C$53</f>
        <v>28000</v>
      </c>
      <c r="E59" s="28">
        <f>$B$53*$C$53</f>
        <v>28000</v>
      </c>
      <c r="F59" s="28">
        <v>0</v>
      </c>
    </row>
    <row r="60" spans="1:12" x14ac:dyDescent="0.2">
      <c r="A60" s="42"/>
      <c r="B60" s="28"/>
      <c r="C60" s="28"/>
      <c r="D60" s="28"/>
      <c r="E60" s="28"/>
      <c r="F60" s="28"/>
    </row>
    <row r="61" spans="1:12" x14ac:dyDescent="0.2">
      <c r="A61" s="25"/>
      <c r="B61" s="26"/>
      <c r="C61" s="26"/>
      <c r="D61" s="46"/>
      <c r="E61" s="47"/>
      <c r="F61" s="47"/>
    </row>
    <row r="62" spans="1:12" ht="13.5" thickBot="1" x14ac:dyDescent="0.25">
      <c r="A62" s="31" t="s">
        <v>90</v>
      </c>
      <c r="B62" s="32">
        <v>11993688.5</v>
      </c>
      <c r="C62" s="32"/>
      <c r="D62" s="32">
        <f>D57+D59</f>
        <v>223905.3</v>
      </c>
      <c r="E62" s="32">
        <f>E57+E59</f>
        <v>223583.63333333333</v>
      </c>
      <c r="F62" s="32">
        <f>F57+F59</f>
        <v>120550.83333333334</v>
      </c>
    </row>
    <row r="63" spans="1:12" ht="13.5" thickTop="1" x14ac:dyDescent="0.2"/>
    <row r="68" spans="1:9" x14ac:dyDescent="0.2">
      <c r="A68" s="254" t="s">
        <v>429</v>
      </c>
      <c r="B68" s="254" t="s">
        <v>438</v>
      </c>
      <c r="C68" s="16"/>
      <c r="D68" s="16"/>
      <c r="E68" s="254" t="s">
        <v>439</v>
      </c>
      <c r="F68" s="254" t="s">
        <v>438</v>
      </c>
      <c r="G68" s="16"/>
      <c r="H68" s="16"/>
      <c r="I68" s="16"/>
    </row>
    <row r="69" spans="1:9" x14ac:dyDescent="0.2">
      <c r="A69" s="250" t="s">
        <v>430</v>
      </c>
      <c r="B69" s="16">
        <f>46*0.7875</f>
        <v>36.225000000000001</v>
      </c>
      <c r="C69" s="16"/>
      <c r="D69" s="16" t="s">
        <v>440</v>
      </c>
      <c r="E69" s="16">
        <f>61669.8*230/1000</f>
        <v>14184.054</v>
      </c>
      <c r="F69" s="16">
        <f>E69*3</f>
        <v>42552.161999999997</v>
      </c>
      <c r="G69" s="16"/>
      <c r="H69" s="16" t="s">
        <v>491</v>
      </c>
      <c r="I69" s="16">
        <v>1400</v>
      </c>
    </row>
    <row r="70" spans="1:9" x14ac:dyDescent="0.2">
      <c r="A70" s="16" t="s">
        <v>431</v>
      </c>
      <c r="B70" s="16">
        <f>0.2*200/10</f>
        <v>4</v>
      </c>
      <c r="C70" s="16"/>
      <c r="D70" s="16" t="s">
        <v>441</v>
      </c>
      <c r="E70" s="16">
        <f>E69*0.96</f>
        <v>13616.69184</v>
      </c>
      <c r="F70" s="16">
        <f>E70*3</f>
        <v>40850.075519999999</v>
      </c>
      <c r="G70" s="16"/>
      <c r="H70" s="16" t="s">
        <v>443</v>
      </c>
      <c r="I70" s="16">
        <f>I69*F72</f>
        <v>504000</v>
      </c>
    </row>
    <row r="71" spans="1:9" x14ac:dyDescent="0.2">
      <c r="A71" s="16" t="s">
        <v>432</v>
      </c>
      <c r="B71" s="16">
        <f>2*185/50</f>
        <v>7.4</v>
      </c>
      <c r="C71" s="16"/>
      <c r="D71" s="16" t="s">
        <v>442</v>
      </c>
      <c r="E71" s="16">
        <f>E69*0.01</f>
        <v>141.84054</v>
      </c>
      <c r="F71" s="16">
        <f>E71*3</f>
        <v>425.52161999999998</v>
      </c>
      <c r="G71" s="16"/>
      <c r="H71" s="16"/>
      <c r="I71" s="16"/>
    </row>
    <row r="72" spans="1:9" x14ac:dyDescent="0.2">
      <c r="A72" s="16" t="s">
        <v>433</v>
      </c>
      <c r="B72" s="16">
        <f>2*220/22</f>
        <v>20</v>
      </c>
      <c r="C72" s="16"/>
      <c r="D72" s="16" t="s">
        <v>443</v>
      </c>
      <c r="E72" s="16"/>
      <c r="F72" s="268">
        <f>30*12</f>
        <v>360</v>
      </c>
      <c r="G72" s="16"/>
      <c r="H72" s="16"/>
      <c r="I72" s="16"/>
    </row>
    <row r="73" spans="1:9" x14ac:dyDescent="0.2">
      <c r="A73" s="16" t="s">
        <v>434</v>
      </c>
      <c r="B73" s="16">
        <f>3.9*2.52</f>
        <v>9.8279999999999994</v>
      </c>
      <c r="C73" s="16"/>
      <c r="D73" s="16" t="s">
        <v>157</v>
      </c>
      <c r="E73" s="16">
        <f>SUM(E69:E71)</f>
        <v>27942.586380000001</v>
      </c>
      <c r="F73" s="16">
        <f>SUM(F70:F72)</f>
        <v>41635.597139999998</v>
      </c>
      <c r="G73" s="16"/>
      <c r="H73" s="16"/>
      <c r="I73" s="16"/>
    </row>
    <row r="74" spans="1:9" x14ac:dyDescent="0.2">
      <c r="A74" s="16" t="s">
        <v>435</v>
      </c>
      <c r="B74" s="16">
        <f>10*80/4000</f>
        <v>0.2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6" t="s">
        <v>436</v>
      </c>
      <c r="B75" s="16">
        <f>5*600/400</f>
        <v>7.5</v>
      </c>
      <c r="C75" s="16"/>
      <c r="D75" s="254" t="s">
        <v>128</v>
      </c>
      <c r="E75" s="254" t="s">
        <v>444</v>
      </c>
      <c r="F75" s="254" t="s">
        <v>438</v>
      </c>
      <c r="G75" s="16"/>
      <c r="H75" s="16"/>
      <c r="I75" s="16"/>
    </row>
    <row r="76" spans="1:9" x14ac:dyDescent="0.2">
      <c r="A76" s="16" t="s">
        <v>437</v>
      </c>
      <c r="B76" s="16">
        <f>1*1255/1000</f>
        <v>1.2549999999999999</v>
      </c>
      <c r="C76" s="16"/>
      <c r="D76" s="16" t="s">
        <v>493</v>
      </c>
      <c r="E76" s="16">
        <f>80*11.5</f>
        <v>920</v>
      </c>
      <c r="F76" s="16">
        <f>E76*33.23</f>
        <v>30571.599999999999</v>
      </c>
      <c r="G76" s="16" t="s">
        <v>445</v>
      </c>
      <c r="H76" s="16"/>
      <c r="I76" s="16"/>
    </row>
    <row r="77" spans="1:9" x14ac:dyDescent="0.2">
      <c r="A77" s="16" t="s">
        <v>157</v>
      </c>
      <c r="B77" s="254">
        <f>SUM(B69:B76)</f>
        <v>86.408000000000001</v>
      </c>
      <c r="C77" s="16"/>
      <c r="D77" s="16"/>
      <c r="E77" s="16"/>
      <c r="F77" s="16"/>
      <c r="G77" s="16" t="s">
        <v>446</v>
      </c>
      <c r="H77" s="16"/>
      <c r="I77" s="16"/>
    </row>
    <row r="78" spans="1:9" x14ac:dyDescent="0.2">
      <c r="D78" s="16" t="s">
        <v>494</v>
      </c>
      <c r="E78">
        <f>F76/InfoInicial!B19</f>
        <v>0.26386218087034574</v>
      </c>
    </row>
    <row r="79" spans="1:9" x14ac:dyDescent="0.2">
      <c r="D79" s="16" t="s">
        <v>495</v>
      </c>
      <c r="E79">
        <f>(E78*F102)/2</f>
        <v>154.79637735739328</v>
      </c>
    </row>
    <row r="80" spans="1:9" x14ac:dyDescent="0.2">
      <c r="D80" s="16" t="s">
        <v>496</v>
      </c>
      <c r="E80">
        <f>F76*0.95-F104*E78-E79</f>
        <v>5959.3916915521704</v>
      </c>
    </row>
    <row r="81" spans="1:5" x14ac:dyDescent="0.2">
      <c r="A81" t="s">
        <v>471</v>
      </c>
      <c r="B81">
        <v>10700</v>
      </c>
    </row>
    <row r="82" spans="1:5" x14ac:dyDescent="0.2">
      <c r="A82" t="s">
        <v>468</v>
      </c>
      <c r="B82">
        <v>100000</v>
      </c>
    </row>
    <row r="83" spans="1:5" x14ac:dyDescent="0.2">
      <c r="A83" t="s">
        <v>469</v>
      </c>
      <c r="B83">
        <v>80000</v>
      </c>
    </row>
    <row r="84" spans="1:5" x14ac:dyDescent="0.2">
      <c r="A84" t="s">
        <v>470</v>
      </c>
      <c r="B84">
        <v>60000</v>
      </c>
    </row>
    <row r="85" spans="1:5" x14ac:dyDescent="0.2">
      <c r="A85" t="s">
        <v>472</v>
      </c>
      <c r="B85">
        <f>B81+B82+B83+B84*4</f>
        <v>430700</v>
      </c>
    </row>
    <row r="86" spans="1:5" x14ac:dyDescent="0.2">
      <c r="A86" t="s">
        <v>473</v>
      </c>
      <c r="B86">
        <f>B81*5</f>
        <v>53500</v>
      </c>
    </row>
    <row r="89" spans="1:5" x14ac:dyDescent="0.2">
      <c r="B89" t="s">
        <v>475</v>
      </c>
      <c r="C89" t="s">
        <v>480</v>
      </c>
      <c r="D89" t="s">
        <v>157</v>
      </c>
      <c r="E89" t="s">
        <v>476</v>
      </c>
    </row>
    <row r="90" spans="1:5" x14ac:dyDescent="0.2">
      <c r="A90" s="254" t="s">
        <v>477</v>
      </c>
      <c r="B90">
        <v>100000</v>
      </c>
      <c r="C90" s="264">
        <v>0.5</v>
      </c>
      <c r="D90" s="265">
        <v>0.33333333333333331</v>
      </c>
      <c r="E90">
        <f>B90*12*1.5/3</f>
        <v>600000</v>
      </c>
    </row>
    <row r="91" spans="1:5" x14ac:dyDescent="0.2">
      <c r="A91" t="s">
        <v>478</v>
      </c>
      <c r="B91">
        <v>80000</v>
      </c>
      <c r="C91" s="264">
        <v>0.5</v>
      </c>
      <c r="D91">
        <v>1</v>
      </c>
      <c r="E91">
        <f>B91*12*1.5</f>
        <v>1440000</v>
      </c>
    </row>
    <row r="92" spans="1:5" x14ac:dyDescent="0.2">
      <c r="A92" t="s">
        <v>479</v>
      </c>
      <c r="B92">
        <v>240000</v>
      </c>
      <c r="C92" s="264">
        <v>0.5</v>
      </c>
      <c r="D92">
        <v>4</v>
      </c>
      <c r="E92">
        <f>B92*12*1.5*4</f>
        <v>17280000</v>
      </c>
    </row>
    <row r="93" spans="1:5" x14ac:dyDescent="0.2">
      <c r="A93" t="s">
        <v>505</v>
      </c>
      <c r="B93">
        <v>10700</v>
      </c>
      <c r="C93" s="264">
        <v>0.5</v>
      </c>
      <c r="D93">
        <v>1</v>
      </c>
      <c r="E93">
        <f>B93*12*1.5</f>
        <v>192600</v>
      </c>
    </row>
    <row r="94" spans="1:5" x14ac:dyDescent="0.2">
      <c r="A94" t="s">
        <v>157</v>
      </c>
      <c r="E94">
        <f>SUM(E90:E93)</f>
        <v>19512600</v>
      </c>
    </row>
    <row r="96" spans="1:5" x14ac:dyDescent="0.2">
      <c r="A96" s="254" t="s">
        <v>481</v>
      </c>
    </row>
    <row r="97" spans="1:8" ht="14.25" x14ac:dyDescent="0.2">
      <c r="A97" t="s">
        <v>482</v>
      </c>
      <c r="B97">
        <v>11</v>
      </c>
      <c r="E97" s="255"/>
      <c r="F97" s="259"/>
      <c r="G97" s="16"/>
      <c r="H97" s="16"/>
    </row>
    <row r="98" spans="1:8" x14ac:dyDescent="0.2">
      <c r="A98" t="s">
        <v>483</v>
      </c>
      <c r="B98">
        <v>2</v>
      </c>
      <c r="E98" s="16"/>
      <c r="F98" s="16"/>
      <c r="G98" s="16"/>
      <c r="H98" s="16"/>
    </row>
    <row r="99" spans="1:8" x14ac:dyDescent="0.2">
      <c r="A99" t="s">
        <v>484</v>
      </c>
      <c r="B99">
        <v>1</v>
      </c>
      <c r="E99" s="16" t="s">
        <v>449</v>
      </c>
      <c r="F99" s="16"/>
      <c r="G99" s="16"/>
      <c r="H99" s="16"/>
    </row>
    <row r="100" spans="1:8" ht="14.25" x14ac:dyDescent="0.2">
      <c r="A100" t="s">
        <v>485</v>
      </c>
      <c r="B100">
        <v>8</v>
      </c>
      <c r="E100" s="16" t="s">
        <v>474</v>
      </c>
      <c r="F100" s="255"/>
      <c r="G100" s="16"/>
      <c r="H100" s="16"/>
    </row>
    <row r="101" spans="1:8" x14ac:dyDescent="0.2">
      <c r="A101" t="s">
        <v>486</v>
      </c>
      <c r="B101" s="262">
        <v>75</v>
      </c>
      <c r="F101" s="16"/>
      <c r="G101" s="16"/>
      <c r="H101" s="16"/>
    </row>
    <row r="102" spans="1:8" x14ac:dyDescent="0.2">
      <c r="A102" t="s">
        <v>157</v>
      </c>
      <c r="B102">
        <f>B97*B98*B100*B101</f>
        <v>13200</v>
      </c>
      <c r="E102" t="s">
        <v>490</v>
      </c>
      <c r="F102">
        <f>1341.8/1.1436</f>
        <v>1173.3123469744667</v>
      </c>
    </row>
    <row r="104" spans="1:8" x14ac:dyDescent="0.2">
      <c r="A104" s="267" t="s">
        <v>487</v>
      </c>
      <c r="B104" s="266">
        <f>(B102+E94)/InfoInicial!B19</f>
        <v>168.52635031330377</v>
      </c>
      <c r="E104" t="s">
        <v>492</v>
      </c>
      <c r="F104">
        <v>86897</v>
      </c>
    </row>
    <row r="105" spans="1:8" x14ac:dyDescent="0.2">
      <c r="A105" s="267" t="s">
        <v>488</v>
      </c>
      <c r="B105" s="266">
        <f>B104*(F102/2)</f>
        <v>98867.0238065718</v>
      </c>
    </row>
    <row r="106" spans="1:8" x14ac:dyDescent="0.2">
      <c r="A106" s="254" t="s">
        <v>489</v>
      </c>
      <c r="B106">
        <f>(((E94+B102)*0.9)/86897)*(F102/2)</f>
        <v>118639.74591814814</v>
      </c>
    </row>
    <row r="109" spans="1:8" x14ac:dyDescent="0.2">
      <c r="A109" s="254" t="s">
        <v>497</v>
      </c>
    </row>
    <row r="110" spans="1:8" x14ac:dyDescent="0.2">
      <c r="A110" t="s">
        <v>494</v>
      </c>
      <c r="B110">
        <f>'E-Costos'!C12/115862</f>
        <v>2.3475468823600489</v>
      </c>
    </row>
    <row r="111" spans="1:8" x14ac:dyDescent="0.2">
      <c r="A111" t="s">
        <v>498</v>
      </c>
      <c r="B111">
        <f>'E-Costos'!B12</f>
        <v>244792.3291956</v>
      </c>
    </row>
    <row r="112" spans="1:8" x14ac:dyDescent="0.2">
      <c r="A112" t="s">
        <v>499</v>
      </c>
      <c r="B112">
        <f>F104*B110</f>
        <v>203994.78143644118</v>
      </c>
    </row>
    <row r="113" spans="1:7" x14ac:dyDescent="0.2">
      <c r="A113" t="s">
        <v>495</v>
      </c>
      <c r="B113">
        <f>F102*B110/2</f>
        <v>1377.2028710872305</v>
      </c>
    </row>
    <row r="114" spans="1:7" x14ac:dyDescent="0.2">
      <c r="A114" t="s">
        <v>500</v>
      </c>
      <c r="B114">
        <f>B111-B112-B113</f>
        <v>39420.344888071595</v>
      </c>
    </row>
    <row r="116" spans="1:7" x14ac:dyDescent="0.2">
      <c r="A116" s="254" t="s">
        <v>501</v>
      </c>
    </row>
    <row r="117" spans="1:7" x14ac:dyDescent="0.2">
      <c r="A117" t="s">
        <v>502</v>
      </c>
      <c r="B117">
        <f>('E-Costos'!B15/115862)*F102/2</f>
        <v>848.7562192479121</v>
      </c>
    </row>
    <row r="118" spans="1:7" x14ac:dyDescent="0.2">
      <c r="A118" t="s">
        <v>54</v>
      </c>
      <c r="B118">
        <f>'E-Costos'!B15/(F104+F102/2)*F102/2</f>
        <v>1124.0795981307426</v>
      </c>
    </row>
    <row r="122" spans="1:7" x14ac:dyDescent="0.2">
      <c r="A122" s="254" t="s">
        <v>503</v>
      </c>
      <c r="E122" s="254" t="s">
        <v>503</v>
      </c>
    </row>
    <row r="123" spans="1:7" x14ac:dyDescent="0.2">
      <c r="A123" s="254" t="s">
        <v>103</v>
      </c>
      <c r="E123" s="254" t="s">
        <v>103</v>
      </c>
    </row>
    <row r="124" spans="1:7" x14ac:dyDescent="0.2">
      <c r="A124" t="s">
        <v>504</v>
      </c>
      <c r="B124">
        <f>B81*0.1</f>
        <v>1070</v>
      </c>
      <c r="C124" t="s">
        <v>507</v>
      </c>
      <c r="E124" t="s">
        <v>504</v>
      </c>
      <c r="F124">
        <f>B81*0.1</f>
        <v>1070</v>
      </c>
      <c r="G124" t="s">
        <v>507</v>
      </c>
    </row>
    <row r="125" spans="1:7" x14ac:dyDescent="0.2">
      <c r="A125" t="s">
        <v>506</v>
      </c>
      <c r="B125">
        <v>4000</v>
      </c>
      <c r="E125" t="s">
        <v>509</v>
      </c>
      <c r="F125">
        <v>4000</v>
      </c>
    </row>
    <row r="126" spans="1:7" x14ac:dyDescent="0.2">
      <c r="A126" t="s">
        <v>157</v>
      </c>
      <c r="B126">
        <f>SUM(B124:B125)</f>
        <v>5070</v>
      </c>
      <c r="E126" t="s">
        <v>157</v>
      </c>
      <c r="F126">
        <f>SUM(F124:F125)</f>
        <v>5070</v>
      </c>
    </row>
    <row r="127" spans="1:7" x14ac:dyDescent="0.2">
      <c r="A127" s="254" t="s">
        <v>132</v>
      </c>
      <c r="E127" s="254" t="s">
        <v>132</v>
      </c>
    </row>
    <row r="128" spans="1:7" x14ac:dyDescent="0.2">
      <c r="A128" t="s">
        <v>157</v>
      </c>
      <c r="B128">
        <f>F73*0.05</f>
        <v>2081.779857</v>
      </c>
      <c r="E128" t="s">
        <v>157</v>
      </c>
      <c r="F128">
        <f>F73*0.05</f>
        <v>2081.779857</v>
      </c>
    </row>
    <row r="129" spans="1:6" x14ac:dyDescent="0.2">
      <c r="A129" t="s">
        <v>106</v>
      </c>
      <c r="B129" t="s">
        <v>508</v>
      </c>
      <c r="E129" t="s">
        <v>106</v>
      </c>
      <c r="F129" t="s">
        <v>508</v>
      </c>
    </row>
    <row r="132" spans="1:6" x14ac:dyDescent="0.2">
      <c r="A132" t="s">
        <v>510</v>
      </c>
    </row>
    <row r="133" spans="1:6" x14ac:dyDescent="0.2">
      <c r="A133" t="s">
        <v>511</v>
      </c>
    </row>
    <row r="134" spans="1:6" x14ac:dyDescent="0.2">
      <c r="A134" t="s">
        <v>512</v>
      </c>
      <c r="B134">
        <v>91241.33</v>
      </c>
      <c r="C134" t="s">
        <v>513</v>
      </c>
    </row>
    <row r="135" spans="1:6" x14ac:dyDescent="0.2">
      <c r="A135" t="s">
        <v>514</v>
      </c>
      <c r="B135">
        <f>B134-F104</f>
        <v>4344.3300000000017</v>
      </c>
    </row>
  </sheetData>
  <mergeCells count="1">
    <mergeCell ref="D45:F45"/>
  </mergeCells>
  <hyperlinks>
    <hyperlink ref="J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topLeftCell="A3" zoomScale="90" zoomScaleNormal="90" workbookViewId="0">
      <selection activeCell="A34" sqref="A34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9</v>
      </c>
    </row>
    <row r="2" spans="1:13" ht="15" x14ac:dyDescent="0.25">
      <c r="G2" s="298" t="s">
        <v>1</v>
      </c>
      <c r="H2" s="298"/>
      <c r="I2" s="298"/>
      <c r="J2" s="298"/>
      <c r="K2" s="298"/>
      <c r="L2" s="298"/>
      <c r="M2" s="298"/>
    </row>
    <row r="3" spans="1:13" ht="14.65" customHeight="1" x14ac:dyDescent="0.2">
      <c r="A3" s="3" t="s">
        <v>2</v>
      </c>
      <c r="B3" s="4">
        <v>0.21</v>
      </c>
      <c r="G3" s="299" t="s">
        <v>3</v>
      </c>
      <c r="H3" s="299"/>
      <c r="I3" s="299"/>
      <c r="J3" s="299"/>
      <c r="K3" s="299"/>
      <c r="L3" s="299"/>
      <c r="M3" s="299"/>
    </row>
    <row r="4" spans="1:13" x14ac:dyDescent="0.2">
      <c r="A4" s="3" t="s">
        <v>4</v>
      </c>
      <c r="B4" s="4">
        <v>0.35</v>
      </c>
      <c r="G4" s="299"/>
      <c r="H4" s="299"/>
      <c r="I4" s="299"/>
      <c r="J4" s="299"/>
      <c r="K4" s="299"/>
      <c r="L4" s="299"/>
      <c r="M4" s="299"/>
    </row>
    <row r="5" spans="1:13" x14ac:dyDescent="0.2">
      <c r="A5" s="3" t="s">
        <v>5</v>
      </c>
      <c r="B5" s="4">
        <v>0.06</v>
      </c>
      <c r="C5" t="s">
        <v>6</v>
      </c>
      <c r="G5" s="299"/>
      <c r="H5" s="299"/>
      <c r="I5" s="299"/>
      <c r="J5" s="299"/>
      <c r="K5" s="299"/>
      <c r="L5" s="299"/>
      <c r="M5" s="299"/>
    </row>
    <row r="6" spans="1:13" x14ac:dyDescent="0.2">
      <c r="G6" s="299"/>
      <c r="H6" s="299"/>
      <c r="I6" s="299"/>
      <c r="J6" s="299"/>
      <c r="K6" s="299"/>
      <c r="L6" s="299"/>
      <c r="M6" s="299"/>
    </row>
    <row r="7" spans="1:13" ht="14.65" customHeight="1" x14ac:dyDescent="0.2">
      <c r="A7" s="3" t="s">
        <v>7</v>
      </c>
      <c r="B7" t="s">
        <v>8</v>
      </c>
      <c r="G7" s="300" t="s">
        <v>9</v>
      </c>
      <c r="H7" s="300"/>
      <c r="I7" s="300"/>
      <c r="J7" s="300"/>
      <c r="K7" s="300"/>
      <c r="L7" s="300"/>
      <c r="M7" s="300"/>
    </row>
    <row r="8" spans="1:13" x14ac:dyDescent="0.2">
      <c r="A8" s="5" t="s">
        <v>10</v>
      </c>
      <c r="B8" s="6">
        <v>30</v>
      </c>
      <c r="C8" t="s">
        <v>11</v>
      </c>
      <c r="G8" s="300"/>
      <c r="H8" s="300"/>
      <c r="I8" s="300"/>
      <c r="J8" s="300"/>
      <c r="K8" s="300"/>
      <c r="L8" s="300"/>
      <c r="M8" s="300"/>
    </row>
    <row r="9" spans="1:13" x14ac:dyDescent="0.2">
      <c r="A9" s="5" t="s">
        <v>12</v>
      </c>
      <c r="B9" s="6">
        <v>10</v>
      </c>
      <c r="C9" t="s">
        <v>11</v>
      </c>
      <c r="G9" s="301" t="s">
        <v>13</v>
      </c>
      <c r="H9" s="301"/>
      <c r="I9" s="301"/>
      <c r="J9" s="301"/>
      <c r="K9" s="301"/>
      <c r="L9" s="301"/>
      <c r="M9" s="301"/>
    </row>
    <row r="10" spans="1:13" ht="14.65" customHeight="1" x14ac:dyDescent="0.2">
      <c r="A10" s="5" t="s">
        <v>14</v>
      </c>
      <c r="B10" s="6">
        <v>10</v>
      </c>
      <c r="C10" t="s">
        <v>11</v>
      </c>
      <c r="G10" s="302" t="s">
        <v>15</v>
      </c>
      <c r="H10" s="302"/>
      <c r="I10" s="302"/>
      <c r="J10" s="302"/>
      <c r="K10" s="302"/>
      <c r="L10" s="302"/>
      <c r="M10" s="302"/>
    </row>
    <row r="11" spans="1:13" x14ac:dyDescent="0.2">
      <c r="A11" s="5" t="s">
        <v>16</v>
      </c>
      <c r="B11" s="6">
        <v>5</v>
      </c>
      <c r="C11" t="s">
        <v>11</v>
      </c>
      <c r="G11" s="302"/>
      <c r="H11" s="302"/>
      <c r="I11" s="302"/>
      <c r="J11" s="302"/>
      <c r="K11" s="302"/>
      <c r="L11" s="302"/>
      <c r="M11" s="302"/>
    </row>
    <row r="12" spans="1:13" ht="14.65" customHeight="1" x14ac:dyDescent="0.2">
      <c r="A12" s="5" t="s">
        <v>17</v>
      </c>
      <c r="B12" s="6">
        <v>5</v>
      </c>
      <c r="C12" t="s">
        <v>11</v>
      </c>
      <c r="G12" s="302" t="s">
        <v>18</v>
      </c>
      <c r="H12" s="302"/>
      <c r="I12" s="302"/>
      <c r="J12" s="302"/>
      <c r="K12" s="302"/>
      <c r="L12" s="302"/>
      <c r="M12" s="302"/>
    </row>
    <row r="13" spans="1:13" x14ac:dyDescent="0.2">
      <c r="A13" s="5" t="s">
        <v>19</v>
      </c>
      <c r="B13" s="6">
        <v>3</v>
      </c>
      <c r="C13" t="s">
        <v>11</v>
      </c>
      <c r="G13" s="302"/>
      <c r="H13" s="302"/>
      <c r="I13" s="302"/>
      <c r="J13" s="302"/>
      <c r="K13" s="302"/>
      <c r="L13" s="302"/>
      <c r="M13" s="302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0.08</v>
      </c>
    </row>
    <row r="17" spans="1:7" x14ac:dyDescent="0.2">
      <c r="A17" s="3" t="s">
        <v>22</v>
      </c>
      <c r="B17" s="8" t="s">
        <v>400</v>
      </c>
      <c r="C17" s="9"/>
      <c r="D17" s="9"/>
      <c r="E17" s="9"/>
      <c r="F17" s="9"/>
      <c r="G17" s="10"/>
    </row>
    <row r="19" spans="1:7" ht="14.25" x14ac:dyDescent="0.2">
      <c r="A19" s="3" t="s">
        <v>23</v>
      </c>
      <c r="B19" s="245">
        <v>115862</v>
      </c>
      <c r="C19" t="s">
        <v>24</v>
      </c>
    </row>
    <row r="20" spans="1:7" x14ac:dyDescent="0.2">
      <c r="A20" s="3" t="s">
        <v>25</v>
      </c>
      <c r="B20" s="246">
        <v>14482.75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5</v>
      </c>
      <c r="C23" t="s">
        <v>29</v>
      </c>
    </row>
    <row r="24" spans="1:7" x14ac:dyDescent="0.2">
      <c r="A24" s="3" t="s">
        <v>30</v>
      </c>
      <c r="B24" s="11">
        <v>1</v>
      </c>
      <c r="C24" t="s">
        <v>29</v>
      </c>
    </row>
    <row r="25" spans="1:7" x14ac:dyDescent="0.2">
      <c r="A25" s="3" t="s">
        <v>31</v>
      </c>
      <c r="B25" s="11">
        <v>3</v>
      </c>
      <c r="C25" t="s">
        <v>29</v>
      </c>
    </row>
    <row r="27" spans="1:7" x14ac:dyDescent="0.2">
      <c r="A27" s="3" t="s">
        <v>32</v>
      </c>
      <c r="B27" s="11">
        <v>251</v>
      </c>
      <c r="C27" t="s">
        <v>33</v>
      </c>
    </row>
    <row r="28" spans="1:7" x14ac:dyDescent="0.2">
      <c r="A28" s="3" t="s">
        <v>34</v>
      </c>
      <c r="B28" s="11">
        <v>11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39.35</v>
      </c>
      <c r="C32" t="s">
        <v>38</v>
      </c>
      <c r="D32" s="11">
        <v>1</v>
      </c>
      <c r="E32" t="s">
        <v>39</v>
      </c>
    </row>
    <row r="33" spans="1:37" x14ac:dyDescent="0.2">
      <c r="A33" s="12"/>
    </row>
    <row r="34" spans="1:37" x14ac:dyDescent="0.2">
      <c r="A34" s="12"/>
    </row>
    <row r="35" spans="1:37" x14ac:dyDescent="0.2">
      <c r="A35" s="3" t="s">
        <v>40</v>
      </c>
      <c r="B35" s="13">
        <v>64</v>
      </c>
      <c r="C35" t="s">
        <v>41</v>
      </c>
      <c r="G35" s="14" t="s">
        <v>42</v>
      </c>
    </row>
    <row r="36" spans="1:37" x14ac:dyDescent="0.2">
      <c r="A36" s="3" t="s">
        <v>43</v>
      </c>
      <c r="B36" s="297" t="s">
        <v>401</v>
      </c>
      <c r="C36" s="297"/>
      <c r="D36" s="297"/>
    </row>
    <row r="37" spans="1:37" x14ac:dyDescent="0.2">
      <c r="A37" s="3" t="s">
        <v>44</v>
      </c>
      <c r="B37" s="15">
        <v>60</v>
      </c>
    </row>
    <row r="38" spans="1:37" x14ac:dyDescent="0.2">
      <c r="A38" s="3"/>
    </row>
    <row r="39" spans="1:37" x14ac:dyDescent="0.2">
      <c r="A39" s="3" t="s">
        <v>45</v>
      </c>
      <c r="B39" s="11">
        <v>60</v>
      </c>
    </row>
    <row r="40" spans="1:37" x14ac:dyDescent="0.2">
      <c r="A40" s="3" t="s">
        <v>46</v>
      </c>
      <c r="B40" s="11">
        <v>50</v>
      </c>
    </row>
    <row r="41" spans="1:37" x14ac:dyDescent="0.2">
      <c r="A41" s="3" t="s">
        <v>47</v>
      </c>
      <c r="B41" s="11">
        <v>15</v>
      </c>
      <c r="C41" t="s">
        <v>41</v>
      </c>
    </row>
    <row r="47" spans="1:37" x14ac:dyDescent="0.2">
      <c r="AK47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Normal="100" workbookViewId="0">
      <selection activeCell="G5" sqref="G5"/>
    </sheetView>
  </sheetViews>
  <sheetFormatPr baseColWidth="10" defaultColWidth="11.28515625" defaultRowHeight="12.75" x14ac:dyDescent="0.2"/>
  <cols>
    <col min="1" max="1" width="45.28515625" style="16" customWidth="1"/>
    <col min="2" max="6" width="14.7109375" style="16" customWidth="1"/>
    <col min="7" max="16384" width="11.28515625" style="16"/>
  </cols>
  <sheetData>
    <row r="1" spans="1:5" x14ac:dyDescent="0.2">
      <c r="A1" s="1" t="s">
        <v>49</v>
      </c>
      <c r="B1"/>
      <c r="C1"/>
      <c r="D1"/>
      <c r="E1" s="2">
        <f>InfoInicial!E1</f>
        <v>9</v>
      </c>
    </row>
    <row r="3" spans="1:5" ht="16.5" thickTop="1" x14ac:dyDescent="0.25">
      <c r="A3" s="17" t="s">
        <v>50</v>
      </c>
      <c r="B3" s="296" t="s">
        <v>51</v>
      </c>
      <c r="C3" s="296"/>
      <c r="D3" s="303" t="s">
        <v>52</v>
      </c>
      <c r="E3" s="303"/>
    </row>
    <row r="4" spans="1:5" ht="16.5" thickBot="1" x14ac:dyDescent="0.3">
      <c r="A4" s="20"/>
      <c r="B4" s="21" t="s">
        <v>53</v>
      </c>
      <c r="C4" s="21" t="s">
        <v>54</v>
      </c>
      <c r="D4" s="21" t="s">
        <v>53</v>
      </c>
      <c r="E4" s="22" t="s">
        <v>54</v>
      </c>
    </row>
    <row r="5" spans="1:5" ht="13.5" thickTop="1" x14ac:dyDescent="0.2">
      <c r="A5" s="23"/>
      <c r="B5" s="24"/>
      <c r="C5" s="24"/>
      <c r="D5" s="24"/>
      <c r="E5" s="24"/>
    </row>
    <row r="6" spans="1:5" x14ac:dyDescent="0.2">
      <c r="A6" s="25" t="s">
        <v>55</v>
      </c>
      <c r="B6" s="26"/>
      <c r="C6" s="26"/>
      <c r="D6" s="26"/>
      <c r="E6" s="26"/>
    </row>
    <row r="7" spans="1:5" x14ac:dyDescent="0.2">
      <c r="A7" s="27" t="s">
        <v>56</v>
      </c>
      <c r="B7" s="28">
        <f>Auxiliar!B2</f>
        <v>9050500</v>
      </c>
      <c r="C7" s="28"/>
      <c r="D7" s="28"/>
      <c r="E7" s="28"/>
    </row>
    <row r="8" spans="1:5" x14ac:dyDescent="0.2">
      <c r="A8" s="27" t="s">
        <v>57</v>
      </c>
      <c r="B8" s="28">
        <f>Auxiliar!B3</f>
        <v>1037500</v>
      </c>
      <c r="C8" s="28"/>
      <c r="D8" s="28"/>
      <c r="E8" s="28"/>
    </row>
    <row r="9" spans="1:5" x14ac:dyDescent="0.2">
      <c r="A9" s="27" t="s">
        <v>58</v>
      </c>
      <c r="B9" s="28">
        <f>Auxiliar!B4</f>
        <v>830000</v>
      </c>
      <c r="C9" s="28"/>
      <c r="D9" s="28"/>
      <c r="E9" s="28"/>
    </row>
    <row r="10" spans="1:5" x14ac:dyDescent="0.2">
      <c r="A10" s="27" t="s">
        <v>59</v>
      </c>
      <c r="B10" s="28"/>
      <c r="C10" s="28"/>
      <c r="D10" s="28"/>
      <c r="E10" s="28"/>
    </row>
    <row r="11" spans="1:5" x14ac:dyDescent="0.2">
      <c r="A11" s="27" t="s">
        <v>60</v>
      </c>
      <c r="B11" s="28"/>
      <c r="C11" s="28"/>
      <c r="D11" s="28"/>
      <c r="E11" s="28"/>
    </row>
    <row r="12" spans="1:5" x14ac:dyDescent="0.2">
      <c r="A12" s="27" t="s">
        <v>61</v>
      </c>
      <c r="B12" s="28">
        <f>Auxiliar!B7</f>
        <v>29675</v>
      </c>
      <c r="C12" s="28"/>
      <c r="D12" s="28"/>
      <c r="E12" s="28"/>
    </row>
    <row r="13" spans="1:5" x14ac:dyDescent="0.2">
      <c r="A13" s="29" t="s">
        <v>62</v>
      </c>
      <c r="B13" s="28">
        <v>0</v>
      </c>
      <c r="C13" s="28"/>
      <c r="D13" s="28"/>
      <c r="E13" s="28"/>
    </row>
    <row r="14" spans="1:5" x14ac:dyDescent="0.2">
      <c r="A14" s="27" t="s">
        <v>63</v>
      </c>
      <c r="B14" s="28">
        <f>Auxiliar!B9</f>
        <v>6000</v>
      </c>
      <c r="C14" s="28"/>
      <c r="D14" s="28"/>
      <c r="E14" s="28"/>
    </row>
    <row r="15" spans="1:5" x14ac:dyDescent="0.2">
      <c r="A15" s="27" t="s">
        <v>64</v>
      </c>
      <c r="B15" s="28">
        <f>Auxiliar!B10</f>
        <v>140000</v>
      </c>
      <c r="C15" s="28"/>
      <c r="D15" s="28"/>
      <c r="E15" s="28"/>
    </row>
    <row r="16" spans="1:5" x14ac:dyDescent="0.2">
      <c r="A16" s="27" t="s">
        <v>65</v>
      </c>
      <c r="B16" s="28">
        <f>Auxiliar!B11</f>
        <v>143250</v>
      </c>
      <c r="C16" s="28"/>
      <c r="D16" s="28"/>
      <c r="E16" s="28"/>
    </row>
    <row r="17" spans="1:5" x14ac:dyDescent="0.2">
      <c r="A17" s="27" t="s">
        <v>66</v>
      </c>
      <c r="B17" s="28">
        <v>0</v>
      </c>
      <c r="C17" s="28"/>
      <c r="D17" s="28"/>
      <c r="E17" s="28"/>
    </row>
    <row r="18" spans="1:5" x14ac:dyDescent="0.2">
      <c r="A18" s="27" t="s">
        <v>21</v>
      </c>
      <c r="B18" s="28">
        <f>Auxiliar!B13</f>
        <v>91914</v>
      </c>
      <c r="C18" s="28"/>
      <c r="D18" s="28"/>
      <c r="E18" s="28"/>
    </row>
    <row r="19" spans="1:5" x14ac:dyDescent="0.2">
      <c r="A19" s="27"/>
      <c r="B19" s="28"/>
      <c r="C19" s="28"/>
      <c r="D19" s="28"/>
      <c r="E19" s="28"/>
    </row>
    <row r="20" spans="1:5" x14ac:dyDescent="0.2">
      <c r="A20" s="25" t="s">
        <v>67</v>
      </c>
      <c r="B20" s="28">
        <f>SUM(B7:B18)</f>
        <v>11328839</v>
      </c>
      <c r="C20" s="28"/>
      <c r="D20" s="28"/>
      <c r="E20" s="28"/>
    </row>
    <row r="21" spans="1:5" x14ac:dyDescent="0.2">
      <c r="A21" s="27"/>
      <c r="B21" s="30"/>
      <c r="C21" s="30"/>
      <c r="D21" s="30"/>
      <c r="E21" s="30"/>
    </row>
    <row r="22" spans="1:5" x14ac:dyDescent="0.2">
      <c r="A22" s="25" t="s">
        <v>68</v>
      </c>
      <c r="B22" s="30"/>
      <c r="C22" s="30"/>
      <c r="D22" s="30"/>
      <c r="E22" s="30"/>
    </row>
    <row r="23" spans="1:5" x14ac:dyDescent="0.2">
      <c r="A23" s="27" t="s">
        <v>69</v>
      </c>
      <c r="B23" s="28">
        <f>Auxiliar!B28</f>
        <v>100000</v>
      </c>
      <c r="C23" s="28">
        <v>0</v>
      </c>
      <c r="D23" s="28"/>
      <c r="E23" s="28"/>
    </row>
    <row r="24" spans="1:5" x14ac:dyDescent="0.2">
      <c r="A24" s="27" t="s">
        <v>70</v>
      </c>
      <c r="B24" s="28">
        <f>Auxiliar!B29</f>
        <v>35000</v>
      </c>
      <c r="C24" s="28">
        <v>0</v>
      </c>
      <c r="D24" s="28"/>
      <c r="E24" s="28"/>
    </row>
    <row r="25" spans="1:5" x14ac:dyDescent="0.2">
      <c r="A25" s="27" t="s">
        <v>71</v>
      </c>
      <c r="B25" s="28">
        <f>Auxiliar!B30</f>
        <v>330000</v>
      </c>
      <c r="C25" s="28">
        <v>0</v>
      </c>
      <c r="D25" s="28"/>
      <c r="E25" s="28"/>
    </row>
    <row r="26" spans="1:5" x14ac:dyDescent="0.2">
      <c r="A26" s="29" t="s">
        <v>72</v>
      </c>
      <c r="B26" s="28">
        <v>0</v>
      </c>
      <c r="C26" s="28">
        <f>Auxiliar!C31</f>
        <v>349272.28200000001</v>
      </c>
      <c r="D26" s="28"/>
      <c r="E26" s="28"/>
    </row>
    <row r="27" spans="1:5" x14ac:dyDescent="0.2">
      <c r="A27" s="29" t="s">
        <v>73</v>
      </c>
      <c r="B27" s="28">
        <v>0</v>
      </c>
      <c r="C27" s="28">
        <v>0</v>
      </c>
      <c r="D27" s="28"/>
      <c r="E27" s="28"/>
    </row>
    <row r="28" spans="1:5" x14ac:dyDescent="0.2">
      <c r="A28" s="29" t="s">
        <v>74</v>
      </c>
      <c r="B28" s="28">
        <v>0</v>
      </c>
      <c r="C28" s="28">
        <v>0</v>
      </c>
      <c r="D28" s="28"/>
      <c r="E28" s="28"/>
    </row>
    <row r="29" spans="1:5" x14ac:dyDescent="0.2">
      <c r="A29" s="27" t="s">
        <v>21</v>
      </c>
      <c r="B29" s="28">
        <f>SUM(B23:B28)*0.08</f>
        <v>37200</v>
      </c>
      <c r="C29" s="28">
        <f>SUM(C23:C28)*0.08</f>
        <v>27941.78256</v>
      </c>
      <c r="D29" s="28"/>
      <c r="E29" s="28"/>
    </row>
    <row r="30" spans="1:5" x14ac:dyDescent="0.2">
      <c r="A30" s="27"/>
      <c r="B30" s="28"/>
      <c r="C30" s="28"/>
      <c r="D30" s="28"/>
      <c r="E30" s="28"/>
    </row>
    <row r="31" spans="1:5" x14ac:dyDescent="0.2">
      <c r="A31" s="25" t="s">
        <v>75</v>
      </c>
      <c r="B31" s="28">
        <f>SUM(B23:B29)</f>
        <v>502200</v>
      </c>
      <c r="C31" s="28">
        <f>SUM(C23:C29)</f>
        <v>377214.06456000003</v>
      </c>
      <c r="D31" s="28"/>
      <c r="E31" s="28"/>
    </row>
    <row r="32" spans="1:5" x14ac:dyDescent="0.2">
      <c r="A32" s="27"/>
      <c r="B32" s="30"/>
      <c r="C32" s="30"/>
      <c r="D32" s="30"/>
      <c r="E32" s="30"/>
    </row>
    <row r="33" spans="1:6" x14ac:dyDescent="0.2">
      <c r="A33" s="25" t="s">
        <v>76</v>
      </c>
      <c r="B33" s="28">
        <f>B20+B31</f>
        <v>11831039</v>
      </c>
      <c r="C33" s="28">
        <f>C31</f>
        <v>377214.06456000003</v>
      </c>
      <c r="D33" s="28"/>
      <c r="E33" s="28"/>
    </row>
    <row r="34" spans="1:6" x14ac:dyDescent="0.2">
      <c r="A34" s="25" t="s">
        <v>77</v>
      </c>
      <c r="B34" s="28">
        <f>0.21*B33</f>
        <v>2484518.19</v>
      </c>
      <c r="C34" s="28">
        <f>0.21*C33</f>
        <v>79214.953557600005</v>
      </c>
      <c r="D34" s="28"/>
      <c r="E34" s="28"/>
    </row>
    <row r="35" spans="1:6" x14ac:dyDescent="0.2">
      <c r="A35" s="27"/>
      <c r="B35" s="30"/>
      <c r="C35" s="30"/>
      <c r="D35" s="30"/>
      <c r="E35" s="30"/>
    </row>
    <row r="36" spans="1:6" ht="13.5" thickBot="1" x14ac:dyDescent="0.25">
      <c r="A36" s="31" t="s">
        <v>78</v>
      </c>
      <c r="B36" s="32">
        <f>B34+B33</f>
        <v>14315557.189999999</v>
      </c>
      <c r="C36" s="32">
        <f>C33+C34</f>
        <v>456429.0181176</v>
      </c>
      <c r="D36" s="32"/>
      <c r="E36" s="32"/>
    </row>
    <row r="37" spans="1:6" ht="13.5" thickTop="1" x14ac:dyDescent="0.2"/>
    <row r="38" spans="1:6" ht="13.5" thickBot="1" x14ac:dyDescent="0.25"/>
    <row r="39" spans="1:6" ht="13.5" thickTop="1" x14ac:dyDescent="0.2">
      <c r="A39" s="33" t="s">
        <v>79</v>
      </c>
      <c r="B39" s="18" t="s">
        <v>80</v>
      </c>
      <c r="C39" s="18" t="s">
        <v>81</v>
      </c>
      <c r="D39" s="296" t="s">
        <v>82</v>
      </c>
      <c r="E39" s="296"/>
      <c r="F39" s="296"/>
    </row>
    <row r="40" spans="1:6" ht="13.5" thickBot="1" x14ac:dyDescent="0.25">
      <c r="A40" s="34"/>
      <c r="B40" s="21" t="s">
        <v>83</v>
      </c>
      <c r="C40" s="21"/>
      <c r="D40" s="21" t="s">
        <v>84</v>
      </c>
      <c r="E40" s="21" t="s">
        <v>85</v>
      </c>
      <c r="F40" s="21" t="s">
        <v>427</v>
      </c>
    </row>
    <row r="41" spans="1:6" ht="13.5" thickTop="1" x14ac:dyDescent="0.2">
      <c r="A41" s="35" t="s">
        <v>86</v>
      </c>
      <c r="B41" s="36"/>
      <c r="C41" s="36"/>
      <c r="D41" s="36"/>
      <c r="E41" s="36"/>
      <c r="F41" s="37"/>
    </row>
    <row r="42" spans="1:6" x14ac:dyDescent="0.2">
      <c r="A42" s="38"/>
      <c r="B42" s="39"/>
      <c r="C42" s="39"/>
      <c r="D42" s="39"/>
      <c r="E42" s="39"/>
      <c r="F42" s="40"/>
    </row>
    <row r="43" spans="1:6" x14ac:dyDescent="0.2">
      <c r="A43" s="27" t="s">
        <v>56</v>
      </c>
      <c r="B43" s="28">
        <f>B7</f>
        <v>9050500</v>
      </c>
      <c r="C43" s="28"/>
      <c r="D43" s="251">
        <f>B43*C43</f>
        <v>0</v>
      </c>
      <c r="E43" s="28">
        <f>C43*D43</f>
        <v>0</v>
      </c>
      <c r="F43" s="28">
        <f>D43*E43</f>
        <v>0</v>
      </c>
    </row>
    <row r="44" spans="1:6" x14ac:dyDescent="0.2">
      <c r="A44" s="27" t="s">
        <v>57</v>
      </c>
      <c r="B44" s="28">
        <f>B8</f>
        <v>1037500</v>
      </c>
      <c r="C44" s="252">
        <v>3.3333333333333333E-2</v>
      </c>
      <c r="D44" s="251">
        <f>$B$44*$C$44</f>
        <v>34583.333333333336</v>
      </c>
      <c r="E44" s="28">
        <f>$B$44*$C$44</f>
        <v>34583.333333333336</v>
      </c>
      <c r="F44" s="28">
        <f>$B$44*$C$44</f>
        <v>34583.333333333336</v>
      </c>
    </row>
    <row r="45" spans="1:6" x14ac:dyDescent="0.2">
      <c r="A45" s="27" t="s">
        <v>58</v>
      </c>
      <c r="B45" s="28">
        <f>B9</f>
        <v>830000</v>
      </c>
      <c r="C45" s="252">
        <v>0.1</v>
      </c>
      <c r="D45" s="251">
        <f>$B$45*$C$45</f>
        <v>83000</v>
      </c>
      <c r="E45" s="28">
        <f>$B$45*$C$45</f>
        <v>83000</v>
      </c>
      <c r="F45" s="28">
        <f>$B$45*$C$45</f>
        <v>83000</v>
      </c>
    </row>
    <row r="46" spans="1:6" x14ac:dyDescent="0.2">
      <c r="A46" s="29" t="s">
        <v>59</v>
      </c>
      <c r="B46" s="28">
        <f>B12</f>
        <v>29675</v>
      </c>
      <c r="C46" s="252">
        <v>0.1</v>
      </c>
      <c r="D46" s="251">
        <f>$B$46*$C$46</f>
        <v>2967.5</v>
      </c>
      <c r="E46" s="28">
        <f>$B$46*$C$46</f>
        <v>2967.5</v>
      </c>
      <c r="F46" s="28">
        <f>$B$46*$C$46</f>
        <v>2967.5</v>
      </c>
    </row>
    <row r="47" spans="1:6" x14ac:dyDescent="0.2">
      <c r="A47" s="29" t="s">
        <v>64</v>
      </c>
      <c r="B47" s="28">
        <f>B15</f>
        <v>140000</v>
      </c>
      <c r="C47" s="252">
        <v>0.2</v>
      </c>
      <c r="D47" s="251">
        <f>$B$47*$C$47</f>
        <v>28000</v>
      </c>
      <c r="E47" s="28">
        <f>$B$47*$C$47</f>
        <v>28000</v>
      </c>
      <c r="F47" s="28">
        <v>0</v>
      </c>
    </row>
    <row r="48" spans="1:6" x14ac:dyDescent="0.2">
      <c r="A48" s="29" t="s">
        <v>65</v>
      </c>
      <c r="B48" s="28">
        <f>B16</f>
        <v>143250</v>
      </c>
      <c r="C48" s="252">
        <v>0.2</v>
      </c>
      <c r="D48" s="251">
        <f>$B$48*$C$48</f>
        <v>28650</v>
      </c>
      <c r="E48" s="28">
        <f>$B$48*$C$48</f>
        <v>28650</v>
      </c>
      <c r="F48" s="28">
        <v>0</v>
      </c>
    </row>
    <row r="49" spans="1:6" x14ac:dyDescent="0.2">
      <c r="A49" s="29" t="s">
        <v>21</v>
      </c>
      <c r="B49" s="28">
        <f>B18</f>
        <v>91914</v>
      </c>
      <c r="C49" s="252">
        <v>0.2</v>
      </c>
      <c r="D49" s="251">
        <f>$B$49*$C$49</f>
        <v>18382.8</v>
      </c>
      <c r="E49" s="28">
        <f>$B$49*$C$49</f>
        <v>18382.8</v>
      </c>
      <c r="F49" s="28">
        <v>0</v>
      </c>
    </row>
    <row r="50" spans="1:6" x14ac:dyDescent="0.2">
      <c r="A50" s="29" t="s">
        <v>87</v>
      </c>
      <c r="B50" s="28">
        <f>Auxiliar!B56</f>
        <v>965</v>
      </c>
      <c r="C50" s="252">
        <v>0.33333333333333331</v>
      </c>
      <c r="D50" s="251">
        <f>B50*C50</f>
        <v>321.66666666666663</v>
      </c>
      <c r="E50" s="28">
        <v>0</v>
      </c>
      <c r="F50" s="28">
        <v>0</v>
      </c>
    </row>
    <row r="51" spans="1:6" x14ac:dyDescent="0.2">
      <c r="A51" s="42" t="s">
        <v>88</v>
      </c>
      <c r="B51" s="28">
        <f>SUM(B43:B50)</f>
        <v>11323804</v>
      </c>
      <c r="C51" s="252"/>
      <c r="D51" s="28">
        <f>SUM(D43:D50)</f>
        <v>195905.3</v>
      </c>
      <c r="E51" s="28">
        <f>SUM(E43:E50)</f>
        <v>195583.63333333333</v>
      </c>
      <c r="F51" s="28">
        <f>SUM(F43:F50)</f>
        <v>120550.83333333334</v>
      </c>
    </row>
    <row r="52" spans="1:6" x14ac:dyDescent="0.2">
      <c r="A52" s="25"/>
      <c r="B52" s="43"/>
      <c r="C52" s="253"/>
      <c r="D52" s="44"/>
      <c r="E52" s="44"/>
      <c r="F52" s="44"/>
    </row>
    <row r="53" spans="1:6" x14ac:dyDescent="0.2">
      <c r="A53" s="42" t="s">
        <v>89</v>
      </c>
      <c r="B53" s="28">
        <f>Auxiliar!B59</f>
        <v>469650</v>
      </c>
      <c r="C53" s="252">
        <v>0.2</v>
      </c>
      <c r="D53" s="28">
        <f>$B$53*$C$53</f>
        <v>93930</v>
      </c>
      <c r="E53" s="28">
        <f>$B$53*$C$53</f>
        <v>93930</v>
      </c>
      <c r="F53" s="28">
        <v>0</v>
      </c>
    </row>
    <row r="54" spans="1:6" x14ac:dyDescent="0.2">
      <c r="A54" s="42"/>
      <c r="B54" s="28"/>
      <c r="C54" s="28"/>
      <c r="D54" s="28"/>
      <c r="E54" s="28"/>
      <c r="F54" s="28"/>
    </row>
    <row r="55" spans="1:6" x14ac:dyDescent="0.2">
      <c r="A55" s="25"/>
      <c r="B55" s="26"/>
      <c r="C55" s="26"/>
      <c r="D55" s="46"/>
      <c r="E55" s="47"/>
      <c r="F55" s="47"/>
    </row>
    <row r="56" spans="1:6" ht="13.5" thickBot="1" x14ac:dyDescent="0.25">
      <c r="A56" s="31" t="s">
        <v>90</v>
      </c>
      <c r="B56" s="32">
        <f>(B53+B51)</f>
        <v>11793454</v>
      </c>
      <c r="C56" s="32"/>
      <c r="D56" s="32">
        <f>D51+D53</f>
        <v>289835.3</v>
      </c>
      <c r="E56" s="32">
        <f>E51+E53</f>
        <v>289513.6333333333</v>
      </c>
      <c r="F56" s="32">
        <f>F51+F53</f>
        <v>120550.83333333334</v>
      </c>
    </row>
    <row r="57" spans="1:6" ht="13.5" thickTop="1" x14ac:dyDescent="0.2"/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36"/>
  <sheetViews>
    <sheetView topLeftCell="A65" zoomScale="90" zoomScaleNormal="90" workbookViewId="0">
      <selection activeCell="B76" sqref="B76"/>
    </sheetView>
  </sheetViews>
  <sheetFormatPr baseColWidth="10" defaultColWidth="11.28515625" defaultRowHeight="12.75" x14ac:dyDescent="0.2"/>
  <cols>
    <col min="1" max="1" width="40.85546875" style="16" customWidth="1"/>
    <col min="2" max="2" width="37" style="16" bestFit="1" customWidth="1"/>
    <col min="3" max="6" width="16" style="16" bestFit="1" customWidth="1"/>
    <col min="7" max="7" width="17.28515625" style="16" customWidth="1"/>
    <col min="8" max="8" width="11.28515625" style="16"/>
    <col min="9" max="9" width="22.7109375" style="16" bestFit="1" customWidth="1"/>
    <col min="10" max="11" width="11.28515625" style="16"/>
    <col min="12" max="12" width="26.85546875" style="16" bestFit="1" customWidth="1"/>
    <col min="13" max="16384" width="11.28515625" style="16"/>
  </cols>
  <sheetData>
    <row r="3" spans="1:6" x14ac:dyDescent="0.2">
      <c r="A3" s="1" t="s">
        <v>0</v>
      </c>
      <c r="B3"/>
      <c r="C3"/>
      <c r="D3"/>
      <c r="E3" s="2">
        <f>InfoInicial!E1</f>
        <v>9</v>
      </c>
    </row>
    <row r="4" spans="1:6" ht="16.5" thickTop="1" x14ac:dyDescent="0.25">
      <c r="A4" s="50" t="s">
        <v>91</v>
      </c>
      <c r="B4" s="51"/>
      <c r="C4" s="51"/>
      <c r="D4" s="51"/>
      <c r="E4" s="51"/>
      <c r="F4" s="52"/>
    </row>
    <row r="5" spans="1:6" x14ac:dyDescent="0.2">
      <c r="A5" s="53"/>
      <c r="B5" s="54" t="s">
        <v>92</v>
      </c>
      <c r="C5" s="54"/>
      <c r="D5" s="54"/>
      <c r="E5" s="54"/>
      <c r="F5" s="55"/>
    </row>
    <row r="6" spans="1:6" ht="13.5" thickBot="1" x14ac:dyDescent="0.25">
      <c r="A6" s="53" t="s">
        <v>93</v>
      </c>
      <c r="B6" s="21" t="s">
        <v>54</v>
      </c>
      <c r="C6" s="21" t="s">
        <v>94</v>
      </c>
      <c r="D6" s="21" t="s">
        <v>95</v>
      </c>
      <c r="E6" s="21" t="s">
        <v>96</v>
      </c>
      <c r="F6" s="22" t="s">
        <v>97</v>
      </c>
    </row>
    <row r="7" spans="1:6" ht="13.5" thickTop="1" x14ac:dyDescent="0.2">
      <c r="A7" s="23" t="s">
        <v>98</v>
      </c>
      <c r="B7" s="56">
        <f>Auxiliar!B77*77366.2</f>
        <v>6685058.6096000001</v>
      </c>
      <c r="C7" s="56">
        <f>Auxiliar!$B$77*127448.2</f>
        <v>11012544.0656</v>
      </c>
      <c r="D7" s="56">
        <f>Auxiliar!$B$77*127448.2</f>
        <v>11012544.0656</v>
      </c>
      <c r="E7" s="56">
        <f>Auxiliar!$B$77*127448.2</f>
        <v>11012544.0656</v>
      </c>
      <c r="F7" s="56">
        <f>Auxiliar!$B$77*127448.2</f>
        <v>11012544.0656</v>
      </c>
    </row>
    <row r="8" spans="1:6" x14ac:dyDescent="0.2">
      <c r="A8" s="27" t="s">
        <v>99</v>
      </c>
      <c r="B8" s="58">
        <f>C8*0.95</f>
        <v>50825</v>
      </c>
      <c r="C8" s="58">
        <f>Auxiliar!$B$86</f>
        <v>53500</v>
      </c>
      <c r="D8" s="58">
        <f>Auxiliar!$B$86</f>
        <v>53500</v>
      </c>
      <c r="E8" s="58">
        <f>Auxiliar!$B$86</f>
        <v>53500</v>
      </c>
      <c r="F8" s="58">
        <f>Auxiliar!$B$86</f>
        <v>53500</v>
      </c>
    </row>
    <row r="9" spans="1:6" x14ac:dyDescent="0.2">
      <c r="A9" s="27" t="s">
        <v>100</v>
      </c>
      <c r="B9" s="58"/>
      <c r="C9" s="58"/>
      <c r="D9" s="58"/>
      <c r="E9" s="58"/>
      <c r="F9" s="41"/>
    </row>
    <row r="10" spans="1:6" x14ac:dyDescent="0.2">
      <c r="A10" s="27" t="s">
        <v>101</v>
      </c>
      <c r="B10" s="58">
        <f>'E-Inv AF y Am'!$D$56*0.9</f>
        <v>260851.77</v>
      </c>
      <c r="C10" s="58">
        <f>'E-Inv AF y Am'!$D$56*0.9</f>
        <v>260851.77</v>
      </c>
      <c r="D10" s="58">
        <f>'E-Inv AF y Am'!$D$56*0.9</f>
        <v>260851.77</v>
      </c>
      <c r="E10" s="58">
        <f>0.9*'E-Inv AF y Am'!$E$56</f>
        <v>260562.27</v>
      </c>
      <c r="F10" s="58">
        <f>0.9*'E-Inv AF y Am'!$E$56</f>
        <v>260562.27</v>
      </c>
    </row>
    <row r="11" spans="1:6" x14ac:dyDescent="0.2">
      <c r="A11" s="27" t="s">
        <v>102</v>
      </c>
      <c r="B11" s="58">
        <f>C11*0.9</f>
        <v>387630</v>
      </c>
      <c r="C11" s="58">
        <f>Auxiliar!$B$85</f>
        <v>430700</v>
      </c>
      <c r="D11" s="58">
        <f>Auxiliar!$B$85</f>
        <v>430700</v>
      </c>
      <c r="E11" s="58">
        <f>Auxiliar!$B$85</f>
        <v>430700</v>
      </c>
      <c r="F11" s="58">
        <f>Auxiliar!$B$85</f>
        <v>430700</v>
      </c>
    </row>
    <row r="12" spans="1:6" x14ac:dyDescent="0.2">
      <c r="A12" s="27" t="s">
        <v>103</v>
      </c>
      <c r="B12" s="58">
        <f>C12*0.9</f>
        <v>244792.3291956</v>
      </c>
      <c r="C12" s="58">
        <f>('E-Inv AF y Am'!$B$20*0.9*0.01+('E-Inv AF y Am'!$B$12+'E-Inv AF y Am'!$B$14)*0.016)*0.9+$E$7*0.015+($E$8+$E$11)*0.03</f>
        <v>271991.476884</v>
      </c>
      <c r="D12" s="58">
        <f>('E-Inv AF y Am'!$B$20*0.9*0.01+('E-Inv AF y Am'!$B$12+'E-Inv AF y Am'!$B$14)*0.016)*0.9+$E$7*0.015+($E$8+$E$11)*0.03</f>
        <v>271991.476884</v>
      </c>
      <c r="E12" s="58">
        <f>'E-Inv AF y Am'!$B$20*0.9*0.01+('E-Inv AF y Am'!$B$12+'E-Inv AF y Am'!$B$14)*0.016+$E$7*0.015+($E$8+$E$11)*0.03</f>
        <v>282244.51198399998</v>
      </c>
      <c r="F12" s="58">
        <f>'E-Inv AF y Am'!$B$20*0.9*0.01+('E-Inv AF y Am'!$B$12+'E-Inv AF y Am'!$B$14)*0.016+$E$7*0.015+($E$8+$E$11)*0.03</f>
        <v>282244.51198399998</v>
      </c>
    </row>
    <row r="13" spans="1:6" x14ac:dyDescent="0.2">
      <c r="A13" s="27" t="s">
        <v>104</v>
      </c>
      <c r="B13" s="58">
        <f>C13*0.95</f>
        <v>39553.817282999997</v>
      </c>
      <c r="C13" s="58">
        <f>Auxiliar!$F$73</f>
        <v>41635.597139999998</v>
      </c>
      <c r="D13" s="58">
        <f>Auxiliar!$F$73</f>
        <v>41635.597139999998</v>
      </c>
      <c r="E13" s="58">
        <f>Auxiliar!$F$73</f>
        <v>41635.597139999998</v>
      </c>
      <c r="F13" s="58">
        <f>Auxiliar!$F$73</f>
        <v>41635.597139999998</v>
      </c>
    </row>
    <row r="14" spans="1:6" x14ac:dyDescent="0.2">
      <c r="A14" s="27" t="s">
        <v>105</v>
      </c>
      <c r="B14" s="58">
        <f>C14*0.5</f>
        <v>15285.8</v>
      </c>
      <c r="C14" s="58">
        <f>Auxiliar!$F$76</f>
        <v>30571.599999999999</v>
      </c>
      <c r="D14" s="58">
        <f>Auxiliar!$F$76</f>
        <v>30571.599999999999</v>
      </c>
      <c r="E14" s="58">
        <f>Auxiliar!$F$76</f>
        <v>30571.599999999999</v>
      </c>
      <c r="F14" s="58">
        <f>Auxiliar!$F$76</f>
        <v>30571.599999999999</v>
      </c>
    </row>
    <row r="15" spans="1:6" x14ac:dyDescent="0.2">
      <c r="A15" s="27" t="s">
        <v>106</v>
      </c>
      <c r="B15" s="58">
        <f>('E-Inv AF y Am'!$B$7+'E-Inv AF y Am'!$B$8)*0.008*0.9+('E-Inv AF y Am'!$B$7+'E-Inv AF y Am'!$B$8)*0.01*0.9+'E-Inv AF y Am'!$B$15*0.03</f>
        <v>167625.60000000001</v>
      </c>
      <c r="C15" s="58">
        <f>('E-Inv AF y Am'!$B$7+'E-Inv AF y Am'!$B$8)*0.008*0.9+('E-Inv AF y Am'!$B$7+'E-Inv AF y Am'!$B$8)*0.01*0.9+'E-Inv AF y Am'!$B$15*0.03</f>
        <v>167625.60000000001</v>
      </c>
      <c r="D15" s="58">
        <f>('E-Inv AF y Am'!$B$7+'E-Inv AF y Am'!$B$8)*0.008*0.9+('E-Inv AF y Am'!$B$7+'E-Inv AF y Am'!$B$8)*0.01*0.9+'E-Inv AF y Am'!$B$15*0.03</f>
        <v>167625.60000000001</v>
      </c>
      <c r="E15" s="58">
        <f>('E-Inv AF y Am'!$B$7+'E-Inv AF y Am'!$B$8)*0.008*0.9+('E-Inv AF y Am'!$B$7+'E-Inv AF y Am'!$B$8)*0.01*0.9+'E-Inv AF y Am'!$B$15*0.03</f>
        <v>167625.60000000001</v>
      </c>
      <c r="F15" s="58">
        <f>('E-Inv AF y Am'!$B$7+'E-Inv AF y Am'!$B$8)*0.008*0.9+('E-Inv AF y Am'!$B$7+'E-Inv AF y Am'!$B$8)*0.01*0.9+'E-Inv AF y Am'!$B$15*0.03</f>
        <v>167625.60000000001</v>
      </c>
    </row>
    <row r="16" spans="1:6" x14ac:dyDescent="0.2">
      <c r="A16" s="27" t="s">
        <v>21</v>
      </c>
      <c r="B16" s="58">
        <f>SUM(B7:B15)*0.08</f>
        <v>628129.83408628788</v>
      </c>
      <c r="C16" s="58">
        <f>SUM(C7:C15)*0.08</f>
        <v>981553.60876991984</v>
      </c>
      <c r="D16" s="58">
        <f>SUM(D7:D15)*0.08</f>
        <v>981553.60876991984</v>
      </c>
      <c r="E16" s="58">
        <f>SUM(E7:E15)*0.08</f>
        <v>982350.69157791988</v>
      </c>
      <c r="F16" s="58">
        <f>SUM(F7:F15)*0.08</f>
        <v>982350.69157791988</v>
      </c>
    </row>
    <row r="17" spans="1:10" x14ac:dyDescent="0.2">
      <c r="A17" s="25" t="s">
        <v>107</v>
      </c>
      <c r="B17" s="256">
        <f>SUM($B$7:$B$16)</f>
        <v>8479752.7601648867</v>
      </c>
      <c r="C17" s="256">
        <f>SUM($C$7:$C$16)</f>
        <v>13250973.718393918</v>
      </c>
      <c r="D17" s="256">
        <f>SUM($D$7:$D$16)</f>
        <v>13250973.718393918</v>
      </c>
      <c r="E17" s="256">
        <f>SUM($E$7:$E$16)</f>
        <v>13261734.336301919</v>
      </c>
      <c r="F17" s="256">
        <f>SUM($F$7:$F$16)</f>
        <v>13261734.336301919</v>
      </c>
    </row>
    <row r="18" spans="1:10" x14ac:dyDescent="0.2">
      <c r="A18" s="60"/>
      <c r="B18" s="61"/>
      <c r="C18" s="61"/>
      <c r="D18" s="61"/>
      <c r="E18" s="61"/>
      <c r="F18" s="62"/>
    </row>
    <row r="19" spans="1:10" x14ac:dyDescent="0.2">
      <c r="A19" s="63" t="s">
        <v>108</v>
      </c>
      <c r="B19" s="258">
        <f>((B11+B15)/B17*100)/100</f>
        <v>6.548016383312609E-2</v>
      </c>
      <c r="C19" s="258">
        <f t="shared" ref="C19:F19" si="0">((C11+C15)/C17*100)/100</f>
        <v>4.5153330820470447E-2</v>
      </c>
      <c r="D19" s="258">
        <f t="shared" si="0"/>
        <v>4.5153330820470447E-2</v>
      </c>
      <c r="E19" s="258">
        <f t="shared" si="0"/>
        <v>4.5116693248949916E-2</v>
      </c>
      <c r="F19" s="258">
        <f t="shared" si="0"/>
        <v>4.5116693248949916E-2</v>
      </c>
    </row>
    <row r="20" spans="1:10" x14ac:dyDescent="0.2">
      <c r="A20" s="34" t="s">
        <v>109</v>
      </c>
      <c r="B20" s="257">
        <f>((B7+B8+B10+B12+B13+B14+B16)/B17*100)/100</f>
        <v>0.93451983616687395</v>
      </c>
      <c r="C20" s="257">
        <f t="shared" ref="C20:F20" si="1">((C7+C8+C10+C12+C13+C14+C16)/C17*100)/100</f>
        <v>0.95484666917952954</v>
      </c>
      <c r="D20" s="257">
        <f t="shared" si="1"/>
        <v>0.95484666917952954</v>
      </c>
      <c r="E20" s="257">
        <f t="shared" si="1"/>
        <v>0.95488330675105015</v>
      </c>
      <c r="F20" s="257">
        <f t="shared" si="1"/>
        <v>0.95488330675105015</v>
      </c>
    </row>
    <row r="22" spans="1:10" ht="13.5" thickTop="1" x14ac:dyDescent="0.2">
      <c r="A22" s="66"/>
      <c r="B22" s="18" t="s">
        <v>110</v>
      </c>
      <c r="C22" s="18"/>
      <c r="D22" s="18"/>
      <c r="E22" s="18"/>
      <c r="F22" s="18"/>
      <c r="G22" s="19"/>
    </row>
    <row r="23" spans="1:10" ht="14.25" x14ac:dyDescent="0.2">
      <c r="A23" s="53"/>
      <c r="B23" s="54" t="s">
        <v>111</v>
      </c>
      <c r="C23" s="54"/>
      <c r="D23" s="54"/>
      <c r="E23" s="54"/>
      <c r="F23" s="54"/>
      <c r="G23" s="55" t="s">
        <v>112</v>
      </c>
      <c r="I23" s="255"/>
    </row>
    <row r="24" spans="1:10" ht="13.5" thickBot="1" x14ac:dyDescent="0.25">
      <c r="A24" s="53" t="s">
        <v>93</v>
      </c>
      <c r="B24" s="67" t="s">
        <v>54</v>
      </c>
      <c r="C24" s="67" t="s">
        <v>94</v>
      </c>
      <c r="D24" s="67" t="s">
        <v>95</v>
      </c>
      <c r="E24" s="67" t="s">
        <v>96</v>
      </c>
      <c r="F24" s="67" t="s">
        <v>97</v>
      </c>
      <c r="G24" s="68" t="s">
        <v>54</v>
      </c>
    </row>
    <row r="25" spans="1:10" ht="15" thickTop="1" x14ac:dyDescent="0.2">
      <c r="A25" s="23" t="s">
        <v>98</v>
      </c>
      <c r="B25" s="56">
        <f>1341.8*Auxiliar!$B$77</f>
        <v>115942.25439999999</v>
      </c>
      <c r="C25" s="56">
        <f>1341.8*Auxiliar!$B$77</f>
        <v>115942.25439999999</v>
      </c>
      <c r="D25" s="56">
        <f>1341.8*Auxiliar!$B$77</f>
        <v>115942.25439999999</v>
      </c>
      <c r="E25" s="56">
        <f>1341.8*Auxiliar!$B$77</f>
        <v>115942.25439999999</v>
      </c>
      <c r="F25" s="56">
        <f>1341.8*Auxiliar!$B$77</f>
        <v>115942.25439999999</v>
      </c>
      <c r="G25" s="57">
        <f>32643*1.436</f>
        <v>46875.347999999998</v>
      </c>
      <c r="H25" s="16" t="s">
        <v>445</v>
      </c>
      <c r="I25" s="255" t="s">
        <v>447</v>
      </c>
      <c r="J25" s="259"/>
    </row>
    <row r="26" spans="1:10" x14ac:dyDescent="0.2">
      <c r="A26" s="27" t="s">
        <v>99</v>
      </c>
      <c r="B26" s="58">
        <f>((1341.8/1.1436)*($C$8/115862))/2</f>
        <v>270.89214135408486</v>
      </c>
      <c r="C26" s="58">
        <f>((1341.8/1.1436)*($C$8/115862))/2</f>
        <v>270.89214135408486</v>
      </c>
      <c r="D26" s="58">
        <f>((1341.8/1.1436)*($C$8/115862))/2</f>
        <v>270.89214135408486</v>
      </c>
      <c r="E26" s="58">
        <f>((1341.8/1.1436)*($C$8/115862))/2</f>
        <v>270.89214135408486</v>
      </c>
      <c r="F26" s="58">
        <f>((1341.8/1.1436)*($C$8/115862))/2</f>
        <v>270.89214135408486</v>
      </c>
      <c r="G26" s="58">
        <f t="shared" ref="G26" si="2">((1341.8/1.1436)*($C$8/115862))/2</f>
        <v>270.89214135408486</v>
      </c>
      <c r="I26" s="16" t="s">
        <v>448</v>
      </c>
    </row>
    <row r="27" spans="1:10" x14ac:dyDescent="0.2">
      <c r="A27" s="27" t="s">
        <v>100</v>
      </c>
      <c r="B27" s="28"/>
      <c r="C27" s="28"/>
      <c r="D27" s="28"/>
      <c r="E27" s="28"/>
      <c r="F27" s="28"/>
      <c r="G27" s="41"/>
      <c r="I27" s="16" t="s">
        <v>449</v>
      </c>
    </row>
    <row r="28" spans="1:10" ht="14.25" x14ac:dyDescent="0.2">
      <c r="A28" s="27" t="s">
        <v>101</v>
      </c>
      <c r="B28" s="58">
        <f>(B10/Auxiliar!F104)*((1341.8/1.1436)/2)</f>
        <v>1761.0539056074649</v>
      </c>
      <c r="C28" s="58">
        <f>($C$10/InfoInicial!B19)*((1341.8/1.1436)/2)</f>
        <v>1320.798028996322</v>
      </c>
      <c r="D28" s="58">
        <f>($C$10/InfoInicial!B19)*((1341.8/1.1436)/2)</f>
        <v>1320.798028996322</v>
      </c>
      <c r="E28" s="58">
        <f>($E$10/InfoInicial!B19)*((1341.8/1.1436)/2)</f>
        <v>1319.3321733903035</v>
      </c>
      <c r="F28" s="58">
        <f>($E$10/InfoInicial!B19)*((1341.8/1.1436)/2)</f>
        <v>1319.3321733903035</v>
      </c>
      <c r="G28" s="59"/>
      <c r="I28" s="260"/>
      <c r="J28" s="255"/>
    </row>
    <row r="29" spans="1:10" x14ac:dyDescent="0.2">
      <c r="A29" s="27" t="s">
        <v>102</v>
      </c>
      <c r="B29" s="58">
        <f>Auxiliar!B106</f>
        <v>118639.74591814814</v>
      </c>
      <c r="C29" s="58">
        <f>Auxiliar!$B$105</f>
        <v>98867.0238065718</v>
      </c>
      <c r="D29" s="58">
        <f>Auxiliar!$B$105</f>
        <v>98867.0238065718</v>
      </c>
      <c r="E29" s="58">
        <f>Auxiliar!$B$105</f>
        <v>98867.0238065718</v>
      </c>
      <c r="F29" s="58">
        <f>Auxiliar!$B$105</f>
        <v>98867.0238065718</v>
      </c>
      <c r="G29" s="59"/>
      <c r="I29" s="16" t="s">
        <v>474</v>
      </c>
    </row>
    <row r="30" spans="1:10" x14ac:dyDescent="0.2">
      <c r="A30" s="27" t="s">
        <v>103</v>
      </c>
      <c r="B30" s="58">
        <f>((C12/InfoInicial!B19)*Auxiliar!F102/2)</f>
        <v>1377.2028710872305</v>
      </c>
      <c r="C30" s="58">
        <f>(($C$12/InfoInicial!B19)*Auxiliar!F102/2)</f>
        <v>1377.2028710872305</v>
      </c>
      <c r="D30" s="58">
        <f>(($C$12/InfoInicial!B19)*Auxiliar!F102/2)</f>
        <v>1377.2028710872305</v>
      </c>
      <c r="E30" s="58">
        <f>(($E$12/InfoInicial!B19)*Auxiliar!F102/2)</f>
        <v>1429.1181352669987</v>
      </c>
      <c r="F30" s="58">
        <f>(($E$12/InfoInicial!B19)*Auxiliar!F102/2)</f>
        <v>1429.1181352669987</v>
      </c>
      <c r="G30" s="59">
        <f>Auxiliar!B114</f>
        <v>39420.344888071595</v>
      </c>
    </row>
    <row r="31" spans="1:10" x14ac:dyDescent="0.2">
      <c r="A31" s="27" t="s">
        <v>113</v>
      </c>
      <c r="B31" s="58">
        <f>C31*1.1</f>
        <v>231.89965742788178</v>
      </c>
      <c r="C31" s="58">
        <f>(($C$13/InfoInicial!$B$19)*Auxiliar!$F$102)/2</f>
        <v>210.81787038898341</v>
      </c>
      <c r="D31" s="58">
        <f>(($C$13/InfoInicial!$B$19)*Auxiliar!$F$102)/2</f>
        <v>210.81787038898341</v>
      </c>
      <c r="E31" s="58">
        <f>(($C$13/InfoInicial!$B$19)*Auxiliar!$F$102)/2</f>
        <v>210.81787038898341</v>
      </c>
      <c r="F31" s="58">
        <f>(($C$13/InfoInicial!$B$19)*Auxiliar!$F$102)/2</f>
        <v>210.81787038898341</v>
      </c>
      <c r="G31" s="59">
        <f>B31*8</f>
        <v>1855.1972594230542</v>
      </c>
    </row>
    <row r="32" spans="1:10" x14ac:dyDescent="0.2">
      <c r="A32" s="27" t="s">
        <v>114</v>
      </c>
      <c r="B32" s="58">
        <f>Auxiliar!$E$79</f>
        <v>154.79637735739328</v>
      </c>
      <c r="C32" s="58">
        <f>Auxiliar!$E$79</f>
        <v>154.79637735739328</v>
      </c>
      <c r="D32" s="58">
        <f>Auxiliar!$E$79</f>
        <v>154.79637735739328</v>
      </c>
      <c r="E32" s="58">
        <f>Auxiliar!$E$79</f>
        <v>154.79637735739328</v>
      </c>
      <c r="F32" s="58">
        <f>Auxiliar!$E$79</f>
        <v>154.79637735739328</v>
      </c>
      <c r="G32" s="59">
        <f>Auxiliar!E80</f>
        <v>5959.3916915521704</v>
      </c>
    </row>
    <row r="33" spans="1:7" x14ac:dyDescent="0.2">
      <c r="A33" s="27" t="s">
        <v>115</v>
      </c>
      <c r="B33" s="58">
        <f>Auxiliar!B118</f>
        <v>1124.0795981307426</v>
      </c>
      <c r="C33" s="58">
        <f>Auxiliar!$B$117</f>
        <v>848.7562192479121</v>
      </c>
      <c r="D33" s="58">
        <f>Auxiliar!$B$117</f>
        <v>848.7562192479121</v>
      </c>
      <c r="E33" s="58">
        <f>Auxiliar!$B$117</f>
        <v>848.7562192479121</v>
      </c>
      <c r="F33" s="58">
        <f>Auxiliar!$B$117</f>
        <v>848.7562192479121</v>
      </c>
      <c r="G33" s="59"/>
    </row>
    <row r="34" spans="1:7" x14ac:dyDescent="0.2">
      <c r="A34" s="27" t="s">
        <v>116</v>
      </c>
      <c r="B34" s="58">
        <f>SUM(B25:B33)*0.08</f>
        <v>19160.153989529033</v>
      </c>
      <c r="C34" s="58">
        <f>SUM(C25:C33)*0.08</f>
        <v>17519.403337200296</v>
      </c>
      <c r="D34" s="58">
        <f>SUM(D25:D33)*0.08</f>
        <v>17519.403337200296</v>
      </c>
      <c r="E34" s="58">
        <f>SUM(E25:E33)*0.08</f>
        <v>17523.439289886195</v>
      </c>
      <c r="F34" s="58">
        <f>SUM(F25:F33)*0.08</f>
        <v>17523.439289886195</v>
      </c>
      <c r="G34" s="59"/>
    </row>
    <row r="35" spans="1:7" x14ac:dyDescent="0.2">
      <c r="A35" s="34" t="s">
        <v>117</v>
      </c>
      <c r="B35" s="64">
        <f>SUM($B$25:$B$34)</f>
        <v>258662.07885864197</v>
      </c>
      <c r="C35" s="64">
        <f>SUM($C$25:$C$34)</f>
        <v>236511.94505220398</v>
      </c>
      <c r="D35" s="64">
        <f>SUM($D$25:$D$34)</f>
        <v>236511.94505220398</v>
      </c>
      <c r="E35" s="64">
        <f>SUM($E$25:$E$34)</f>
        <v>236566.43041346362</v>
      </c>
      <c r="F35" s="64">
        <f>SUM($F$25:$F$34)</f>
        <v>236566.43041346362</v>
      </c>
      <c r="G35" s="64">
        <f>SUM(G25:G34)</f>
        <v>94381.173980400912</v>
      </c>
    </row>
    <row r="36" spans="1:7" x14ac:dyDescent="0.2">
      <c r="A36" s="69"/>
      <c r="B36" s="70"/>
      <c r="C36" s="70"/>
      <c r="D36" s="70"/>
      <c r="E36" s="70"/>
      <c r="F36" s="70"/>
      <c r="G36" s="70"/>
    </row>
    <row r="37" spans="1:7" x14ac:dyDescent="0.2">
      <c r="A37" s="35"/>
      <c r="B37" s="71" t="s">
        <v>118</v>
      </c>
      <c r="C37" s="71"/>
      <c r="D37" s="71"/>
      <c r="E37" s="71"/>
      <c r="F37" s="72"/>
    </row>
    <row r="38" spans="1:7" ht="13.5" thickBot="1" x14ac:dyDescent="0.25">
      <c r="A38" s="34"/>
      <c r="B38" s="67" t="s">
        <v>54</v>
      </c>
      <c r="C38" s="67" t="s">
        <v>94</v>
      </c>
      <c r="D38" s="67" t="s">
        <v>95</v>
      </c>
      <c r="E38" s="67" t="s">
        <v>96</v>
      </c>
      <c r="F38" s="22" t="s">
        <v>97</v>
      </c>
      <c r="G38" s="70"/>
    </row>
    <row r="39" spans="1:7" ht="13.5" thickTop="1" x14ac:dyDescent="0.2">
      <c r="A39" s="38" t="s">
        <v>107</v>
      </c>
      <c r="B39" s="256">
        <f>SUM($B$7:$B$16)</f>
        <v>8479752.7601648867</v>
      </c>
      <c r="C39" s="256">
        <f>SUM($C$7:$C$16)</f>
        <v>13250973.718393918</v>
      </c>
      <c r="D39" s="256">
        <f>SUM($D$7:$D$16)</f>
        <v>13250973.718393918</v>
      </c>
      <c r="E39" s="256">
        <f>SUM($E$7:$E$16)</f>
        <v>13261734.336301919</v>
      </c>
      <c r="F39" s="256">
        <f>SUM($F$7:$F$16)</f>
        <v>13261734.336301919</v>
      </c>
      <c r="G39" s="70"/>
    </row>
    <row r="40" spans="1:7" x14ac:dyDescent="0.2">
      <c r="A40" s="27" t="s">
        <v>119</v>
      </c>
      <c r="B40" s="58"/>
      <c r="C40" s="58"/>
      <c r="D40" s="58"/>
      <c r="E40" s="58"/>
      <c r="F40" s="41"/>
      <c r="G40" s="70"/>
    </row>
    <row r="41" spans="1:7" x14ac:dyDescent="0.2">
      <c r="A41" s="27" t="s">
        <v>120</v>
      </c>
      <c r="B41" s="58">
        <f>G35</f>
        <v>94381.173980400912</v>
      </c>
      <c r="C41" s="58"/>
      <c r="D41" s="58"/>
      <c r="E41" s="58"/>
      <c r="F41" s="41"/>
      <c r="G41" s="70"/>
    </row>
    <row r="42" spans="1:7" x14ac:dyDescent="0.2">
      <c r="A42" s="27" t="s">
        <v>121</v>
      </c>
      <c r="B42" s="58">
        <f>B35-0</f>
        <v>258662.07885864197</v>
      </c>
      <c r="C42" s="58">
        <f>C35-B35</f>
        <v>-22150.133806437982</v>
      </c>
      <c r="D42" s="58">
        <f>D35-C35</f>
        <v>0</v>
      </c>
      <c r="E42" s="58">
        <f>E35-D35</f>
        <v>54.485361259634374</v>
      </c>
      <c r="F42" s="59">
        <f>F35-E35</f>
        <v>0</v>
      </c>
      <c r="G42" s="70"/>
    </row>
    <row r="43" spans="1:7" x14ac:dyDescent="0.2">
      <c r="A43" s="25" t="s">
        <v>122</v>
      </c>
      <c r="B43" s="58">
        <f>B39-B41-B42</f>
        <v>8126709.5073258439</v>
      </c>
      <c r="C43" s="58">
        <f>C39-C42</f>
        <v>13273123.852200355</v>
      </c>
      <c r="D43" s="58">
        <f t="shared" ref="D43:F43" si="3">D39-D42</f>
        <v>13250973.718393918</v>
      </c>
      <c r="E43" s="58">
        <f t="shared" si="3"/>
        <v>13261679.85094066</v>
      </c>
      <c r="F43" s="58">
        <f t="shared" si="3"/>
        <v>13261734.336301919</v>
      </c>
      <c r="G43" s="70"/>
    </row>
    <row r="44" spans="1:7" x14ac:dyDescent="0.2">
      <c r="A44" s="63" t="s">
        <v>123</v>
      </c>
      <c r="B44" s="73">
        <f>B43/Auxiliar!F104</f>
        <v>93.521174578246018</v>
      </c>
      <c r="C44" s="73">
        <f>C43/InfoInicial!$B$19</f>
        <v>114.55976810516265</v>
      </c>
      <c r="D44" s="73">
        <f>D43/InfoInicial!$B$19</f>
        <v>114.36859124125182</v>
      </c>
      <c r="E44" s="73">
        <f>E43/InfoInicial!$B$19</f>
        <v>114.46099541644939</v>
      </c>
      <c r="F44" s="73">
        <f>F43/InfoInicial!$B$19</f>
        <v>114.4614656772878</v>
      </c>
      <c r="G44" s="70"/>
    </row>
    <row r="45" spans="1:7" x14ac:dyDescent="0.2">
      <c r="A45" s="63"/>
      <c r="B45" s="73"/>
      <c r="C45" s="73"/>
      <c r="D45" s="73"/>
      <c r="E45" s="73"/>
      <c r="F45" s="74"/>
      <c r="G45" s="70"/>
    </row>
    <row r="46" spans="1:7" x14ac:dyDescent="0.2">
      <c r="A46" s="63" t="s">
        <v>108</v>
      </c>
      <c r="B46" s="75">
        <f>((B29+B33)/B35*100)/100</f>
        <v>0.46301269225370084</v>
      </c>
      <c r="C46" s="75">
        <f t="shared" ref="C46:F46" si="4">((C29+C33)/C35*100)/100</f>
        <v>0.42160991066988179</v>
      </c>
      <c r="D46" s="75">
        <f t="shared" si="4"/>
        <v>0.42160991066988179</v>
      </c>
      <c r="E46" s="75">
        <f t="shared" si="4"/>
        <v>0.42151280657842916</v>
      </c>
      <c r="F46" s="75">
        <f t="shared" si="4"/>
        <v>0.42151280657842916</v>
      </c>
      <c r="G46" s="70"/>
    </row>
    <row r="47" spans="1:7" x14ac:dyDescent="0.2">
      <c r="A47" s="34" t="s">
        <v>109</v>
      </c>
      <c r="B47" s="76">
        <f>((B25+B26+B28+B30+B31+B32+B34)/B35*100)/100</f>
        <v>0.5369873077462991</v>
      </c>
      <c r="C47" s="76">
        <f t="shared" ref="C47:F47" si="5">((C25+C26+C28+C30+C31+C32+C34)/C35*100)/100</f>
        <v>0.57839008933011826</v>
      </c>
      <c r="D47" s="76">
        <f t="shared" si="5"/>
        <v>0.57839008933011826</v>
      </c>
      <c r="E47" s="76">
        <f t="shared" si="5"/>
        <v>0.57848719342157096</v>
      </c>
      <c r="F47" s="76">
        <f t="shared" si="5"/>
        <v>0.57848719342157096</v>
      </c>
      <c r="G47" s="70"/>
    </row>
    <row r="50" spans="1:7" x14ac:dyDescent="0.2">
      <c r="A50" s="33"/>
      <c r="B50" s="18" t="s">
        <v>124</v>
      </c>
      <c r="C50" s="18"/>
      <c r="D50" s="18"/>
      <c r="E50" s="18"/>
      <c r="F50" s="19"/>
    </row>
    <row r="51" spans="1:7" x14ac:dyDescent="0.2">
      <c r="A51" s="78" t="s">
        <v>93</v>
      </c>
      <c r="B51" s="21" t="s">
        <v>54</v>
      </c>
      <c r="C51" s="21" t="s">
        <v>94</v>
      </c>
      <c r="D51" s="21" t="s">
        <v>95</v>
      </c>
      <c r="E51" s="21" t="s">
        <v>96</v>
      </c>
      <c r="F51" s="22" t="s">
        <v>97</v>
      </c>
    </row>
    <row r="52" spans="1:7" x14ac:dyDescent="0.2">
      <c r="A52" s="66" t="s">
        <v>125</v>
      </c>
      <c r="B52" s="79">
        <f>Auxiliar!$E$90+Auxiliar!$E$91/2</f>
        <v>1320000</v>
      </c>
      <c r="C52" s="79">
        <f>Auxiliar!$E$90+Auxiliar!$E$91/2</f>
        <v>1320000</v>
      </c>
      <c r="D52" s="79">
        <f>Auxiliar!$E$90+Auxiliar!$E$91/2</f>
        <v>1320000</v>
      </c>
      <c r="E52" s="79">
        <f>Auxiliar!$E$90+Auxiliar!$E$91/2</f>
        <v>1320000</v>
      </c>
      <c r="F52" s="79">
        <f>Auxiliar!$E$90+Auxiliar!$E$91/2</f>
        <v>1320000</v>
      </c>
    </row>
    <row r="53" spans="1:7" x14ac:dyDescent="0.2">
      <c r="A53" s="27" t="s">
        <v>126</v>
      </c>
      <c r="B53" s="58">
        <f>'E-Inv AF y Am'!$D$56*0.06</f>
        <v>17390.117999999999</v>
      </c>
      <c r="C53" s="58">
        <f>'E-Inv AF y Am'!$D$56*0.06</f>
        <v>17390.117999999999</v>
      </c>
      <c r="D53" s="58">
        <f>'E-Inv AF y Am'!$D$56*0.06</f>
        <v>17390.117999999999</v>
      </c>
      <c r="E53" s="58">
        <f>'E-Inv AF y Am'!$E$56*0.06</f>
        <v>17370.817999999999</v>
      </c>
      <c r="F53" s="58">
        <f>'E-Inv AF y Am'!$E$56*0.06</f>
        <v>17370.817999999999</v>
      </c>
    </row>
    <row r="54" spans="1:7" x14ac:dyDescent="0.2">
      <c r="A54" s="27" t="s">
        <v>103</v>
      </c>
      <c r="B54" s="58">
        <f>Auxiliar!$B$126*0.9</f>
        <v>4563</v>
      </c>
      <c r="C54" s="58">
        <f>Auxiliar!$B$126</f>
        <v>5070</v>
      </c>
      <c r="D54" s="58">
        <f>Auxiliar!$B$126</f>
        <v>5070</v>
      </c>
      <c r="E54" s="58">
        <f>Auxiliar!$B$126</f>
        <v>5070</v>
      </c>
      <c r="F54" s="58">
        <f>Auxiliar!$B$126</f>
        <v>5070</v>
      </c>
    </row>
    <row r="55" spans="1:7" x14ac:dyDescent="0.2">
      <c r="A55" s="27" t="s">
        <v>127</v>
      </c>
      <c r="B55" s="58">
        <f>C55*0.95</f>
        <v>1977.6908641499999</v>
      </c>
      <c r="C55" s="58">
        <f>Auxiliar!$B$128</f>
        <v>2081.779857</v>
      </c>
      <c r="D55" s="58">
        <f>Auxiliar!$B$128</f>
        <v>2081.779857</v>
      </c>
      <c r="E55" s="58">
        <f>Auxiliar!$B$128</f>
        <v>2081.779857</v>
      </c>
      <c r="F55" s="58">
        <f>Auxiliar!$B$128</f>
        <v>2081.779857</v>
      </c>
    </row>
    <row r="56" spans="1:7" x14ac:dyDescent="0.2">
      <c r="A56" s="27" t="s">
        <v>128</v>
      </c>
      <c r="B56" s="58">
        <v>0</v>
      </c>
      <c r="C56" s="58">
        <v>0</v>
      </c>
      <c r="D56" s="58">
        <v>0</v>
      </c>
      <c r="E56" s="58">
        <v>0</v>
      </c>
      <c r="F56" s="59">
        <v>0</v>
      </c>
    </row>
    <row r="57" spans="1:7" x14ac:dyDescent="0.2">
      <c r="A57" s="27" t="s">
        <v>129</v>
      </c>
      <c r="B57" s="58">
        <v>0</v>
      </c>
      <c r="C57" s="58">
        <v>0</v>
      </c>
      <c r="D57" s="58">
        <v>0</v>
      </c>
      <c r="E57" s="58">
        <v>0</v>
      </c>
      <c r="F57" s="59">
        <v>0</v>
      </c>
    </row>
    <row r="58" spans="1:7" x14ac:dyDescent="0.2">
      <c r="A58" s="27" t="s">
        <v>106</v>
      </c>
      <c r="B58" s="58">
        <f>B15*0.05/0.9</f>
        <v>9312.5333333333347</v>
      </c>
      <c r="C58" s="58">
        <f t="shared" ref="C58:F58" si="6">C15*0.05/0.9</f>
        <v>9312.5333333333347</v>
      </c>
      <c r="D58" s="58">
        <f t="shared" si="6"/>
        <v>9312.5333333333347</v>
      </c>
      <c r="E58" s="58">
        <f t="shared" si="6"/>
        <v>9312.5333333333347</v>
      </c>
      <c r="F58" s="58">
        <f t="shared" si="6"/>
        <v>9312.5333333333347</v>
      </c>
    </row>
    <row r="59" spans="1:7" x14ac:dyDescent="0.2">
      <c r="A59" s="27" t="s">
        <v>21</v>
      </c>
      <c r="B59" s="58">
        <f>SUM(B52:B58)*0.08</f>
        <v>108259.46737579867</v>
      </c>
      <c r="C59" s="58">
        <f>SUM(C52:C58)*0.08</f>
        <v>108308.35449522668</v>
      </c>
      <c r="D59" s="58">
        <f>SUM(D52:D58)*0.08</f>
        <v>108308.35449522668</v>
      </c>
      <c r="E59" s="58">
        <f>SUM(E52:E58)*0.08</f>
        <v>108306.81049522669</v>
      </c>
      <c r="F59" s="58">
        <f>SUM(F52:F58)*0.08</f>
        <v>108306.81049522669</v>
      </c>
    </row>
    <row r="60" spans="1:7" x14ac:dyDescent="0.2">
      <c r="A60" s="27"/>
      <c r="B60" s="43"/>
      <c r="C60" s="43"/>
      <c r="D60" s="43"/>
      <c r="E60" s="43"/>
      <c r="F60" s="45"/>
    </row>
    <row r="61" spans="1:7" x14ac:dyDescent="0.2">
      <c r="A61" s="25" t="s">
        <v>130</v>
      </c>
      <c r="B61" s="58">
        <f>SUM(B52:B59)</f>
        <v>1461502.809573282</v>
      </c>
      <c r="C61" s="58">
        <f t="shared" ref="C61:F61" si="7">SUM(C52:C59)</f>
        <v>1462162.7856855602</v>
      </c>
      <c r="D61" s="58">
        <f t="shared" si="7"/>
        <v>1462162.7856855602</v>
      </c>
      <c r="E61" s="58">
        <f t="shared" si="7"/>
        <v>1462141.9416855602</v>
      </c>
      <c r="F61" s="58">
        <f t="shared" si="7"/>
        <v>1462141.9416855602</v>
      </c>
    </row>
    <row r="62" spans="1:7" x14ac:dyDescent="0.2">
      <c r="A62" s="25"/>
      <c r="B62" s="81"/>
      <c r="C62" s="81"/>
      <c r="D62" s="81"/>
      <c r="E62" s="81"/>
      <c r="F62" s="82"/>
      <c r="G62" s="70"/>
    </row>
    <row r="63" spans="1:7" x14ac:dyDescent="0.2">
      <c r="A63" s="63" t="s">
        <v>108</v>
      </c>
      <c r="B63" s="83">
        <f>((B52+B58)/B61*100)/100</f>
        <v>0.90955181517677375</v>
      </c>
      <c r="C63" s="83">
        <f t="shared" ref="C63:F63" si="8">((C52+C58)/C61*100)/100</f>
        <v>0.90914127096324804</v>
      </c>
      <c r="D63" s="83">
        <f t="shared" si="8"/>
        <v>0.90914127096324804</v>
      </c>
      <c r="E63" s="83">
        <f t="shared" si="8"/>
        <v>0.90915423149745589</v>
      </c>
      <c r="F63" s="83">
        <f t="shared" si="8"/>
        <v>0.90915423149745589</v>
      </c>
      <c r="G63" s="70"/>
    </row>
    <row r="64" spans="1:7" x14ac:dyDescent="0.2">
      <c r="A64" s="34" t="s">
        <v>109</v>
      </c>
      <c r="B64" s="76">
        <f>((B53+B54+B55+B59)/B61*100)/100</f>
        <v>9.044818482322628E-2</v>
      </c>
      <c r="C64" s="76">
        <f t="shared" ref="C64:F64" si="9">((C53+C54+C55+C59)/C61*100)/100</f>
        <v>9.0858729036751906E-2</v>
      </c>
      <c r="D64" s="76">
        <f t="shared" si="9"/>
        <v>9.0858729036751906E-2</v>
      </c>
      <c r="E64" s="76">
        <f t="shared" si="9"/>
        <v>9.0845768502544069E-2</v>
      </c>
      <c r="F64" s="76">
        <f t="shared" si="9"/>
        <v>9.0845768502544069E-2</v>
      </c>
      <c r="G64" s="70"/>
    </row>
    <row r="67" spans="1:6" x14ac:dyDescent="0.2">
      <c r="A67" s="33"/>
      <c r="B67" s="18" t="s">
        <v>131</v>
      </c>
      <c r="C67" s="18"/>
      <c r="D67" s="18"/>
      <c r="E67" s="18"/>
      <c r="F67" s="19"/>
    </row>
    <row r="68" spans="1:6" x14ac:dyDescent="0.2">
      <c r="A68" s="78" t="s">
        <v>93</v>
      </c>
      <c r="B68" s="21" t="s">
        <v>54</v>
      </c>
      <c r="C68" s="21" t="s">
        <v>94</v>
      </c>
      <c r="D68" s="21" t="s">
        <v>95</v>
      </c>
      <c r="E68" s="21" t="s">
        <v>96</v>
      </c>
      <c r="F68" s="22" t="s">
        <v>97</v>
      </c>
    </row>
    <row r="69" spans="1:6" x14ac:dyDescent="0.2">
      <c r="A69" s="23" t="s">
        <v>125</v>
      </c>
      <c r="B69" s="56">
        <f>Auxiliar!$E$90+Auxiliar!$E$91/2</f>
        <v>1320000</v>
      </c>
      <c r="C69" s="56">
        <f>Auxiliar!$E$90+Auxiliar!$E$91/2</f>
        <v>1320000</v>
      </c>
      <c r="D69" s="56">
        <f>Auxiliar!$E$90+Auxiliar!$E$91/2</f>
        <v>1320000</v>
      </c>
      <c r="E69" s="56">
        <f>Auxiliar!$E$90+Auxiliar!$E$91/2</f>
        <v>1320000</v>
      </c>
      <c r="F69" s="56">
        <f>Auxiliar!$E$90+Auxiliar!$E$91/2</f>
        <v>1320000</v>
      </c>
    </row>
    <row r="70" spans="1:6" x14ac:dyDescent="0.2">
      <c r="A70" s="27" t="s">
        <v>126</v>
      </c>
      <c r="B70" s="58">
        <f>'E-Inv AF y Am'!$D$56*0.04</f>
        <v>11593.412</v>
      </c>
      <c r="C70" s="58">
        <f>'E-Inv AF y Am'!$D$56*0.04</f>
        <v>11593.412</v>
      </c>
      <c r="D70" s="58">
        <f>'E-Inv AF y Am'!$D$56*0.04</f>
        <v>11593.412</v>
      </c>
      <c r="E70" s="58">
        <f>'E-Inv AF y Am'!$D$56*0.04</f>
        <v>11593.412</v>
      </c>
      <c r="F70" s="58">
        <f>'E-Inv AF y Am'!$D$56*0.04</f>
        <v>11593.412</v>
      </c>
    </row>
    <row r="71" spans="1:6" x14ac:dyDescent="0.2">
      <c r="A71" s="27" t="s">
        <v>103</v>
      </c>
      <c r="B71" s="58">
        <f>Auxiliar!$F$126*0.9</f>
        <v>4563</v>
      </c>
      <c r="C71" s="58">
        <f>Auxiliar!$F$126</f>
        <v>5070</v>
      </c>
      <c r="D71" s="58">
        <f>Auxiliar!$F$126</f>
        <v>5070</v>
      </c>
      <c r="E71" s="58">
        <f>Auxiliar!$F$126</f>
        <v>5070</v>
      </c>
      <c r="F71" s="58">
        <f>Auxiliar!$F$126</f>
        <v>5070</v>
      </c>
    </row>
    <row r="72" spans="1:6" x14ac:dyDescent="0.2">
      <c r="A72" s="27" t="s">
        <v>132</v>
      </c>
      <c r="B72" s="58">
        <f>C72*0.95</f>
        <v>1977.6908641499999</v>
      </c>
      <c r="C72" s="58">
        <f>Auxiliar!$F$128</f>
        <v>2081.779857</v>
      </c>
      <c r="D72" s="58">
        <f>Auxiliar!$F$128</f>
        <v>2081.779857</v>
      </c>
      <c r="E72" s="58">
        <f>Auxiliar!$F$128</f>
        <v>2081.779857</v>
      </c>
      <c r="F72" s="58">
        <f>Auxiliar!$F$128</f>
        <v>2081.779857</v>
      </c>
    </row>
    <row r="73" spans="1:6" x14ac:dyDescent="0.2">
      <c r="A73" s="27" t="s">
        <v>128</v>
      </c>
      <c r="B73" s="58">
        <v>0</v>
      </c>
      <c r="C73" s="58">
        <v>0</v>
      </c>
      <c r="D73" s="58">
        <v>0</v>
      </c>
      <c r="E73" s="58">
        <v>0</v>
      </c>
      <c r="F73" s="59">
        <v>0</v>
      </c>
    </row>
    <row r="74" spans="1:6" x14ac:dyDescent="0.2">
      <c r="A74" s="27" t="s">
        <v>129</v>
      </c>
      <c r="B74" s="58">
        <v>0</v>
      </c>
      <c r="C74" s="58">
        <v>0</v>
      </c>
      <c r="D74" s="58">
        <v>0</v>
      </c>
      <c r="E74" s="58">
        <v>0</v>
      </c>
      <c r="F74" s="59">
        <v>0</v>
      </c>
    </row>
    <row r="75" spans="1:6" x14ac:dyDescent="0.2">
      <c r="A75" s="27" t="s">
        <v>106</v>
      </c>
      <c r="B75" s="58">
        <f>B15*0.05/0.9</f>
        <v>9312.5333333333347</v>
      </c>
      <c r="C75" s="58">
        <f t="shared" ref="C75:F75" si="10">C15*0.05/0.9</f>
        <v>9312.5333333333347</v>
      </c>
      <c r="D75" s="58">
        <f t="shared" si="10"/>
        <v>9312.5333333333347</v>
      </c>
      <c r="E75" s="58">
        <f t="shared" si="10"/>
        <v>9312.5333333333347</v>
      </c>
      <c r="F75" s="58">
        <f t="shared" si="10"/>
        <v>9312.5333333333347</v>
      </c>
    </row>
    <row r="76" spans="1:6" x14ac:dyDescent="0.2">
      <c r="A76" s="27" t="s">
        <v>21</v>
      </c>
      <c r="B76" s="58">
        <f>SUM(B69:B75)*0.08</f>
        <v>107795.73089579867</v>
      </c>
      <c r="C76" s="58">
        <f>SUM(C69:C75)*0.08</f>
        <v>107844.61801522669</v>
      </c>
      <c r="D76" s="58">
        <f>SUM(D69:D75)*0.08</f>
        <v>107844.61801522669</v>
      </c>
      <c r="E76" s="58">
        <f>SUM(E69:E75)*0.08</f>
        <v>107844.61801522669</v>
      </c>
      <c r="F76" s="58">
        <f>SUM(F69:F75)*0.08</f>
        <v>107844.61801522669</v>
      </c>
    </row>
    <row r="77" spans="1:6" x14ac:dyDescent="0.2">
      <c r="A77" s="27"/>
      <c r="B77" s="43"/>
      <c r="C77" s="43"/>
      <c r="D77" s="43"/>
      <c r="E77" s="43"/>
      <c r="F77" s="43"/>
    </row>
    <row r="78" spans="1:6" x14ac:dyDescent="0.2">
      <c r="A78" s="25" t="s">
        <v>133</v>
      </c>
      <c r="B78" s="58">
        <f>SUM(B69:B76)</f>
        <v>1455242.3670932821</v>
      </c>
      <c r="C78" s="58">
        <f t="shared" ref="C78:F78" si="11">SUM(C69:C76)</f>
        <v>1455902.3432055602</v>
      </c>
      <c r="D78" s="58">
        <f t="shared" si="11"/>
        <v>1455902.3432055602</v>
      </c>
      <c r="E78" s="58">
        <f t="shared" si="11"/>
        <v>1455902.3432055602</v>
      </c>
      <c r="F78" s="58">
        <f t="shared" si="11"/>
        <v>1455902.3432055602</v>
      </c>
    </row>
    <row r="79" spans="1:6" x14ac:dyDescent="0.2">
      <c r="A79" s="25"/>
      <c r="B79" s="81"/>
      <c r="C79" s="81"/>
      <c r="D79" s="81"/>
      <c r="E79" s="81"/>
      <c r="F79" s="82"/>
    </row>
    <row r="80" spans="1:6" x14ac:dyDescent="0.2">
      <c r="A80" s="63" t="s">
        <v>108</v>
      </c>
      <c r="B80" s="83">
        <f>((B69+B75)/B78*100)/100</f>
        <v>0.91346470072096475</v>
      </c>
      <c r="C80" s="83">
        <f t="shared" ref="C80:F80" si="12">((C69+C75)/C78*100)/100</f>
        <v>0.91305061739683357</v>
      </c>
      <c r="D80" s="83">
        <f t="shared" si="12"/>
        <v>0.91305061739683357</v>
      </c>
      <c r="E80" s="83">
        <f t="shared" si="12"/>
        <v>0.91305061739683357</v>
      </c>
      <c r="F80" s="83">
        <f t="shared" si="12"/>
        <v>0.91305061739683357</v>
      </c>
    </row>
    <row r="81" spans="1:6" x14ac:dyDescent="0.2">
      <c r="A81" s="34" t="s">
        <v>109</v>
      </c>
      <c r="B81" s="76">
        <f>((B70+B71+B72+B76)/B78*100)/100</f>
        <v>8.6535299279035124E-2</v>
      </c>
      <c r="C81" s="76">
        <f t="shared" ref="C81:F81" si="13">((C70+C71+C72+C76)/C78*100)/100</f>
        <v>8.694938260316637E-2</v>
      </c>
      <c r="D81" s="76">
        <f t="shared" si="13"/>
        <v>8.694938260316637E-2</v>
      </c>
      <c r="E81" s="76">
        <f t="shared" si="13"/>
        <v>8.694938260316637E-2</v>
      </c>
      <c r="F81" s="76">
        <f t="shared" si="13"/>
        <v>8.694938260316637E-2</v>
      </c>
    </row>
    <row r="84" spans="1:6" ht="15.75" x14ac:dyDescent="0.25">
      <c r="A84" s="85" t="s">
        <v>134</v>
      </c>
      <c r="B84" s="86"/>
      <c r="C84" s="86"/>
      <c r="D84" s="86"/>
      <c r="E84" s="86"/>
      <c r="F84" s="87"/>
    </row>
    <row r="85" spans="1:6" x14ac:dyDescent="0.2">
      <c r="A85" s="27"/>
      <c r="B85" s="54" t="s">
        <v>54</v>
      </c>
      <c r="C85" s="54" t="s">
        <v>94</v>
      </c>
      <c r="D85" s="54" t="s">
        <v>95</v>
      </c>
      <c r="E85" s="54" t="s">
        <v>96</v>
      </c>
      <c r="F85" s="22" t="s">
        <v>97</v>
      </c>
    </row>
    <row r="86" spans="1:6" x14ac:dyDescent="0.2">
      <c r="A86" s="27" t="s">
        <v>135</v>
      </c>
      <c r="B86" s="88">
        <f>Auxiliar!F104</f>
        <v>86897</v>
      </c>
      <c r="C86" s="88">
        <f>InfoInicial!$B$19</f>
        <v>115862</v>
      </c>
      <c r="D86" s="88">
        <f>InfoInicial!$B$19</f>
        <v>115862</v>
      </c>
      <c r="E86" s="88">
        <f>InfoInicial!$B$19</f>
        <v>115862</v>
      </c>
      <c r="F86" s="88">
        <f>InfoInicial!$B$19</f>
        <v>115862</v>
      </c>
    </row>
    <row r="87" spans="1:6" x14ac:dyDescent="0.2">
      <c r="A87" s="27" t="s">
        <v>136</v>
      </c>
      <c r="B87" s="58">
        <v>125</v>
      </c>
      <c r="C87" s="58">
        <v>125</v>
      </c>
      <c r="D87" s="58">
        <v>125</v>
      </c>
      <c r="E87" s="58">
        <v>125</v>
      </c>
      <c r="F87" s="58">
        <v>125</v>
      </c>
    </row>
    <row r="88" spans="1:6" x14ac:dyDescent="0.2">
      <c r="A88" s="25" t="s">
        <v>137</v>
      </c>
      <c r="B88" s="58">
        <f>B86*B87</f>
        <v>10862125</v>
      </c>
      <c r="C88" s="58">
        <f t="shared" ref="C88:F88" si="14">C86*C87</f>
        <v>14482750</v>
      </c>
      <c r="D88" s="58">
        <f t="shared" si="14"/>
        <v>14482750</v>
      </c>
      <c r="E88" s="58">
        <f t="shared" si="14"/>
        <v>14482750</v>
      </c>
      <c r="F88" s="58">
        <f t="shared" si="14"/>
        <v>14482750</v>
      </c>
    </row>
    <row r="89" spans="1:6" x14ac:dyDescent="0.2">
      <c r="A89" s="27"/>
      <c r="B89" s="81"/>
      <c r="C89" s="81"/>
      <c r="D89" s="81"/>
      <c r="E89" s="81"/>
      <c r="F89" s="82"/>
    </row>
    <row r="90" spans="1:6" x14ac:dyDescent="0.2">
      <c r="A90" s="27" t="s">
        <v>138</v>
      </c>
      <c r="B90" s="58">
        <f>B7</f>
        <v>6685058.6096000001</v>
      </c>
      <c r="C90" s="58">
        <f t="shared" ref="C90:F90" si="15">C7</f>
        <v>11012544.0656</v>
      </c>
      <c r="D90" s="58">
        <f t="shared" si="15"/>
        <v>11012544.0656</v>
      </c>
      <c r="E90" s="58">
        <f t="shared" si="15"/>
        <v>11012544.0656</v>
      </c>
      <c r="F90" s="58">
        <f t="shared" si="15"/>
        <v>11012544.0656</v>
      </c>
    </row>
    <row r="91" spans="1:6" x14ac:dyDescent="0.2">
      <c r="A91" s="27" t="s">
        <v>99</v>
      </c>
      <c r="B91" s="58">
        <f>B8</f>
        <v>50825</v>
      </c>
      <c r="C91" s="58">
        <f t="shared" ref="C91:F91" si="16">C8</f>
        <v>53500</v>
      </c>
      <c r="D91" s="58">
        <f t="shared" si="16"/>
        <v>53500</v>
      </c>
      <c r="E91" s="58">
        <f t="shared" si="16"/>
        <v>53500</v>
      </c>
      <c r="F91" s="58">
        <f t="shared" si="16"/>
        <v>53500</v>
      </c>
    </row>
    <row r="92" spans="1:6" x14ac:dyDescent="0.2">
      <c r="A92" s="27" t="s">
        <v>139</v>
      </c>
      <c r="B92" s="58">
        <f>SUM(B10:B16)</f>
        <v>1743869.150564888</v>
      </c>
      <c r="C92" s="58">
        <f t="shared" ref="C92:F92" si="17">SUM(C10:C16)</f>
        <v>2184929.6527939197</v>
      </c>
      <c r="D92" s="58">
        <f t="shared" si="17"/>
        <v>2184929.6527939197</v>
      </c>
      <c r="E92" s="58">
        <f t="shared" si="17"/>
        <v>2195690.2707019197</v>
      </c>
      <c r="F92" s="58">
        <f t="shared" si="17"/>
        <v>2195690.2707019197</v>
      </c>
    </row>
    <row r="93" spans="1:6" x14ac:dyDescent="0.2">
      <c r="A93" s="27"/>
      <c r="B93" s="81"/>
      <c r="C93" s="81"/>
      <c r="D93" s="81"/>
      <c r="E93" s="81"/>
      <c r="F93" s="81"/>
    </row>
    <row r="94" spans="1:6" x14ac:dyDescent="0.2">
      <c r="A94" s="27" t="s">
        <v>140</v>
      </c>
      <c r="B94" s="90">
        <f>B17</f>
        <v>8479752.7601648867</v>
      </c>
      <c r="C94" s="90">
        <f t="shared" ref="C94:F94" si="18">C17</f>
        <v>13250973.718393918</v>
      </c>
      <c r="D94" s="90">
        <f t="shared" si="18"/>
        <v>13250973.718393918</v>
      </c>
      <c r="E94" s="90">
        <f t="shared" si="18"/>
        <v>13261734.336301919</v>
      </c>
      <c r="F94" s="90">
        <f t="shared" si="18"/>
        <v>13261734.336301919</v>
      </c>
    </row>
    <row r="95" spans="1:6" x14ac:dyDescent="0.2">
      <c r="A95" s="27"/>
      <c r="B95" s="81"/>
      <c r="C95" s="81"/>
      <c r="D95" s="81"/>
      <c r="E95" s="81"/>
      <c r="F95" s="82"/>
    </row>
    <row r="96" spans="1:6" x14ac:dyDescent="0.2">
      <c r="A96" s="27" t="s">
        <v>119</v>
      </c>
      <c r="B96" s="81"/>
      <c r="C96" s="81"/>
      <c r="D96" s="81"/>
      <c r="E96" s="81"/>
      <c r="F96" s="82"/>
    </row>
    <row r="97" spans="1:6" x14ac:dyDescent="0.2">
      <c r="A97" s="29" t="s">
        <v>112</v>
      </c>
      <c r="B97" s="58">
        <f>G35</f>
        <v>94381.173980400912</v>
      </c>
      <c r="C97" s="58"/>
      <c r="D97" s="58"/>
      <c r="E97" s="58"/>
      <c r="F97" s="59"/>
    </row>
    <row r="98" spans="1:6" x14ac:dyDescent="0.2">
      <c r="A98" s="29" t="s">
        <v>121</v>
      </c>
      <c r="B98" s="58">
        <f>B42</f>
        <v>258662.07885864197</v>
      </c>
      <c r="C98" s="58">
        <f t="shared" ref="C98:E98" si="19">C42</f>
        <v>-22150.133806437982</v>
      </c>
      <c r="D98" s="58">
        <f t="shared" si="19"/>
        <v>0</v>
      </c>
      <c r="E98" s="58">
        <f t="shared" si="19"/>
        <v>54.485361259634374</v>
      </c>
      <c r="F98" s="58">
        <f>F42</f>
        <v>0</v>
      </c>
    </row>
    <row r="99" spans="1:6" x14ac:dyDescent="0.2">
      <c r="A99" s="27"/>
      <c r="B99" s="81"/>
      <c r="C99" s="81"/>
      <c r="D99" s="81"/>
      <c r="E99" s="81"/>
      <c r="F99" s="82"/>
    </row>
    <row r="100" spans="1:6" x14ac:dyDescent="0.2">
      <c r="A100" s="25" t="s">
        <v>141</v>
      </c>
      <c r="B100" s="58">
        <f>B94-B97-B98</f>
        <v>8126709.5073258439</v>
      </c>
      <c r="C100" s="58">
        <f t="shared" ref="C100:F100" si="20">C94-C97-C98</f>
        <v>13273123.852200355</v>
      </c>
      <c r="D100" s="58">
        <f t="shared" si="20"/>
        <v>13250973.718393918</v>
      </c>
      <c r="E100" s="58">
        <f t="shared" si="20"/>
        <v>13261679.85094066</v>
      </c>
      <c r="F100" s="58">
        <f t="shared" si="20"/>
        <v>13261734.336301919</v>
      </c>
    </row>
    <row r="101" spans="1:6" x14ac:dyDescent="0.2">
      <c r="A101" s="29" t="s">
        <v>142</v>
      </c>
      <c r="B101" s="90">
        <f>Auxiliar!B134</f>
        <v>91241.33</v>
      </c>
      <c r="C101" s="90">
        <f>C86</f>
        <v>115862</v>
      </c>
      <c r="D101" s="90">
        <f t="shared" ref="D101:F101" si="21">D86</f>
        <v>115862</v>
      </c>
      <c r="E101" s="90">
        <f t="shared" si="21"/>
        <v>115862</v>
      </c>
      <c r="F101" s="90">
        <f t="shared" si="21"/>
        <v>115862</v>
      </c>
    </row>
    <row r="102" spans="1:6" x14ac:dyDescent="0.2">
      <c r="A102" s="27" t="s">
        <v>143</v>
      </c>
      <c r="B102" s="58">
        <f>B100/B101</f>
        <v>89.068292925211011</v>
      </c>
      <c r="C102" s="58">
        <f t="shared" ref="C102:F102" si="22">C100/C101</f>
        <v>114.55976810516265</v>
      </c>
      <c r="D102" s="58">
        <f t="shared" si="22"/>
        <v>114.36859124125182</v>
      </c>
      <c r="E102" s="58">
        <f t="shared" si="22"/>
        <v>114.46099541644939</v>
      </c>
      <c r="F102" s="58">
        <f t="shared" si="22"/>
        <v>114.4614656772878</v>
      </c>
    </row>
    <row r="103" spans="1:6" x14ac:dyDescent="0.2">
      <c r="A103" s="27"/>
      <c r="B103" s="92"/>
      <c r="C103" s="92"/>
      <c r="D103" s="92"/>
      <c r="E103" s="92"/>
      <c r="F103" s="93"/>
    </row>
    <row r="104" spans="1:6" x14ac:dyDescent="0.2">
      <c r="A104" s="27" t="s">
        <v>119</v>
      </c>
      <c r="B104" s="92"/>
      <c r="C104" s="92"/>
      <c r="D104" s="92"/>
      <c r="E104" s="92"/>
      <c r="F104" s="93"/>
    </row>
    <row r="105" spans="1:6" x14ac:dyDescent="0.2">
      <c r="A105" s="27" t="s">
        <v>144</v>
      </c>
      <c r="B105" s="58">
        <f>Auxiliar!B135*B102-0</f>
        <v>386942.05700378213</v>
      </c>
      <c r="C105" s="58">
        <f>Auxiliar!B135*C102-Auxiliar!B135*B102</f>
        <v>110743.38036851928</v>
      </c>
      <c r="D105" s="58">
        <f>Auxiliar!B135*D102-Auxiliar!B135*C102</f>
        <v>-830.53538519371068</v>
      </c>
      <c r="E105" s="58">
        <f>Auxiliar!B135*E102-Auxiliar!B135*D102</f>
        <v>401.43423043610528</v>
      </c>
      <c r="F105" s="59">
        <f>Auxiliar!B135*F102-Auxiliar!B135*E102</f>
        <v>2.0429682680987753</v>
      </c>
    </row>
    <row r="106" spans="1:6" x14ac:dyDescent="0.2">
      <c r="A106" s="27"/>
      <c r="B106" s="92"/>
      <c r="C106" s="92"/>
      <c r="D106" s="92"/>
      <c r="E106" s="92"/>
      <c r="F106" s="93"/>
    </row>
    <row r="107" spans="1:6" x14ac:dyDescent="0.2">
      <c r="A107" s="25" t="s">
        <v>145</v>
      </c>
      <c r="B107" s="58">
        <f>B100-B105</f>
        <v>7739767.4503220618</v>
      </c>
      <c r="C107" s="58">
        <f>C100-C105</f>
        <v>13162380.471831836</v>
      </c>
      <c r="D107" s="58">
        <f>D100-D105</f>
        <v>13251804.253779111</v>
      </c>
      <c r="E107" s="58">
        <f>E100-E105</f>
        <v>13261278.416710224</v>
      </c>
      <c r="F107" s="58">
        <f>F100-F105</f>
        <v>13261732.293333651</v>
      </c>
    </row>
    <row r="108" spans="1:6" x14ac:dyDescent="0.2">
      <c r="A108" s="27"/>
      <c r="B108" s="81"/>
      <c r="C108" s="81"/>
      <c r="D108" s="81"/>
      <c r="E108" s="81"/>
      <c r="F108" s="82"/>
    </row>
    <row r="109" spans="1:6" x14ac:dyDescent="0.2">
      <c r="A109" s="25" t="s">
        <v>146</v>
      </c>
      <c r="B109" s="58">
        <f>B61</f>
        <v>1461502.809573282</v>
      </c>
      <c r="C109" s="58">
        <f t="shared" ref="C109:F109" si="23">C61</f>
        <v>1462162.7856855602</v>
      </c>
      <c r="D109" s="58">
        <f t="shared" si="23"/>
        <v>1462162.7856855602</v>
      </c>
      <c r="E109" s="58">
        <f t="shared" si="23"/>
        <v>1462141.9416855602</v>
      </c>
      <c r="F109" s="58">
        <f t="shared" si="23"/>
        <v>1462141.9416855602</v>
      </c>
    </row>
    <row r="110" spans="1:6" x14ac:dyDescent="0.2">
      <c r="A110" s="25" t="s">
        <v>147</v>
      </c>
      <c r="B110" s="90">
        <f>B78</f>
        <v>1455242.3670932821</v>
      </c>
      <c r="C110" s="90">
        <f t="shared" ref="C110:F110" si="24">C78</f>
        <v>1455902.3432055602</v>
      </c>
      <c r="D110" s="90">
        <f t="shared" si="24"/>
        <v>1455902.3432055602</v>
      </c>
      <c r="E110" s="90">
        <f t="shared" si="24"/>
        <v>1455902.3432055602</v>
      </c>
      <c r="F110" s="90">
        <f t="shared" si="24"/>
        <v>1455902.3432055602</v>
      </c>
    </row>
    <row r="111" spans="1:6" x14ac:dyDescent="0.2">
      <c r="A111" s="27"/>
      <c r="B111" s="92"/>
      <c r="C111" s="92"/>
      <c r="D111" s="92"/>
      <c r="E111" s="92"/>
      <c r="F111" s="92"/>
    </row>
    <row r="112" spans="1:6" x14ac:dyDescent="0.2">
      <c r="A112" s="25" t="s">
        <v>148</v>
      </c>
      <c r="B112" s="90">
        <f>B107+B109+B110</f>
        <v>10656512.626988625</v>
      </c>
      <c r="C112" s="90">
        <f t="shared" ref="C112:F112" si="25">C107+C109+C110</f>
        <v>16080445.600722956</v>
      </c>
      <c r="D112" s="90">
        <f t="shared" si="25"/>
        <v>16169869.382670231</v>
      </c>
      <c r="E112" s="90">
        <f t="shared" si="25"/>
        <v>16179322.701601345</v>
      </c>
      <c r="F112" s="90">
        <f t="shared" si="25"/>
        <v>16179776.578224771</v>
      </c>
    </row>
    <row r="113" spans="1:6" x14ac:dyDescent="0.2">
      <c r="A113" s="27"/>
      <c r="B113" s="92"/>
      <c r="C113" s="92"/>
      <c r="D113" s="92"/>
      <c r="E113" s="92"/>
      <c r="F113" s="93"/>
    </row>
    <row r="114" spans="1:6" x14ac:dyDescent="0.2">
      <c r="A114" s="25" t="s">
        <v>149</v>
      </c>
      <c r="B114" s="90">
        <f>B112/B101</f>
        <v>116.79479712744899</v>
      </c>
      <c r="C114" s="90">
        <f t="shared" ref="C114:F114" si="26">C112/C101</f>
        <v>138.7896428572177</v>
      </c>
      <c r="D114" s="90">
        <f t="shared" si="26"/>
        <v>139.56145572034171</v>
      </c>
      <c r="E114" s="90">
        <f t="shared" si="26"/>
        <v>139.64304691444428</v>
      </c>
      <c r="F114" s="90">
        <f t="shared" si="26"/>
        <v>139.6469643042997</v>
      </c>
    </row>
    <row r="115" spans="1:6" x14ac:dyDescent="0.2">
      <c r="A115" s="27"/>
      <c r="B115" s="92"/>
      <c r="C115" s="92"/>
      <c r="D115" s="92"/>
      <c r="E115" s="92"/>
      <c r="F115" s="93"/>
    </row>
    <row r="116" spans="1:6" x14ac:dyDescent="0.2">
      <c r="A116" s="25" t="s">
        <v>150</v>
      </c>
      <c r="B116" s="90">
        <f>B88-B112</f>
        <v>205612.37301137485</v>
      </c>
      <c r="C116" s="90">
        <f t="shared" ref="C116:F116" si="27">C88-C112</f>
        <v>-1597695.6007229555</v>
      </c>
      <c r="D116" s="90">
        <f t="shared" si="27"/>
        <v>-1687119.3826702312</v>
      </c>
      <c r="E116" s="90">
        <f t="shared" si="27"/>
        <v>-1696572.7016013451</v>
      </c>
      <c r="F116" s="90">
        <f t="shared" si="27"/>
        <v>-1697026.5782247707</v>
      </c>
    </row>
    <row r="117" spans="1:6" x14ac:dyDescent="0.2">
      <c r="A117" s="25" t="s">
        <v>5</v>
      </c>
      <c r="B117" s="90">
        <f>B116*InfoInicial!$B$5</f>
        <v>12336.74238068249</v>
      </c>
      <c r="C117" s="90">
        <f>C116*InfoInicial!$B$5</f>
        <v>-95861.736043377328</v>
      </c>
      <c r="D117" s="90">
        <f>D116*InfoInicial!$B$5</f>
        <v>-101227.16296021387</v>
      </c>
      <c r="E117" s="90">
        <f>E116*InfoInicial!$B$5</f>
        <v>-101794.3620960807</v>
      </c>
      <c r="F117" s="90">
        <f>F116*InfoInicial!$B$5</f>
        <v>-101821.59469348624</v>
      </c>
    </row>
    <row r="118" spans="1:6" x14ac:dyDescent="0.2">
      <c r="A118" s="42" t="s">
        <v>151</v>
      </c>
      <c r="B118" s="90">
        <f>B116*InfoInicial!$B$4</f>
        <v>71964.330553981184</v>
      </c>
      <c r="C118" s="90">
        <f>C116*InfoInicial!$B$4</f>
        <v>-559193.46025303437</v>
      </c>
      <c r="D118" s="90">
        <f>D116*InfoInicial!$B$4</f>
        <v>-590491.78393458086</v>
      </c>
      <c r="E118" s="90">
        <f>E116*InfoInicial!$B$4</f>
        <v>-593800.44556047069</v>
      </c>
      <c r="F118" s="90">
        <f>F116*InfoInicial!$B$4</f>
        <v>-593959.30237866973</v>
      </c>
    </row>
    <row r="119" spans="1:6" x14ac:dyDescent="0.2">
      <c r="A119" s="25"/>
      <c r="B119" s="92"/>
      <c r="C119" s="92"/>
      <c r="D119" s="92"/>
      <c r="E119" s="92"/>
      <c r="F119" s="93"/>
    </row>
    <row r="120" spans="1:6" x14ac:dyDescent="0.2">
      <c r="A120" s="42" t="s">
        <v>152</v>
      </c>
      <c r="B120" s="90">
        <f>B116-B117-B118</f>
        <v>121311.30007671117</v>
      </c>
      <c r="C120" s="90">
        <f t="shared" ref="C120:F120" si="28">C116-C117-C118</f>
        <v>-942640.40442654386</v>
      </c>
      <c r="D120" s="90">
        <f t="shared" si="28"/>
        <v>-995400.43577543646</v>
      </c>
      <c r="E120" s="90">
        <f t="shared" si="28"/>
        <v>-1000977.8939447936</v>
      </c>
      <c r="F120" s="90">
        <f t="shared" si="28"/>
        <v>-1001245.6811526146</v>
      </c>
    </row>
    <row r="121" spans="1:6" x14ac:dyDescent="0.2">
      <c r="A121" s="25" t="s">
        <v>153</v>
      </c>
      <c r="B121" s="94">
        <f>B120/B88</f>
        <v>1.1168284297659176E-2</v>
      </c>
      <c r="C121" s="94">
        <f t="shared" ref="C121:F121" si="29">C120/C88</f>
        <v>-6.5087114286067491E-2</v>
      </c>
      <c r="D121" s="94">
        <f t="shared" si="29"/>
        <v>-6.8730071000012868E-2</v>
      </c>
      <c r="E121" s="94">
        <f t="shared" si="29"/>
        <v>-6.9115181436177078E-2</v>
      </c>
      <c r="F121" s="94">
        <f t="shared" si="29"/>
        <v>-6.9133671516294529E-2</v>
      </c>
    </row>
    <row r="122" spans="1:6" x14ac:dyDescent="0.2">
      <c r="A122" s="25"/>
      <c r="B122" s="96"/>
      <c r="C122" s="96"/>
      <c r="D122" s="96"/>
      <c r="E122" s="96"/>
      <c r="F122" s="97"/>
    </row>
    <row r="123" spans="1:6" x14ac:dyDescent="0.2">
      <c r="A123" s="25" t="s">
        <v>154</v>
      </c>
      <c r="B123" s="94"/>
      <c r="C123" s="94"/>
      <c r="D123" s="94"/>
      <c r="E123" s="94"/>
      <c r="F123" s="95"/>
    </row>
    <row r="124" spans="1:6" x14ac:dyDescent="0.2">
      <c r="A124" s="42" t="s">
        <v>155</v>
      </c>
      <c r="B124" s="269">
        <f>B120</f>
        <v>121311.30007671117</v>
      </c>
      <c r="C124" s="269">
        <f t="shared" ref="C124:F124" si="30">C120</f>
        <v>-942640.40442654386</v>
      </c>
      <c r="D124" s="269">
        <f t="shared" si="30"/>
        <v>-995400.43577543646</v>
      </c>
      <c r="E124" s="269">
        <f t="shared" si="30"/>
        <v>-1000977.8939447936</v>
      </c>
      <c r="F124" s="269">
        <f t="shared" si="30"/>
        <v>-1001245.6811526146</v>
      </c>
    </row>
    <row r="125" spans="1:6" x14ac:dyDescent="0.2">
      <c r="A125" s="25" t="s">
        <v>156</v>
      </c>
      <c r="B125" s="269">
        <f>B70+B53+B28+B10</f>
        <v>291596.35390560748</v>
      </c>
      <c r="C125" s="269">
        <f t="shared" ref="C125:F125" si="31">C70+C53+C28+C10</f>
        <v>291156.09802899632</v>
      </c>
      <c r="D125" s="269">
        <f t="shared" si="31"/>
        <v>291156.09802899632</v>
      </c>
      <c r="E125" s="269">
        <f t="shared" si="31"/>
        <v>290845.83217339031</v>
      </c>
      <c r="F125" s="269">
        <f t="shared" si="31"/>
        <v>290845.83217339031</v>
      </c>
    </row>
    <row r="126" spans="1:6" x14ac:dyDescent="0.2">
      <c r="A126" s="34" t="s">
        <v>157</v>
      </c>
      <c r="B126" s="269">
        <f>B125+B124</f>
        <v>412907.65398231865</v>
      </c>
      <c r="C126" s="269">
        <f t="shared" ref="C126:F126" si="32">C125+C124</f>
        <v>-651484.30639754748</v>
      </c>
      <c r="D126" s="269">
        <f t="shared" si="32"/>
        <v>-704244.3377464402</v>
      </c>
      <c r="E126" s="269">
        <f t="shared" si="32"/>
        <v>-710132.0617714033</v>
      </c>
      <c r="F126" s="269">
        <f t="shared" si="32"/>
        <v>-710399.84897922433</v>
      </c>
    </row>
    <row r="127" spans="1:6" x14ac:dyDescent="0.2">
      <c r="A127" s="25"/>
      <c r="B127" s="30"/>
      <c r="C127" s="30"/>
      <c r="D127" s="30"/>
      <c r="E127" s="30"/>
      <c r="F127" s="98"/>
    </row>
    <row r="128" spans="1:6" x14ac:dyDescent="0.2">
      <c r="A128" s="25" t="s">
        <v>158</v>
      </c>
      <c r="B128" s="28">
        <f>B19*B17</f>
        <v>555255.6</v>
      </c>
      <c r="C128" s="28">
        <f t="shared" ref="C128:F128" si="33">C19*C17</f>
        <v>598325.6</v>
      </c>
      <c r="D128" s="28">
        <f t="shared" si="33"/>
        <v>598325.6</v>
      </c>
      <c r="E128" s="28">
        <f t="shared" si="33"/>
        <v>598325.60000000009</v>
      </c>
      <c r="F128" s="28">
        <f t="shared" si="33"/>
        <v>598325.60000000009</v>
      </c>
    </row>
    <row r="129" spans="1:6" x14ac:dyDescent="0.2">
      <c r="A129" s="42" t="s">
        <v>159</v>
      </c>
      <c r="B129" s="28">
        <f>B20*B17</f>
        <v>7924497.1601648871</v>
      </c>
      <c r="C129" s="28">
        <f t="shared" ref="C129:F129" si="34">C20*C17</f>
        <v>12652648.118393918</v>
      </c>
      <c r="D129" s="28">
        <f t="shared" si="34"/>
        <v>12652648.118393918</v>
      </c>
      <c r="E129" s="28">
        <f t="shared" si="34"/>
        <v>12663408.736301919</v>
      </c>
      <c r="F129" s="28">
        <f t="shared" si="34"/>
        <v>12663408.736301919</v>
      </c>
    </row>
    <row r="130" spans="1:6" x14ac:dyDescent="0.2">
      <c r="A130" s="25" t="s">
        <v>160</v>
      </c>
      <c r="B130" s="28">
        <f>B61*B63</f>
        <v>1329312.5333333334</v>
      </c>
      <c r="C130" s="28">
        <f t="shared" ref="C130:F130" si="35">C61*C63</f>
        <v>1329312.5333333334</v>
      </c>
      <c r="D130" s="28">
        <f t="shared" si="35"/>
        <v>1329312.5333333334</v>
      </c>
      <c r="E130" s="28">
        <f t="shared" si="35"/>
        <v>1329312.5333333334</v>
      </c>
      <c r="F130" s="28">
        <f t="shared" si="35"/>
        <v>1329312.5333333334</v>
      </c>
    </row>
    <row r="131" spans="1:6" x14ac:dyDescent="0.2">
      <c r="A131" s="42" t="s">
        <v>161</v>
      </c>
      <c r="B131" s="28">
        <f>B61*B64</f>
        <v>132190.2762399487</v>
      </c>
      <c r="C131" s="28">
        <f t="shared" ref="C131:F131" si="36">C61*C64</f>
        <v>132850.25235222667</v>
      </c>
      <c r="D131" s="28">
        <f t="shared" si="36"/>
        <v>132850.25235222667</v>
      </c>
      <c r="E131" s="28">
        <f t="shared" si="36"/>
        <v>132829.40835222669</v>
      </c>
      <c r="F131" s="28">
        <f t="shared" si="36"/>
        <v>132829.40835222669</v>
      </c>
    </row>
    <row r="132" spans="1:6" x14ac:dyDescent="0.2">
      <c r="A132" s="25" t="s">
        <v>162</v>
      </c>
      <c r="B132" s="28">
        <f>B78*B80</f>
        <v>1329312.5333333332</v>
      </c>
      <c r="C132" s="28">
        <f t="shared" ref="C132:F132" si="37">C78*C80</f>
        <v>1329312.5333333334</v>
      </c>
      <c r="D132" s="28">
        <f t="shared" si="37"/>
        <v>1329312.5333333334</v>
      </c>
      <c r="E132" s="28">
        <f t="shared" si="37"/>
        <v>1329312.5333333334</v>
      </c>
      <c r="F132" s="28">
        <f t="shared" si="37"/>
        <v>1329312.5333333334</v>
      </c>
    </row>
    <row r="133" spans="1:6" x14ac:dyDescent="0.2">
      <c r="A133" s="42" t="s">
        <v>163</v>
      </c>
      <c r="B133" s="28">
        <f>B78*B81</f>
        <v>125929.83375994865</v>
      </c>
      <c r="C133" s="28">
        <f t="shared" ref="C133:F133" si="38">C78*C81</f>
        <v>126589.80987222669</v>
      </c>
      <c r="D133" s="28">
        <f t="shared" si="38"/>
        <v>126589.80987222669</v>
      </c>
      <c r="E133" s="28">
        <f t="shared" si="38"/>
        <v>126589.80987222669</v>
      </c>
      <c r="F133" s="28">
        <f t="shared" si="38"/>
        <v>126589.80987222669</v>
      </c>
    </row>
    <row r="134" spans="1:6" x14ac:dyDescent="0.2">
      <c r="A134" s="25" t="s">
        <v>164</v>
      </c>
      <c r="B134" s="270">
        <f>B88-B129-B131-B133</f>
        <v>2679507.7298352155</v>
      </c>
      <c r="C134" s="270">
        <f t="shared" ref="C134:F134" si="39">C88-C129-C131-C133</f>
        <v>1570661.819381628</v>
      </c>
      <c r="D134" s="270">
        <f t="shared" si="39"/>
        <v>1570661.819381628</v>
      </c>
      <c r="E134" s="270">
        <f t="shared" si="39"/>
        <v>1559922.045473627</v>
      </c>
      <c r="F134" s="270">
        <f t="shared" si="39"/>
        <v>1559922.045473627</v>
      </c>
    </row>
    <row r="135" spans="1:6" x14ac:dyDescent="0.2">
      <c r="A135" s="34" t="s">
        <v>165</v>
      </c>
      <c r="B135" s="271">
        <f>(B128+B130+B132)/B134</f>
        <v>1.199429518669205</v>
      </c>
      <c r="C135" s="271">
        <f t="shared" ref="C135:F135" si="40">(C128+C130+C132)/C134</f>
        <v>2.0736167559920275</v>
      </c>
      <c r="D135" s="271">
        <f t="shared" si="40"/>
        <v>2.0736167559920275</v>
      </c>
      <c r="E135" s="271">
        <f t="shared" si="40"/>
        <v>2.087893222688435</v>
      </c>
      <c r="F135" s="271">
        <f t="shared" si="40"/>
        <v>2.087893222688435</v>
      </c>
    </row>
    <row r="136" spans="1:6" ht="15.75" x14ac:dyDescent="0.25">
      <c r="A136" s="99" t="s">
        <v>166</v>
      </c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A11" zoomScale="90" zoomScaleNormal="90" workbookViewId="0">
      <selection activeCell="J39" sqref="J39"/>
    </sheetView>
  </sheetViews>
  <sheetFormatPr baseColWidth="10"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9" width="40" style="16" customWidth="1"/>
    <col min="10" max="10" width="11.85546875" style="16" customWidth="1"/>
    <col min="11" max="11" width="13.5703125" style="16" bestFit="1" customWidth="1"/>
    <col min="12" max="14" width="12.5703125" style="16" bestFit="1" customWidth="1"/>
    <col min="15" max="16384" width="11.28515625" style="16"/>
  </cols>
  <sheetData>
    <row r="1" spans="1:20" x14ac:dyDescent="0.2">
      <c r="A1" s="1" t="s">
        <v>0</v>
      </c>
      <c r="B1"/>
      <c r="C1"/>
      <c r="D1"/>
      <c r="E1" s="2">
        <f>InfoInicial!E1</f>
        <v>9</v>
      </c>
    </row>
    <row r="2" spans="1:20" ht="13.5" thickBot="1" x14ac:dyDescent="0.25">
      <c r="A2" s="1"/>
      <c r="B2"/>
      <c r="C2"/>
      <c r="D2"/>
      <c r="E2" s="100"/>
    </row>
    <row r="3" spans="1:20" ht="16.5" thickTop="1" x14ac:dyDescent="0.25">
      <c r="A3" s="50" t="s">
        <v>167</v>
      </c>
      <c r="B3" s="51"/>
      <c r="C3" s="51"/>
      <c r="D3" s="51"/>
      <c r="E3" s="51"/>
      <c r="F3" s="51"/>
      <c r="G3" s="52"/>
    </row>
    <row r="4" spans="1:20" ht="13.5" thickBot="1" x14ac:dyDescent="0.25">
      <c r="A4" s="53" t="s">
        <v>93</v>
      </c>
      <c r="B4" s="21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20" ht="13.5" thickTop="1" x14ac:dyDescent="0.2">
      <c r="A5" s="101" t="s">
        <v>168</v>
      </c>
      <c r="B5" s="102"/>
      <c r="C5" s="102"/>
      <c r="D5" s="102"/>
      <c r="E5" s="102"/>
      <c r="F5" s="102"/>
      <c r="G5" s="103"/>
    </row>
    <row r="6" spans="1:20" x14ac:dyDescent="0.2">
      <c r="A6" s="101" t="s">
        <v>169</v>
      </c>
      <c r="B6" s="90">
        <f>C6*0.8</f>
        <v>173795</v>
      </c>
      <c r="C6" s="90">
        <f>O8*0.02</f>
        <v>217243.75</v>
      </c>
      <c r="D6" s="90">
        <f>$O$9*0.02</f>
        <v>289655</v>
      </c>
      <c r="E6" s="90">
        <f>$O$9*0.02</f>
        <v>289655</v>
      </c>
      <c r="F6" s="90">
        <f>$O$9*0.02</f>
        <v>289655</v>
      </c>
      <c r="G6" s="90">
        <f>$O$9*0.02</f>
        <v>289655</v>
      </c>
      <c r="I6" s="272" t="s">
        <v>515</v>
      </c>
      <c r="J6" s="272"/>
      <c r="K6" s="272"/>
      <c r="L6" s="272"/>
      <c r="M6" s="272"/>
      <c r="N6" s="272"/>
    </row>
    <row r="7" spans="1:20" x14ac:dyDescent="0.2">
      <c r="A7" s="101" t="s">
        <v>170</v>
      </c>
      <c r="B7" s="90">
        <v>0</v>
      </c>
      <c r="C7" s="90">
        <f>O8*30/365</f>
        <v>892782.53424657532</v>
      </c>
      <c r="D7" s="90">
        <f>$O$9*30/365</f>
        <v>1190363.01369863</v>
      </c>
      <c r="E7" s="90">
        <f>$O$9*30/365</f>
        <v>1190363.01369863</v>
      </c>
      <c r="F7" s="90">
        <f>$O$9*30/365</f>
        <v>1190363.01369863</v>
      </c>
      <c r="G7" s="90">
        <f>$O$9*30/365</f>
        <v>1190363.01369863</v>
      </c>
      <c r="I7" s="272" t="s">
        <v>516</v>
      </c>
      <c r="J7" s="272"/>
      <c r="K7" s="272"/>
      <c r="L7" s="16" t="s">
        <v>517</v>
      </c>
      <c r="M7" s="308" t="s">
        <v>518</v>
      </c>
      <c r="N7" s="16" t="s">
        <v>519</v>
      </c>
      <c r="O7" s="247" t="s">
        <v>520</v>
      </c>
    </row>
    <row r="8" spans="1:20" x14ac:dyDescent="0.2">
      <c r="A8" s="104"/>
      <c r="B8" s="81"/>
      <c r="C8" s="81"/>
      <c r="D8" s="81"/>
      <c r="E8" s="81"/>
      <c r="F8" s="81"/>
      <c r="G8" s="82"/>
      <c r="I8" s="273"/>
      <c r="L8" s="268" t="s">
        <v>521</v>
      </c>
      <c r="M8" s="274">
        <v>86897.5</v>
      </c>
      <c r="N8" s="16">
        <v>125</v>
      </c>
      <c r="O8" s="16">
        <f>M8*N8</f>
        <v>10862187.5</v>
      </c>
    </row>
    <row r="9" spans="1:20" x14ac:dyDescent="0.2">
      <c r="A9" s="101" t="s">
        <v>171</v>
      </c>
      <c r="B9" s="92">
        <f>SUM(B10:B13)</f>
        <v>1161848.7652533499</v>
      </c>
      <c r="C9" s="92">
        <f t="shared" ref="C9:G9" si="0">SUM(C10:C13)</f>
        <v>1811412.7885327237</v>
      </c>
      <c r="D9" s="92">
        <f t="shared" si="0"/>
        <v>1846994.9306730696</v>
      </c>
      <c r="E9" s="92">
        <f t="shared" si="0"/>
        <v>1846773.5478646609</v>
      </c>
      <c r="F9" s="92">
        <f t="shared" si="0"/>
        <v>1857239.9876249791</v>
      </c>
      <c r="G9" s="92">
        <f t="shared" si="0"/>
        <v>1857240.53218703</v>
      </c>
      <c r="L9" s="268" t="s">
        <v>522</v>
      </c>
      <c r="M9" s="275">
        <v>115862</v>
      </c>
      <c r="N9" s="16">
        <v>125</v>
      </c>
      <c r="O9" s="16">
        <f>M9*N9</f>
        <v>14482750</v>
      </c>
    </row>
    <row r="10" spans="1:20" x14ac:dyDescent="0.2">
      <c r="A10" s="104" t="s">
        <v>172</v>
      </c>
      <c r="B10" s="58">
        <f>J11*Auxiliar!B77</f>
        <v>957612.33960000006</v>
      </c>
      <c r="C10" s="58">
        <f>$J$12*Auxiliar!$B$77</f>
        <v>1194314.0944000001</v>
      </c>
      <c r="D10" s="58">
        <f>$J$12*Auxiliar!$B$77</f>
        <v>1194314.0944000001</v>
      </c>
      <c r="E10" s="58">
        <f>$J$12*Auxiliar!$B$77</f>
        <v>1194314.0944000001</v>
      </c>
      <c r="F10" s="58">
        <f>$J$12*Auxiliar!$B$77</f>
        <v>1194314.0944000001</v>
      </c>
      <c r="G10" s="58">
        <f>$J$12*Auxiliar!$B$77</f>
        <v>1194314.0944000001</v>
      </c>
      <c r="J10" s="16" t="s">
        <v>523</v>
      </c>
    </row>
    <row r="11" spans="1:20" x14ac:dyDescent="0.2">
      <c r="A11" s="104" t="s">
        <v>173</v>
      </c>
      <c r="B11" s="58">
        <f>C11*0.8</f>
        <v>204236.42565334981</v>
      </c>
      <c r="C11" s="58">
        <f>'E-Costos'!B12+'E-Costos'!B30+'E-Costos'!B54+'E-Costos'!B71</f>
        <v>255295.53206668724</v>
      </c>
      <c r="D11" s="58">
        <f>'E-Costos'!C12+'E-Costos'!C30+'E-Costos'!C54+'E-Costos'!C71</f>
        <v>283508.67975508724</v>
      </c>
      <c r="E11" s="58">
        <f>'E-Costos'!D12+'E-Costos'!D30+'E-Costos'!D54+'E-Costos'!D71</f>
        <v>283508.67975508724</v>
      </c>
      <c r="F11" s="58">
        <f>'E-Costos'!E12+'E-Costos'!E30+'E-Costos'!E54+'E-Costos'!E71</f>
        <v>293813.63011926698</v>
      </c>
      <c r="G11" s="58">
        <f>'E-Costos'!F12+'E-Costos'!F30+'E-Costos'!F54+'E-Costos'!F71</f>
        <v>293813.63011926698</v>
      </c>
      <c r="I11" s="16" t="s">
        <v>524</v>
      </c>
      <c r="J11" s="276">
        <v>11082.45</v>
      </c>
      <c r="O11" s="272"/>
      <c r="P11" s="272"/>
      <c r="Q11" s="272"/>
      <c r="R11" s="272"/>
      <c r="S11" s="272"/>
      <c r="T11" s="272"/>
    </row>
    <row r="12" spans="1:20" ht="14.25" x14ac:dyDescent="0.2">
      <c r="A12" s="104" t="s">
        <v>174</v>
      </c>
      <c r="B12" s="58">
        <v>0</v>
      </c>
      <c r="C12" s="58">
        <f>'E-Costos'!B35</f>
        <v>258662.07885864197</v>
      </c>
      <c r="D12" s="58">
        <f>'E-Costos'!C35</f>
        <v>236511.94505220398</v>
      </c>
      <c r="E12" s="58">
        <f>'E-Costos'!D35</f>
        <v>236511.94505220398</v>
      </c>
      <c r="F12" s="58">
        <f>'E-Costos'!E35</f>
        <v>236566.43041346362</v>
      </c>
      <c r="G12" s="58">
        <f>'E-Costos'!F35</f>
        <v>236566.43041346362</v>
      </c>
      <c r="I12" s="16" t="s">
        <v>521</v>
      </c>
      <c r="J12" s="255">
        <v>13821.8</v>
      </c>
      <c r="O12" s="272"/>
      <c r="P12" s="272"/>
      <c r="Q12" s="272"/>
      <c r="R12" s="272"/>
      <c r="S12" s="272"/>
      <c r="T12" s="272"/>
    </row>
    <row r="13" spans="1:20" x14ac:dyDescent="0.2">
      <c r="A13" s="104" t="s">
        <v>175</v>
      </c>
      <c r="B13" s="58">
        <v>0</v>
      </c>
      <c r="C13" s="58">
        <f>K17*'E-Costos'!B102</f>
        <v>103141.08320739435</v>
      </c>
      <c r="D13" s="58">
        <f>'E-Costos'!C102*'E-InvAT'!$K$18</f>
        <v>132660.21146577835</v>
      </c>
      <c r="E13" s="58">
        <f>'E-Costos'!D102*'E-InvAT'!$K$18</f>
        <v>132438.8286573696</v>
      </c>
      <c r="F13" s="58">
        <f>'E-Costos'!E102*'E-InvAT'!$K$18</f>
        <v>132545.8326922484</v>
      </c>
      <c r="G13" s="58">
        <f>'E-Costos'!F102*'E-InvAT'!$K$18</f>
        <v>132546.37725429927</v>
      </c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</row>
    <row r="14" spans="1:20" x14ac:dyDescent="0.2">
      <c r="A14" s="104"/>
      <c r="B14" s="81"/>
      <c r="C14" s="81"/>
      <c r="D14" s="81"/>
      <c r="E14" s="81"/>
      <c r="F14" s="81"/>
      <c r="G14" s="8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</row>
    <row r="15" spans="1:20" x14ac:dyDescent="0.2">
      <c r="A15" s="101" t="s">
        <v>176</v>
      </c>
      <c r="B15" s="90">
        <f>B6+B7+B9</f>
        <v>1335643.7652533499</v>
      </c>
      <c r="C15" s="90">
        <f t="shared" ref="C15:G15" si="1">C6+C7+C9</f>
        <v>2921439.0727792988</v>
      </c>
      <c r="D15" s="90">
        <f t="shared" si="1"/>
        <v>3327012.9443716994</v>
      </c>
      <c r="E15" s="90">
        <f t="shared" si="1"/>
        <v>3326791.5615632907</v>
      </c>
      <c r="F15" s="90">
        <f t="shared" si="1"/>
        <v>3337258.0013236091</v>
      </c>
      <c r="G15" s="90">
        <f t="shared" si="1"/>
        <v>3337258.5458856598</v>
      </c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</row>
    <row r="16" spans="1:20" x14ac:dyDescent="0.2">
      <c r="A16" s="101" t="s">
        <v>177</v>
      </c>
      <c r="B16" s="92">
        <v>0</v>
      </c>
      <c r="C16" s="92">
        <f>SUM(C17:C20)</f>
        <v>38536.43986042426</v>
      </c>
      <c r="D16" s="92">
        <f t="shared" ref="D16:G16" si="2">SUM(D17:D20)</f>
        <v>-49621.306335477588</v>
      </c>
      <c r="E16" s="92">
        <f t="shared" si="2"/>
        <v>-54063.373474073218</v>
      </c>
      <c r="F16" s="92">
        <f t="shared" si="2"/>
        <v>-54552.58227087932</v>
      </c>
      <c r="G16" s="92">
        <f t="shared" si="2"/>
        <v>-54574.962719906311</v>
      </c>
      <c r="J16" s="277" t="s">
        <v>525</v>
      </c>
      <c r="K16" s="277" t="s">
        <v>526</v>
      </c>
      <c r="L16" s="272"/>
      <c r="M16" s="272"/>
      <c r="N16" s="272"/>
      <c r="O16" s="272"/>
      <c r="P16" s="272"/>
      <c r="Q16" s="272"/>
      <c r="R16" s="272"/>
      <c r="S16" s="272"/>
      <c r="T16" s="272"/>
    </row>
    <row r="17" spans="1:20" ht="14.25" x14ac:dyDescent="0.2">
      <c r="A17" s="104" t="s">
        <v>178</v>
      </c>
      <c r="B17" s="58">
        <v>0</v>
      </c>
      <c r="C17" s="58">
        <f>'E-Costos'!B28</f>
        <v>1761.0539056074649</v>
      </c>
      <c r="D17" s="58">
        <f>'E-Costos'!C28</f>
        <v>1320.798028996322</v>
      </c>
      <c r="E17" s="58">
        <f>'E-Costos'!D28</f>
        <v>1320.798028996322</v>
      </c>
      <c r="F17" s="58">
        <f>'E-Costos'!E28</f>
        <v>1319.3321733903035</v>
      </c>
      <c r="G17" s="58">
        <f>'E-Costos'!F28</f>
        <v>1319.3321733903035</v>
      </c>
      <c r="I17" s="278" t="s">
        <v>521</v>
      </c>
      <c r="J17" s="279">
        <v>88055.5</v>
      </c>
      <c r="K17" s="280">
        <v>1158</v>
      </c>
      <c r="L17" s="272"/>
      <c r="M17" s="272"/>
      <c r="N17" s="272"/>
      <c r="O17" s="272"/>
      <c r="P17" s="272"/>
      <c r="Q17" s="272"/>
      <c r="R17" s="272"/>
      <c r="S17" s="272"/>
      <c r="T17" s="272"/>
    </row>
    <row r="18" spans="1:20" ht="14.25" x14ac:dyDescent="0.2">
      <c r="A18" s="104" t="s">
        <v>179</v>
      </c>
      <c r="B18" s="58">
        <v>0</v>
      </c>
      <c r="C18" s="58">
        <f>('E-Costos'!B10-'E-InvAT'!C17)/J17*K17</f>
        <v>3407.2493965431636</v>
      </c>
      <c r="D18" s="58">
        <f>('E-Costos'!C10-'E-InvAT'!D17+C17)/$J$18*$K$18</f>
        <v>2611.5220345334592</v>
      </c>
      <c r="E18" s="58">
        <f>('E-Costos'!D10-'E-InvAT'!E17+D17)/$J$18*$K$18</f>
        <v>2607.1218316618042</v>
      </c>
      <c r="F18" s="58">
        <f>('E-Costos'!E10-'E-InvAT'!F17+E17)/$J$18*$K$18</f>
        <v>2604.2430315443521</v>
      </c>
      <c r="G18" s="58">
        <f>('E-Costos'!F10-'E-InvAT'!G17+F17)/$J$18*$K$18</f>
        <v>2604.2283808323696</v>
      </c>
      <c r="I18" s="278" t="s">
        <v>527</v>
      </c>
      <c r="J18" s="281">
        <v>115862</v>
      </c>
      <c r="K18" s="282">
        <v>1158</v>
      </c>
      <c r="L18" s="272"/>
      <c r="M18" s="272"/>
      <c r="N18" s="272"/>
      <c r="O18" s="272"/>
      <c r="P18" s="272"/>
      <c r="Q18" s="272"/>
      <c r="R18" s="272"/>
      <c r="S18" s="272"/>
      <c r="T18" s="272"/>
    </row>
    <row r="19" spans="1:20" x14ac:dyDescent="0.2">
      <c r="A19" s="104" t="s">
        <v>180</v>
      </c>
      <c r="B19" s="58">
        <v>0</v>
      </c>
      <c r="C19" s="58">
        <f>C7*'E-Costos'!B121</f>
        <v>9970.8491584503918</v>
      </c>
      <c r="D19" s="58">
        <f>D7*'E-Costos'!C121</f>
        <v>-77477.293514510457</v>
      </c>
      <c r="E19" s="58">
        <f>E7*'E-Costos'!D121</f>
        <v>-81813.734447296127</v>
      </c>
      <c r="F19" s="58">
        <f>F7*'E-Costos'!E121</f>
        <v>-82272.155666695355</v>
      </c>
      <c r="G19" s="58">
        <f>G7*'E-Costos'!F121</f>
        <v>-82294.1655741875</v>
      </c>
    </row>
    <row r="20" spans="1:20" x14ac:dyDescent="0.2">
      <c r="A20" s="104" t="s">
        <v>181</v>
      </c>
      <c r="B20" s="58">
        <v>0</v>
      </c>
      <c r="C20" s="58">
        <f>(('E-Inv AF y Am'!D56-'E-InvAT'!C18-'E-InvAT'!C17)/365)*30</f>
        <v>23397.287399823235</v>
      </c>
      <c r="D20" s="58">
        <f>('E-Inv AF y Am'!D56-D18-D17+C18+C17)*30/365</f>
        <v>23923.667115503085</v>
      </c>
      <c r="E20" s="58">
        <f>('E-Inv AF y Am'!D56-E18-E17+D18+D17)*30/365</f>
        <v>23822.441112564789</v>
      </c>
      <c r="F20" s="58">
        <f>('E-Inv AF y Am'!E56-F18-F17+E18+E17)*30/365</f>
        <v>23795.998190881372</v>
      </c>
      <c r="G20" s="58">
        <f>('E-Inv AF y Am'!E56-G18-G17+F18+F17)*30/365</f>
        <v>23795.64230005852</v>
      </c>
    </row>
    <row r="21" spans="1:20" x14ac:dyDescent="0.2">
      <c r="A21" s="104"/>
      <c r="B21" s="81"/>
      <c r="C21" s="81"/>
      <c r="D21" s="81"/>
      <c r="E21" s="81"/>
      <c r="F21" s="81"/>
      <c r="G21" s="82"/>
    </row>
    <row r="22" spans="1:20" x14ac:dyDescent="0.2">
      <c r="A22" s="101" t="s">
        <v>182</v>
      </c>
      <c r="B22" s="90">
        <f>B15-B16</f>
        <v>1335643.7652533499</v>
      </c>
      <c r="C22" s="90">
        <f t="shared" ref="C22:G22" si="3">C15-C16</f>
        <v>2882902.6329188747</v>
      </c>
      <c r="D22" s="90">
        <f t="shared" si="3"/>
        <v>3376634.250707177</v>
      </c>
      <c r="E22" s="90">
        <f t="shared" si="3"/>
        <v>3380854.9350373638</v>
      </c>
      <c r="F22" s="90">
        <f t="shared" si="3"/>
        <v>3391810.5835944884</v>
      </c>
      <c r="G22" s="90">
        <f t="shared" si="3"/>
        <v>3391833.5086055659</v>
      </c>
    </row>
    <row r="23" spans="1:20" x14ac:dyDescent="0.2">
      <c r="A23" s="104"/>
      <c r="B23" s="81"/>
      <c r="C23" s="81"/>
      <c r="D23" s="81"/>
      <c r="E23" s="81"/>
      <c r="F23" s="81"/>
      <c r="G23" s="82"/>
    </row>
    <row r="24" spans="1:20" x14ac:dyDescent="0.2">
      <c r="A24" s="101" t="s">
        <v>183</v>
      </c>
      <c r="B24" s="58">
        <f>B15-0</f>
        <v>1335643.7652533499</v>
      </c>
      <c r="C24" s="58">
        <f>C15-B15</f>
        <v>1585795.3075259489</v>
      </c>
      <c r="D24" s="58">
        <f>D15-C15</f>
        <v>405573.8715924006</v>
      </c>
      <c r="E24" s="58">
        <f>E15-D15</f>
        <v>-221.38280840869993</v>
      </c>
      <c r="F24" s="58">
        <f t="shared" ref="F24:G24" si="4">F15-E15</f>
        <v>10466.439760318492</v>
      </c>
      <c r="G24" s="58">
        <f t="shared" si="4"/>
        <v>0.54456205060705543</v>
      </c>
    </row>
    <row r="25" spans="1:20" x14ac:dyDescent="0.2">
      <c r="A25" s="101" t="s">
        <v>184</v>
      </c>
      <c r="B25" s="90">
        <f>B22-0</f>
        <v>1335643.7652533499</v>
      </c>
      <c r="C25" s="90">
        <f>C22-B22</f>
        <v>1547258.8676655248</v>
      </c>
      <c r="D25" s="90">
        <f t="shared" ref="D25:G25" si="5">D22-C22</f>
        <v>493731.61778830225</v>
      </c>
      <c r="E25" s="90">
        <f t="shared" si="5"/>
        <v>4220.6843301868066</v>
      </c>
      <c r="F25" s="90">
        <f t="shared" si="5"/>
        <v>10955.648557124659</v>
      </c>
      <c r="G25" s="90">
        <f t="shared" si="5"/>
        <v>22.925011077430099</v>
      </c>
    </row>
    <row r="26" spans="1:20" x14ac:dyDescent="0.2">
      <c r="A26" s="104"/>
      <c r="B26" s="81"/>
      <c r="C26" s="81"/>
      <c r="D26" s="81"/>
      <c r="E26" s="81"/>
      <c r="F26" s="81"/>
      <c r="G26" s="82"/>
    </row>
    <row r="27" spans="1:20" x14ac:dyDescent="0.2">
      <c r="A27" s="101" t="s">
        <v>185</v>
      </c>
      <c r="B27" s="81"/>
      <c r="C27" s="81"/>
      <c r="D27" s="81"/>
      <c r="E27" s="81"/>
      <c r="F27" s="81"/>
      <c r="G27" s="82"/>
    </row>
    <row r="28" spans="1:20" x14ac:dyDescent="0.2">
      <c r="A28" s="104" t="s">
        <v>186</v>
      </c>
      <c r="B28" s="58"/>
      <c r="C28" s="58"/>
      <c r="D28" s="58"/>
      <c r="E28" s="58"/>
      <c r="F28" s="58"/>
      <c r="G28" s="59"/>
    </row>
    <row r="29" spans="1:20" x14ac:dyDescent="0.2">
      <c r="A29" s="104" t="s">
        <v>187</v>
      </c>
      <c r="B29" s="58"/>
      <c r="C29" s="58"/>
      <c r="D29" s="58"/>
      <c r="E29" s="58"/>
      <c r="F29" s="58"/>
      <c r="G29" s="59"/>
    </row>
    <row r="30" spans="1:20" x14ac:dyDescent="0.2">
      <c r="A30" s="104" t="s">
        <v>188</v>
      </c>
      <c r="B30" s="58">
        <f>B10*0.21</f>
        <v>201098.59131600001</v>
      </c>
      <c r="C30" s="58">
        <f>(C10-B10)*0.21</f>
        <v>49707.368508</v>
      </c>
      <c r="D30" s="58">
        <f t="shared" ref="D30:G31" si="6">(D10-C10)*0.21</f>
        <v>0</v>
      </c>
      <c r="E30" s="58">
        <f t="shared" si="6"/>
        <v>0</v>
      </c>
      <c r="F30" s="58">
        <f t="shared" si="6"/>
        <v>0</v>
      </c>
      <c r="G30" s="58">
        <f t="shared" si="6"/>
        <v>0</v>
      </c>
    </row>
    <row r="31" spans="1:20" ht="13.5" thickBot="1" x14ac:dyDescent="0.25">
      <c r="A31" s="104" t="s">
        <v>189</v>
      </c>
      <c r="B31" s="58">
        <f>B11*0.21</f>
        <v>42889.649387203463</v>
      </c>
      <c r="C31" s="58">
        <f>(C11-B11)*0.21</f>
        <v>10722.41234680086</v>
      </c>
      <c r="D31" s="58">
        <f>(D11-C11)*0.21</f>
        <v>5924.7610145640001</v>
      </c>
      <c r="E31" s="58">
        <f>(E11-D11)*0.21</f>
        <v>0</v>
      </c>
      <c r="F31" s="58">
        <f t="shared" si="6"/>
        <v>2164.039576477744</v>
      </c>
      <c r="G31" s="58">
        <f t="shared" si="6"/>
        <v>0</v>
      </c>
    </row>
    <row r="32" spans="1:20" x14ac:dyDescent="0.2">
      <c r="A32" s="104" t="s">
        <v>190</v>
      </c>
      <c r="B32" s="58">
        <v>0</v>
      </c>
      <c r="C32" s="58">
        <f>J39</f>
        <v>24718.292194233221</v>
      </c>
      <c r="D32" s="58">
        <f t="shared" ref="D32:G32" si="7">K39</f>
        <v>-4.4271752781678515</v>
      </c>
      <c r="E32" s="58">
        <f t="shared" si="7"/>
        <v>0</v>
      </c>
      <c r="F32" s="58">
        <f t="shared" si="7"/>
        <v>10.902205477752432</v>
      </c>
      <c r="G32" s="58">
        <f t="shared" si="7"/>
        <v>0</v>
      </c>
      <c r="I32" s="283" t="s">
        <v>528</v>
      </c>
      <c r="J32" s="284" t="s">
        <v>54</v>
      </c>
      <c r="K32" s="284" t="s">
        <v>94</v>
      </c>
      <c r="L32" s="284" t="s">
        <v>95</v>
      </c>
      <c r="M32" s="284" t="s">
        <v>96</v>
      </c>
      <c r="N32" s="285" t="s">
        <v>97</v>
      </c>
    </row>
    <row r="33" spans="1:14" x14ac:dyDescent="0.2">
      <c r="A33" s="104" t="s">
        <v>191</v>
      </c>
      <c r="B33" s="256">
        <v>0</v>
      </c>
      <c r="C33" s="256">
        <f>J48</f>
        <v>20657.054781840219</v>
      </c>
      <c r="D33" s="256">
        <f t="shared" ref="D33:G33" si="8">K48</f>
        <v>3426.3492256317259</v>
      </c>
      <c r="E33" s="256">
        <f t="shared" si="8"/>
        <v>0</v>
      </c>
      <c r="F33" s="256">
        <f t="shared" si="8"/>
        <v>21.628815569911239</v>
      </c>
      <c r="G33" s="256">
        <f t="shared" si="8"/>
        <v>0</v>
      </c>
      <c r="I33" s="286" t="s">
        <v>98</v>
      </c>
      <c r="J33" s="287">
        <f>'E-Costos'!B25*0.21</f>
        <v>24347.873423999998</v>
      </c>
      <c r="K33" s="287">
        <f>'E-Costos'!C25*0.21</f>
        <v>24347.873423999998</v>
      </c>
      <c r="L33" s="287">
        <f>'E-Costos'!D25*0.21</f>
        <v>24347.873423999998</v>
      </c>
      <c r="M33" s="287">
        <f>'E-Costos'!E25*0.21</f>
        <v>24347.873423999998</v>
      </c>
      <c r="N33" s="288">
        <f>'E-Costos'!F25*0.21</f>
        <v>24347.873423999998</v>
      </c>
    </row>
    <row r="34" spans="1:14" x14ac:dyDescent="0.2">
      <c r="A34" s="101" t="s">
        <v>192</v>
      </c>
      <c r="B34" s="309">
        <f>SUM(B30:B33)</f>
        <v>243988.24070320348</v>
      </c>
      <c r="C34" s="309">
        <f t="shared" ref="C34:G34" si="9">SUM(C30:C33)</f>
        <v>105805.12783087429</v>
      </c>
      <c r="D34" s="309">
        <f t="shared" si="9"/>
        <v>9346.6830649175572</v>
      </c>
      <c r="E34" s="309">
        <f t="shared" si="9"/>
        <v>0</v>
      </c>
      <c r="F34" s="309">
        <f t="shared" si="9"/>
        <v>2196.5705975254077</v>
      </c>
      <c r="G34" s="309">
        <f t="shared" si="9"/>
        <v>0</v>
      </c>
      <c r="I34" s="286" t="s">
        <v>103</v>
      </c>
      <c r="J34" s="287">
        <f>'E-Costos'!B30*0.21</f>
        <v>289.2126029283184</v>
      </c>
      <c r="K34" s="287">
        <f>'E-Costos'!C30*0.21</f>
        <v>289.2126029283184</v>
      </c>
      <c r="L34" s="287">
        <f>'E-Costos'!D30*0.21</f>
        <v>289.2126029283184</v>
      </c>
      <c r="M34" s="287">
        <f>'E-Costos'!E30*0.21</f>
        <v>300.1148084060697</v>
      </c>
      <c r="N34" s="288">
        <f>'E-Costos'!F30*0.21</f>
        <v>300.1148084060697</v>
      </c>
    </row>
    <row r="35" spans="1:14" x14ac:dyDescent="0.2">
      <c r="A35" s="104"/>
      <c r="B35" s="61"/>
      <c r="C35" s="61"/>
      <c r="D35" s="61"/>
      <c r="E35" s="61"/>
      <c r="F35" s="61"/>
      <c r="G35" s="62"/>
      <c r="I35" s="286" t="s">
        <v>104</v>
      </c>
      <c r="J35" s="287">
        <f>'E-Costos'!B31*0.21</f>
        <v>48.69892805985517</v>
      </c>
      <c r="K35" s="287">
        <f>'E-Costos'!C31*0.21</f>
        <v>44.271752781686516</v>
      </c>
      <c r="L35" s="287">
        <f>'E-Costos'!D31*0.21</f>
        <v>44.271752781686516</v>
      </c>
      <c r="M35" s="287">
        <f>'E-Costos'!E31*0.21</f>
        <v>44.271752781686516</v>
      </c>
      <c r="N35" s="288">
        <f>'E-Costos'!F31*0.21</f>
        <v>44.271752781686516</v>
      </c>
    </row>
    <row r="36" spans="1:14" ht="13.5" thickBot="1" x14ac:dyDescent="0.25">
      <c r="A36" s="105" t="s">
        <v>193</v>
      </c>
      <c r="B36" s="145">
        <f>B25+B34</f>
        <v>1579632.0059565534</v>
      </c>
      <c r="C36" s="145">
        <f t="shared" ref="C36:G36" si="10">C25+C34</f>
        <v>1653063.9954963992</v>
      </c>
      <c r="D36" s="145">
        <f t="shared" si="10"/>
        <v>503078.30085321981</v>
      </c>
      <c r="E36" s="145">
        <f t="shared" si="10"/>
        <v>4220.6843301868066</v>
      </c>
      <c r="F36" s="145">
        <f t="shared" si="10"/>
        <v>13152.219154650067</v>
      </c>
      <c r="G36" s="145">
        <f t="shared" si="10"/>
        <v>22.925011077430099</v>
      </c>
      <c r="I36" s="286" t="s">
        <v>105</v>
      </c>
      <c r="J36" s="287">
        <f>'E-Costos'!B32*0.21</f>
        <v>32.507239245052588</v>
      </c>
      <c r="K36" s="287">
        <f>'E-Costos'!C32*0.21</f>
        <v>32.507239245052588</v>
      </c>
      <c r="L36" s="287">
        <f>'E-Costos'!D32*0.21</f>
        <v>32.507239245052588</v>
      </c>
      <c r="M36" s="287">
        <f>'E-Costos'!E32*0.21</f>
        <v>32.507239245052588</v>
      </c>
      <c r="N36" s="288">
        <f>'E-Costos'!F32*0.21</f>
        <v>32.507239245052588</v>
      </c>
    </row>
    <row r="37" spans="1:14" ht="13.5" thickTop="1" x14ac:dyDescent="0.2">
      <c r="I37" s="286"/>
      <c r="J37" s="289"/>
      <c r="K37" s="289"/>
      <c r="L37" s="289"/>
      <c r="M37" s="289"/>
      <c r="N37" s="290"/>
    </row>
    <row r="38" spans="1:14" x14ac:dyDescent="0.2">
      <c r="I38" s="286" t="s">
        <v>157</v>
      </c>
      <c r="J38" s="287">
        <f>SUM(J33:J36)</f>
        <v>24718.292194233221</v>
      </c>
      <c r="K38" s="287">
        <f t="shared" ref="K38:N38" si="11">SUM(K33:K36)</f>
        <v>24713.865018955054</v>
      </c>
      <c r="L38" s="287">
        <f t="shared" si="11"/>
        <v>24713.865018955054</v>
      </c>
      <c r="M38" s="287">
        <f t="shared" si="11"/>
        <v>24724.767224432806</v>
      </c>
      <c r="N38" s="288">
        <f t="shared" si="11"/>
        <v>24724.767224432806</v>
      </c>
    </row>
    <row r="39" spans="1:14" ht="13.5" thickBot="1" x14ac:dyDescent="0.25">
      <c r="I39" s="291" t="s">
        <v>529</v>
      </c>
      <c r="J39" s="292">
        <f>J38</f>
        <v>24718.292194233221</v>
      </c>
      <c r="K39" s="292">
        <f>K38-J38</f>
        <v>-4.4271752781678515</v>
      </c>
      <c r="L39" s="292">
        <f t="shared" ref="L39:N39" si="12">L38-K38</f>
        <v>0</v>
      </c>
      <c r="M39" s="292">
        <f t="shared" si="12"/>
        <v>10.902205477752432</v>
      </c>
      <c r="N39" s="293">
        <f t="shared" si="12"/>
        <v>0</v>
      </c>
    </row>
    <row r="40" spans="1:14" ht="13.5" thickBot="1" x14ac:dyDescent="0.25"/>
    <row r="41" spans="1:14" x14ac:dyDescent="0.2">
      <c r="I41" s="294" t="s">
        <v>530</v>
      </c>
      <c r="J41" s="284" t="s">
        <v>54</v>
      </c>
      <c r="K41" s="284" t="s">
        <v>94</v>
      </c>
      <c r="L41" s="284" t="s">
        <v>95</v>
      </c>
      <c r="M41" s="284" t="s">
        <v>96</v>
      </c>
      <c r="N41" s="285" t="s">
        <v>97</v>
      </c>
    </row>
    <row r="42" spans="1:14" x14ac:dyDescent="0.2">
      <c r="I42" s="286" t="s">
        <v>98</v>
      </c>
      <c r="J42" s="287">
        <f>0.21*('E-Costos'!B7+'E-Costos'!B25+'E-Costos'!B41)*'E-InvAT'!K17/'E-InvAT'!J17</f>
        <v>19042.75149191219</v>
      </c>
      <c r="K42" s="287">
        <f>0.21*('E-Costos'!C7+'E-Costos'!C25+'E-Costos'!C41)*'E-InvAT'!$K$18/'E-InvAT'!$J$18</f>
        <v>23357.315628054064</v>
      </c>
      <c r="L42" s="287">
        <f>0.21*('E-Costos'!D7+'E-Costos'!D25+'E-Costos'!D41)*'E-InvAT'!$K$18/'E-InvAT'!$J$18</f>
        <v>23357.315628054064</v>
      </c>
      <c r="M42" s="287">
        <f>0.21*('E-Costos'!E7+'E-Costos'!E25+'E-Costos'!E41)*'E-InvAT'!$K$18/'E-InvAT'!$J$18</f>
        <v>23357.315628054064</v>
      </c>
      <c r="N42" s="288">
        <f>0.21*('E-Costos'!F7+'E-Costos'!F25+'E-Costos'!F41)*'E-InvAT'!$K$18/'E-InvAT'!$J$18</f>
        <v>23357.315628054064</v>
      </c>
    </row>
    <row r="43" spans="1:14" x14ac:dyDescent="0.2">
      <c r="I43" s="286" t="s">
        <v>103</v>
      </c>
      <c r="J43" s="287">
        <f>0.21*('E-Costos'!B12+'E-Costos'!B30+'E-Costos'!B41)*'E-InvAT'!K17/'E-InvAT'!J17</f>
        <v>940.48776847023635</v>
      </c>
      <c r="K43" s="287">
        <f>0.21*('E-Costos'!C12+'E-Costos'!C30+'E-Costos'!C41)*$K$18/$J$18</f>
        <v>573.76702924895233</v>
      </c>
      <c r="L43" s="287">
        <f>0.21*('E-Costos'!D12+'E-Costos'!D30+'E-Costos'!D41)*$K$18/$J$18</f>
        <v>573.76702924895233</v>
      </c>
      <c r="M43" s="287">
        <f>0.21*('E-Costos'!E12+'E-Costos'!E30+'E-Costos'!E41)*$K$18/$J$18</f>
        <v>595.39584481886504</v>
      </c>
      <c r="N43" s="288">
        <f>0.21*('E-Costos'!F12+'E-Costos'!F30+'E-Costos'!F41)*$K$18/$J$18</f>
        <v>595.39584481886504</v>
      </c>
    </row>
    <row r="44" spans="1:14" x14ac:dyDescent="0.2">
      <c r="I44" s="286" t="s">
        <v>104</v>
      </c>
      <c r="J44" s="287">
        <f>0.21*('E-Costos'!B13+'E-Costos'!B31+'E-Costos'!B41)*'E-InvAT'!K17/'E-InvAT'!J17</f>
        <v>370.52432311584334</v>
      </c>
      <c r="K44" s="287">
        <f>0.21*('E-Costos'!C13+'E-Costos'!C31+'E-Costos'!C41)*'E-InvAT'!$K$18/'E-InvAT'!$J$18</f>
        <v>87.830446584957912</v>
      </c>
      <c r="L44" s="287">
        <f>0.21*('E-Costos'!D13+'E-Costos'!D31+'E-Costos'!D41)*'E-InvAT'!$K$18/'E-InvAT'!$J$18</f>
        <v>87.830446584957912</v>
      </c>
      <c r="M44" s="287">
        <f>0.21*('E-Costos'!E13+'E-Costos'!E31+'E-Costos'!E41)*'E-InvAT'!$K$18/'E-InvAT'!$J$18</f>
        <v>87.830446584957912</v>
      </c>
      <c r="N44" s="288">
        <f>0.21*('E-Costos'!F13+'E-Costos'!F31+'E-Costos'!F41)*'E-InvAT'!$K$18/'E-InvAT'!$J$18</f>
        <v>87.830446584957912</v>
      </c>
    </row>
    <row r="45" spans="1:14" x14ac:dyDescent="0.2">
      <c r="I45" s="286" t="s">
        <v>105</v>
      </c>
      <c r="J45" s="287">
        <f>0.21*('E-Costos'!B14+'E-Costos'!B32+'E-Costos'!B41)*K17/J17</f>
        <v>303.29119834195097</v>
      </c>
      <c r="K45" s="287">
        <f>0.21*('E-Costos'!C14+'E-Costos'!C32+'E-Costos'!C41)*'E-InvAT'!$K$18/'E-InvAT'!$J$18</f>
        <v>64.490903583968603</v>
      </c>
      <c r="L45" s="287">
        <f>0.21*('E-Costos'!D14+'E-Costos'!D32+'E-Costos'!D41)*'E-InvAT'!$K$18/'E-InvAT'!$J$18</f>
        <v>64.490903583968603</v>
      </c>
      <c r="M45" s="287">
        <f>0.21*('E-Costos'!E14+'E-Costos'!E32+'E-Costos'!E41)*'E-InvAT'!$K$18/'E-InvAT'!$J$18</f>
        <v>64.490903583968603</v>
      </c>
      <c r="N45" s="288">
        <f>0.21*('E-Costos'!F14+'E-Costos'!F32+'E-Costos'!F41)*'E-InvAT'!$K$18/'E-InvAT'!$J$18</f>
        <v>64.490903583968603</v>
      </c>
    </row>
    <row r="46" spans="1:14" x14ac:dyDescent="0.2">
      <c r="I46" s="286"/>
      <c r="J46" s="287"/>
      <c r="K46" s="287"/>
      <c r="L46" s="287"/>
      <c r="M46" s="287"/>
      <c r="N46" s="288"/>
    </row>
    <row r="47" spans="1:14" x14ac:dyDescent="0.2">
      <c r="I47" s="286" t="s">
        <v>157</v>
      </c>
      <c r="J47" s="287">
        <f>SUM(J42:J45)</f>
        <v>20657.054781840219</v>
      </c>
      <c r="K47" s="287">
        <f t="shared" ref="K47:N47" si="13">SUM(K42:K45)</f>
        <v>24083.404007471945</v>
      </c>
      <c r="L47" s="287">
        <f t="shared" si="13"/>
        <v>24083.404007471945</v>
      </c>
      <c r="M47" s="287">
        <f t="shared" si="13"/>
        <v>24105.032823041856</v>
      </c>
      <c r="N47" s="288">
        <f t="shared" si="13"/>
        <v>24105.032823041856</v>
      </c>
    </row>
    <row r="48" spans="1:14" ht="13.5" thickBot="1" x14ac:dyDescent="0.25">
      <c r="I48" s="291" t="s">
        <v>529</v>
      </c>
      <c r="J48" s="292">
        <f>J47</f>
        <v>20657.054781840219</v>
      </c>
      <c r="K48" s="292">
        <f>K47-J47</f>
        <v>3426.3492256317259</v>
      </c>
      <c r="L48" s="292">
        <f t="shared" ref="L48:N48" si="14">L47-K47</f>
        <v>0</v>
      </c>
      <c r="M48" s="292">
        <f t="shared" si="14"/>
        <v>21.628815569911239</v>
      </c>
      <c r="N48" s="293">
        <f t="shared" si="14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90" zoomScaleNormal="90" workbookViewId="0">
      <selection activeCell="A15" sqref="A15"/>
    </sheetView>
  </sheetViews>
  <sheetFormatPr baseColWidth="10" defaultColWidth="11.28515625" defaultRowHeight="12.75" x14ac:dyDescent="0.2"/>
  <cols>
    <col min="1" max="1" width="28" style="16" customWidth="1"/>
    <col min="2" max="2" width="13.85546875" style="16" customWidth="1"/>
    <col min="3" max="3" width="16.85546875" style="16" customWidth="1"/>
    <col min="4" max="4" width="15.42578125" style="16" customWidth="1"/>
    <col min="5" max="5" width="14.42578125" style="16" customWidth="1"/>
    <col min="6" max="6" width="14.7109375" style="16" customWidth="1"/>
    <col min="7" max="8" width="13.85546875" style="16" customWidth="1"/>
    <col min="9" max="9" width="16.28515625" style="16" customWidth="1"/>
    <col min="10" max="10" width="17.28515625" style="16" customWidth="1"/>
    <col min="11" max="16384" width="11.28515625" style="16"/>
  </cols>
  <sheetData>
    <row r="1" spans="1:9" x14ac:dyDescent="0.2">
      <c r="A1" s="1" t="s">
        <v>0</v>
      </c>
      <c r="B1"/>
      <c r="C1"/>
      <c r="D1"/>
      <c r="G1" s="2">
        <f>InfoInicial!E1</f>
        <v>9</v>
      </c>
    </row>
    <row r="3" spans="1:9" ht="15.75" x14ac:dyDescent="0.25">
      <c r="A3" s="50" t="s">
        <v>194</v>
      </c>
      <c r="B3" s="51"/>
      <c r="C3" s="51"/>
      <c r="D3" s="51"/>
      <c r="E3" s="51"/>
      <c r="F3" s="51"/>
      <c r="G3" s="51"/>
      <c r="H3" s="51"/>
      <c r="I3" s="52"/>
    </row>
    <row r="4" spans="1:9" ht="25.5" x14ac:dyDescent="0.2">
      <c r="A4" s="53" t="s">
        <v>93</v>
      </c>
      <c r="B4" s="106" t="s">
        <v>195</v>
      </c>
      <c r="C4" s="106" t="s">
        <v>196</v>
      </c>
      <c r="D4" s="21" t="s">
        <v>54</v>
      </c>
      <c r="E4" s="21" t="s">
        <v>94</v>
      </c>
      <c r="F4" s="21" t="s">
        <v>95</v>
      </c>
      <c r="G4" s="21" t="s">
        <v>96</v>
      </c>
      <c r="H4" s="107" t="s">
        <v>97</v>
      </c>
      <c r="I4" s="22" t="s">
        <v>197</v>
      </c>
    </row>
    <row r="5" spans="1:9" x14ac:dyDescent="0.2">
      <c r="A5" s="101" t="s">
        <v>198</v>
      </c>
      <c r="B5" s="102"/>
      <c r="C5" s="102"/>
      <c r="D5" s="102"/>
      <c r="E5" s="102"/>
      <c r="F5" s="102"/>
      <c r="G5" s="102"/>
      <c r="H5" s="108"/>
      <c r="I5" s="103"/>
    </row>
    <row r="6" spans="1:9" x14ac:dyDescent="0.2">
      <c r="A6" s="109" t="s">
        <v>199</v>
      </c>
      <c r="B6" s="58">
        <v>0</v>
      </c>
      <c r="C6" s="58">
        <f>'E-Inv AF y Am'!B20</f>
        <v>11328839</v>
      </c>
      <c r="D6" s="58">
        <v>0</v>
      </c>
      <c r="E6" s="58">
        <v>0</v>
      </c>
      <c r="F6" s="58">
        <v>0</v>
      </c>
      <c r="G6" s="58">
        <v>0</v>
      </c>
      <c r="H6" s="110">
        <v>0</v>
      </c>
      <c r="I6" s="59">
        <f>SUM(B6:H6)</f>
        <v>11328839</v>
      </c>
    </row>
    <row r="7" spans="1:9" x14ac:dyDescent="0.2">
      <c r="A7" s="109" t="s">
        <v>200</v>
      </c>
      <c r="B7" s="58">
        <f>'E-Inv AF y Am'!B23</f>
        <v>100000</v>
      </c>
      <c r="C7" s="58">
        <f>'E-Inv AF y Am'!B24+'E-Inv AF y Am'!B25+'E-Inv AF y Am'!B27+'E-Inv AF y Am'!B28+'E-Inv AF y Am'!B29</f>
        <v>402200</v>
      </c>
      <c r="D7" s="58">
        <f>'E-Inv AF y Am'!C26</f>
        <v>349272.28200000001</v>
      </c>
      <c r="E7" s="58">
        <v>0</v>
      </c>
      <c r="F7" s="58">
        <v>0</v>
      </c>
      <c r="G7" s="58">
        <v>0</v>
      </c>
      <c r="H7" s="110">
        <v>0</v>
      </c>
      <c r="I7" s="59">
        <f>SUM(B7:H7)</f>
        <v>851472.28200000001</v>
      </c>
    </row>
    <row r="8" spans="1:9" x14ac:dyDescent="0.2">
      <c r="A8" s="101" t="s">
        <v>201</v>
      </c>
      <c r="B8" s="90">
        <f>SUM(B6:B7)</f>
        <v>100000</v>
      </c>
      <c r="C8" s="90">
        <f t="shared" ref="C8:I8" si="0">SUM(C6:C7)</f>
        <v>11731039</v>
      </c>
      <c r="D8" s="90">
        <f t="shared" si="0"/>
        <v>349272.28200000001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12180311.282</v>
      </c>
    </row>
    <row r="9" spans="1:9" x14ac:dyDescent="0.2">
      <c r="A9" s="109"/>
      <c r="B9" s="81"/>
      <c r="C9" s="81"/>
      <c r="D9" s="81"/>
      <c r="E9" s="81"/>
      <c r="F9" s="81"/>
      <c r="G9" s="81"/>
      <c r="H9" s="111"/>
      <c r="I9" s="82"/>
    </row>
    <row r="10" spans="1:9" x14ac:dyDescent="0.2">
      <c r="A10" s="101" t="s">
        <v>202</v>
      </c>
      <c r="B10" s="58"/>
      <c r="C10" s="58"/>
      <c r="D10" s="58"/>
      <c r="E10" s="58"/>
      <c r="F10" s="58"/>
      <c r="G10" s="58"/>
      <c r="H10" s="110"/>
      <c r="I10" s="59"/>
    </row>
    <row r="11" spans="1:9" x14ac:dyDescent="0.2">
      <c r="A11" s="109" t="s">
        <v>203</v>
      </c>
      <c r="B11" s="58">
        <v>0</v>
      </c>
      <c r="C11" s="58">
        <f>'E-InvAT'!B6</f>
        <v>173795</v>
      </c>
      <c r="D11" s="58">
        <f>'E-InvAT'!C6-'E-InvAT'!B6</f>
        <v>43448.75</v>
      </c>
      <c r="E11" s="58">
        <f>'E-InvAT'!D6-'E-InvAT'!C6</f>
        <v>72411.25</v>
      </c>
      <c r="F11" s="58">
        <f>'E-InvAT'!E6-'E-InvAT'!D6</f>
        <v>0</v>
      </c>
      <c r="G11" s="58">
        <f>'E-InvAT'!F6-'E-InvAT'!E6</f>
        <v>0</v>
      </c>
      <c r="H11" s="58">
        <f>'E-InvAT'!G6-'E-InvAT'!F6</f>
        <v>0</v>
      </c>
      <c r="I11" s="59">
        <f>SUM(B11:H11)</f>
        <v>289655</v>
      </c>
    </row>
    <row r="12" spans="1:9" x14ac:dyDescent="0.2">
      <c r="A12" s="109" t="s">
        <v>204</v>
      </c>
      <c r="B12" s="58">
        <v>0</v>
      </c>
      <c r="C12" s="58">
        <v>0</v>
      </c>
      <c r="D12" s="58">
        <f>'E-InvAT'!C7-'E-InvAT'!C19-'E-InvAT'!C20</f>
        <v>859414.39768830175</v>
      </c>
      <c r="E12" s="58">
        <f>('E-InvAT'!D7-'E-InvAT'!D19-'E-InvAT'!D20)-('E-InvAT'!C7-'E-InvAT'!C19-'E-InvAT'!C20)</f>
        <v>384502.24240933568</v>
      </c>
      <c r="F12" s="58">
        <f>('E-InvAT'!E7-'E-InvAT'!E19-'E-InvAT'!E20)-('E-InvAT'!D7-'E-InvAT'!D19-'E-InvAT'!D20)</f>
        <v>4437.6669357239734</v>
      </c>
      <c r="G12" s="58">
        <f>('E-InvAT'!F7-'E-InvAT'!F19-'E-InvAT'!F20)-('E-InvAT'!E7-'E-InvAT'!E19-'E-InvAT'!E20)</f>
        <v>484.86414108262397</v>
      </c>
      <c r="H12" s="58">
        <f>('E-InvAT'!G7-'E-InvAT'!G19-'E-InvAT'!G20)-('E-InvAT'!F7-'E-InvAT'!F19-'E-InvAT'!F20)</f>
        <v>22.365798314800486</v>
      </c>
      <c r="I12" s="59">
        <f>SUM(B12:H12)</f>
        <v>1248861.5369727588</v>
      </c>
    </row>
    <row r="13" spans="1:9" x14ac:dyDescent="0.2">
      <c r="A13" s="109" t="s">
        <v>205</v>
      </c>
      <c r="B13" s="58"/>
      <c r="C13" s="58"/>
      <c r="D13" s="58"/>
      <c r="E13" s="58"/>
      <c r="F13" s="58"/>
      <c r="G13" s="58"/>
      <c r="H13" s="110"/>
      <c r="I13" s="59"/>
    </row>
    <row r="14" spans="1:9" x14ac:dyDescent="0.2">
      <c r="A14" s="109" t="s">
        <v>206</v>
      </c>
      <c r="B14" s="58">
        <v>0</v>
      </c>
      <c r="C14" s="58">
        <f>'E-InvAT'!B10</f>
        <v>957612.33960000006</v>
      </c>
      <c r="D14" s="58">
        <f>'E-InvAT'!C10-'E-InvAT'!B10</f>
        <v>236701.7548</v>
      </c>
      <c r="E14" s="58">
        <f>'E-InvAT'!D10-'E-InvAT'!C10</f>
        <v>0</v>
      </c>
      <c r="F14" s="58">
        <f>'E-InvAT'!E10-'E-InvAT'!D10</f>
        <v>0</v>
      </c>
      <c r="G14" s="58">
        <f>'E-InvAT'!F10-'E-InvAT'!E10</f>
        <v>0</v>
      </c>
      <c r="H14" s="58">
        <f>'E-InvAT'!G10-'E-InvAT'!F10</f>
        <v>0</v>
      </c>
      <c r="I14" s="59">
        <f>SUM(B14:H14)</f>
        <v>1194314.0944000001</v>
      </c>
    </row>
    <row r="15" spans="1:9" x14ac:dyDescent="0.2">
      <c r="A15" s="109" t="s">
        <v>207</v>
      </c>
      <c r="B15" s="58">
        <v>0</v>
      </c>
      <c r="C15" s="58">
        <f>'E-InvAT'!B11</f>
        <v>204236.42565334981</v>
      </c>
      <c r="D15" s="58">
        <f>'E-InvAT'!C11-'E-InvAT'!B11</f>
        <v>51059.106413337431</v>
      </c>
      <c r="E15" s="58">
        <f>'E-InvAT'!D11-'E-InvAT'!C11</f>
        <v>28213.1476884</v>
      </c>
      <c r="F15" s="58">
        <f>'E-InvAT'!E11-'E-InvAT'!D11</f>
        <v>0</v>
      </c>
      <c r="G15" s="58">
        <f>'E-InvAT'!F11-'E-InvAT'!E11</f>
        <v>10304.950364179735</v>
      </c>
      <c r="H15" s="58">
        <f>'E-InvAT'!G11-'E-InvAT'!F11</f>
        <v>0</v>
      </c>
      <c r="I15" s="59">
        <f>SUM(B15:H15)</f>
        <v>293813.63011926698</v>
      </c>
    </row>
    <row r="16" spans="1:9" x14ac:dyDescent="0.2">
      <c r="A16" s="109" t="s">
        <v>208</v>
      </c>
      <c r="B16" s="58">
        <v>0</v>
      </c>
      <c r="C16" s="58">
        <v>0</v>
      </c>
      <c r="D16" s="58">
        <f>'E-InvAT'!C12-'E-InvAT'!C17</f>
        <v>256901.0249530345</v>
      </c>
      <c r="E16" s="58">
        <f>'E-InvAT'!D12-'E-InvAT'!D17-('E-InvAT'!C12-'E-InvAT'!C17)</f>
        <v>-21709.877929826849</v>
      </c>
      <c r="F16" s="58">
        <f>'E-InvAT'!E12-'E-InvAT'!E17-('E-InvAT'!D12-'E-InvAT'!D17)</f>
        <v>0</v>
      </c>
      <c r="G16" s="58">
        <f>'E-InvAT'!F12-'E-InvAT'!F17-('E-InvAT'!E12-'E-InvAT'!E17)</f>
        <v>55.951216865651077</v>
      </c>
      <c r="H16" s="58">
        <f>'E-InvAT'!G12-'E-InvAT'!G17-('E-InvAT'!F12-'E-InvAT'!F17)</f>
        <v>0</v>
      </c>
      <c r="I16" s="59">
        <f>SUM(B16:H16)</f>
        <v>235247.0982400733</v>
      </c>
    </row>
    <row r="17" spans="1:9" x14ac:dyDescent="0.2">
      <c r="A17" s="109" t="s">
        <v>209</v>
      </c>
      <c r="B17" s="58">
        <v>0</v>
      </c>
      <c r="C17" s="58">
        <v>0</v>
      </c>
      <c r="D17" s="58">
        <f>'E-InvAT'!C13-'E-InvAT'!C18</f>
        <v>99733.833810851182</v>
      </c>
      <c r="E17" s="58">
        <f>('E-InvAT'!D13-'E-InvAT'!D18)-('E-InvAT'!C13-'E-InvAT'!C18)</f>
        <v>30314.855620393719</v>
      </c>
      <c r="F17" s="58">
        <f>('E-InvAT'!E13-'E-InvAT'!E18)-('E-InvAT'!D13-'E-InvAT'!D18)</f>
        <v>-216.98260553710861</v>
      </c>
      <c r="G17" s="58">
        <f>('E-InvAT'!F13-'E-InvAT'!F18)-('E-InvAT'!E13-'E-InvAT'!E18)</f>
        <v>109.88283499625686</v>
      </c>
      <c r="H17" s="58">
        <f>('E-InvAT'!G13-'E-InvAT'!G18)-('E-InvAT'!F13-'E-InvAT'!F18)</f>
        <v>0.55921276284789201</v>
      </c>
      <c r="I17" s="59">
        <f>SUM(B17:H17)</f>
        <v>129942.1488734669</v>
      </c>
    </row>
    <row r="18" spans="1:9" x14ac:dyDescent="0.2">
      <c r="A18" s="101" t="s">
        <v>210</v>
      </c>
      <c r="B18" s="90">
        <f>SUM(B11:B17)</f>
        <v>0</v>
      </c>
      <c r="C18" s="90">
        <f t="shared" ref="C18:I18" si="1">SUM(C11:C17)</f>
        <v>1335643.7652533499</v>
      </c>
      <c r="D18" s="90">
        <f t="shared" si="1"/>
        <v>1547258.8676655248</v>
      </c>
      <c r="E18" s="90">
        <f t="shared" si="1"/>
        <v>493731.61778830254</v>
      </c>
      <c r="F18" s="90">
        <f t="shared" si="1"/>
        <v>4220.6843301868648</v>
      </c>
      <c r="G18" s="90">
        <f t="shared" si="1"/>
        <v>10955.648557124267</v>
      </c>
      <c r="H18" s="90">
        <f t="shared" si="1"/>
        <v>22.925011077648378</v>
      </c>
      <c r="I18" s="90">
        <f t="shared" si="1"/>
        <v>3391833.5086055663</v>
      </c>
    </row>
    <row r="19" spans="1:9" x14ac:dyDescent="0.2">
      <c r="A19" s="109"/>
      <c r="B19" s="81"/>
      <c r="C19" s="81"/>
      <c r="D19" s="81"/>
      <c r="E19" s="81"/>
      <c r="F19" s="81"/>
      <c r="G19" s="81"/>
      <c r="H19" s="111"/>
      <c r="I19" s="82"/>
    </row>
    <row r="20" spans="1:9" x14ac:dyDescent="0.2">
      <c r="A20" s="101" t="s">
        <v>211</v>
      </c>
      <c r="B20" s="81"/>
      <c r="C20" s="81"/>
      <c r="D20" s="81"/>
      <c r="E20" s="81"/>
      <c r="F20" s="81"/>
      <c r="G20" s="81"/>
      <c r="H20" s="111"/>
      <c r="I20" s="82"/>
    </row>
    <row r="21" spans="1:9" x14ac:dyDescent="0.2">
      <c r="A21" s="109" t="s">
        <v>212</v>
      </c>
      <c r="B21" s="58">
        <f>B8*0.21</f>
        <v>21000</v>
      </c>
      <c r="C21" s="58">
        <f t="shared" ref="C21:I21" si="2">C8*0.21</f>
        <v>2463518.19</v>
      </c>
      <c r="D21" s="58">
        <f t="shared" si="2"/>
        <v>73347.179220000005</v>
      </c>
      <c r="E21" s="58">
        <f t="shared" si="2"/>
        <v>0</v>
      </c>
      <c r="F21" s="58">
        <f t="shared" si="2"/>
        <v>0</v>
      </c>
      <c r="G21" s="58">
        <f t="shared" si="2"/>
        <v>0</v>
      </c>
      <c r="H21" s="58">
        <f t="shared" si="2"/>
        <v>0</v>
      </c>
      <c r="I21" s="58">
        <f t="shared" si="2"/>
        <v>2557865.3692199998</v>
      </c>
    </row>
    <row r="22" spans="1:9" x14ac:dyDescent="0.2">
      <c r="A22" s="109" t="s">
        <v>213</v>
      </c>
      <c r="B22" s="58">
        <v>0</v>
      </c>
      <c r="C22" s="58">
        <f>'E-InvAT'!B34</f>
        <v>243988.24070320348</v>
      </c>
      <c r="D22" s="58">
        <f>'E-InvAT'!C34</f>
        <v>105805.12783087429</v>
      </c>
      <c r="E22" s="58">
        <f>'E-InvAT'!D34</f>
        <v>9346.6830649175572</v>
      </c>
      <c r="F22" s="58">
        <f>'E-InvAT'!E34</f>
        <v>0</v>
      </c>
      <c r="G22" s="58">
        <f>'E-InvAT'!F34</f>
        <v>2196.5705975254077</v>
      </c>
      <c r="H22" s="58">
        <f>'E-InvAT'!G34</f>
        <v>0</v>
      </c>
      <c r="I22" s="58">
        <f>SUM(B22:H22)</f>
        <v>361336.62219652074</v>
      </c>
    </row>
    <row r="23" spans="1:9" x14ac:dyDescent="0.2">
      <c r="A23" s="101" t="s">
        <v>214</v>
      </c>
      <c r="B23" s="90">
        <f>SUM(B21:B22)</f>
        <v>21000</v>
      </c>
      <c r="C23" s="90">
        <f t="shared" ref="C23:H23" si="3">SUM(C21:C22)</f>
        <v>2707506.4307032032</v>
      </c>
      <c r="D23" s="90">
        <f t="shared" si="3"/>
        <v>179152.30705087428</v>
      </c>
      <c r="E23" s="90">
        <f t="shared" si="3"/>
        <v>9346.6830649175572</v>
      </c>
      <c r="F23" s="90">
        <f t="shared" si="3"/>
        <v>0</v>
      </c>
      <c r="G23" s="90">
        <f t="shared" si="3"/>
        <v>2196.5705975254077</v>
      </c>
      <c r="H23" s="90">
        <f t="shared" si="3"/>
        <v>0</v>
      </c>
      <c r="I23" s="90">
        <f>SUM(I21:I22)</f>
        <v>2919201.9914165204</v>
      </c>
    </row>
    <row r="24" spans="1:9" x14ac:dyDescent="0.2">
      <c r="A24" s="101"/>
      <c r="B24" s="81"/>
      <c r="C24" s="81"/>
      <c r="D24" s="81"/>
      <c r="E24" s="81"/>
      <c r="F24" s="81"/>
      <c r="G24" s="81"/>
      <c r="H24" s="111"/>
      <c r="I24" s="82"/>
    </row>
    <row r="25" spans="1:9" x14ac:dyDescent="0.2">
      <c r="A25" s="105" t="s">
        <v>215</v>
      </c>
      <c r="B25" s="145">
        <f>B8+B18+B23</f>
        <v>121000</v>
      </c>
      <c r="C25" s="145">
        <f t="shared" ref="C25:I25" si="4">C8+C18+C23</f>
        <v>15774189.195956554</v>
      </c>
      <c r="D25" s="145">
        <f t="shared" si="4"/>
        <v>2075683.4567163989</v>
      </c>
      <c r="E25" s="145">
        <f t="shared" si="4"/>
        <v>503078.30085322011</v>
      </c>
      <c r="F25" s="145">
        <f t="shared" si="4"/>
        <v>4220.6843301868648</v>
      </c>
      <c r="G25" s="145">
        <f t="shared" si="4"/>
        <v>13152.219154649674</v>
      </c>
      <c r="H25" s="145">
        <f t="shared" si="4"/>
        <v>22.925011077648378</v>
      </c>
      <c r="I25" s="145">
        <f t="shared" si="4"/>
        <v>18491346.782022085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90" zoomScaleNormal="90" workbookViewId="0">
      <selection activeCell="E21" sqref="E21"/>
    </sheetView>
  </sheetViews>
  <sheetFormatPr baseColWidth="10" defaultColWidth="11.28515625" defaultRowHeight="12.75" x14ac:dyDescent="0.2"/>
  <cols>
    <col min="1" max="1" width="28" style="16" customWidth="1"/>
    <col min="2" max="2" width="15.7109375" style="16" customWidth="1"/>
    <col min="3" max="3" width="16.5703125" style="16" customWidth="1"/>
    <col min="4" max="4" width="16.140625" style="16" customWidth="1"/>
    <col min="5" max="5" width="15.42578125" style="16" customWidth="1"/>
    <col min="6" max="6" width="16.5703125" style="16" customWidth="1"/>
    <col min="7" max="7" width="15.855468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9</v>
      </c>
    </row>
    <row r="2" spans="1:7" ht="15.75" x14ac:dyDescent="0.25">
      <c r="A2" s="113" t="s">
        <v>216</v>
      </c>
      <c r="B2" s="51"/>
      <c r="C2" s="51"/>
      <c r="D2" s="51"/>
      <c r="E2" s="51"/>
      <c r="F2" s="51"/>
      <c r="G2" s="52"/>
    </row>
    <row r="3" spans="1:7" ht="15.75" x14ac:dyDescent="0.25">
      <c r="A3" s="114"/>
      <c r="B3" s="115" t="s">
        <v>217</v>
      </c>
      <c r="C3" s="115"/>
      <c r="D3" s="115"/>
      <c r="E3" s="115"/>
      <c r="F3" s="115"/>
      <c r="G3" s="116"/>
    </row>
    <row r="4" spans="1:7" x14ac:dyDescent="0.2">
      <c r="A4" s="117" t="s">
        <v>93</v>
      </c>
      <c r="B4" s="106" t="s">
        <v>53</v>
      </c>
      <c r="C4" s="21" t="s">
        <v>54</v>
      </c>
      <c r="D4" s="21" t="s">
        <v>94</v>
      </c>
      <c r="E4" s="21" t="s">
        <v>95</v>
      </c>
      <c r="F4" s="21" t="s">
        <v>96</v>
      </c>
      <c r="G4" s="22" t="s">
        <v>97</v>
      </c>
    </row>
    <row r="5" spans="1:7" x14ac:dyDescent="0.2">
      <c r="A5" s="118" t="s">
        <v>218</v>
      </c>
      <c r="B5" s="119"/>
      <c r="C5" s="102"/>
      <c r="D5" s="102"/>
      <c r="E5" s="102"/>
      <c r="F5" s="102"/>
      <c r="G5" s="103"/>
    </row>
    <row r="6" spans="1:7" x14ac:dyDescent="0.2">
      <c r="A6" s="120" t="s">
        <v>219</v>
      </c>
      <c r="B6" s="121">
        <v>0</v>
      </c>
      <c r="C6" s="58">
        <f>'E-Costos'!B7*0.21</f>
        <v>1403862.3080159998</v>
      </c>
      <c r="D6" s="58">
        <f>'E-Costos'!C7*0.21</f>
        <v>2312634.2537759999</v>
      </c>
      <c r="E6" s="58">
        <f>'E-Costos'!D7*0.21</f>
        <v>2312634.2537759999</v>
      </c>
      <c r="F6" s="58">
        <f>'E-Costos'!E7*0.21</f>
        <v>2312634.2537759999</v>
      </c>
      <c r="G6" s="58">
        <f>'E-Costos'!F7*0.21</f>
        <v>2312634.2537759999</v>
      </c>
    </row>
    <row r="7" spans="1:7" x14ac:dyDescent="0.2">
      <c r="A7" s="120" t="s">
        <v>103</v>
      </c>
      <c r="B7" s="121">
        <v>0</v>
      </c>
      <c r="C7" s="58">
        <f>0.21*'E-Costos'!B12</f>
        <v>51406.389131076001</v>
      </c>
      <c r="D7" s="58">
        <f>0.21*'E-Costos'!C12</f>
        <v>57118.210145639998</v>
      </c>
      <c r="E7" s="58">
        <f>0.21*'E-Costos'!D12</f>
        <v>57118.210145639998</v>
      </c>
      <c r="F7" s="58">
        <f>0.21*'E-Costos'!E12</f>
        <v>59271.347516639995</v>
      </c>
      <c r="G7" s="58">
        <f>0.21*'E-Costos'!F12</f>
        <v>59271.347516639995</v>
      </c>
    </row>
    <row r="8" spans="1:7" x14ac:dyDescent="0.2">
      <c r="A8" s="120" t="s">
        <v>104</v>
      </c>
      <c r="B8" s="121">
        <v>0</v>
      </c>
      <c r="C8" s="58">
        <f>0.21*'E-Costos'!B13</f>
        <v>8306.3016294299996</v>
      </c>
      <c r="D8" s="58">
        <f>0.21*'E-Costos'!C13</f>
        <v>8743.4753993999984</v>
      </c>
      <c r="E8" s="58">
        <f>0.21*'E-Costos'!D13</f>
        <v>8743.4753993999984</v>
      </c>
      <c r="F8" s="58">
        <f>0.21*'E-Costos'!E13</f>
        <v>8743.4753993999984</v>
      </c>
      <c r="G8" s="58">
        <f>0.21*'E-Costos'!F13</f>
        <v>8743.4753993999984</v>
      </c>
    </row>
    <row r="9" spans="1:7" x14ac:dyDescent="0.2">
      <c r="A9" s="120" t="s">
        <v>105</v>
      </c>
      <c r="B9" s="121">
        <v>0</v>
      </c>
      <c r="C9" s="58">
        <f>0.21*'E-Costos'!B14</f>
        <v>3210.0179999999996</v>
      </c>
      <c r="D9" s="58">
        <f>0.21*'E-Costos'!C14</f>
        <v>6420.0359999999991</v>
      </c>
      <c r="E9" s="58">
        <f>0.21*'E-Costos'!D14</f>
        <v>6420.0359999999991</v>
      </c>
      <c r="F9" s="58">
        <f>0.21*'E-Costos'!E14</f>
        <v>6420.0359999999991</v>
      </c>
      <c r="G9" s="58">
        <f>0.21*'E-Costos'!F14</f>
        <v>6420.0359999999991</v>
      </c>
    </row>
    <row r="10" spans="1:7" x14ac:dyDescent="0.2">
      <c r="A10" s="120" t="s">
        <v>220</v>
      </c>
      <c r="B10" s="121">
        <v>0</v>
      </c>
      <c r="C10" s="58">
        <v>0</v>
      </c>
      <c r="D10" s="58">
        <v>0</v>
      </c>
      <c r="E10" s="58">
        <v>0</v>
      </c>
      <c r="F10" s="58">
        <v>0</v>
      </c>
      <c r="G10" s="59">
        <v>0</v>
      </c>
    </row>
    <row r="11" spans="1:7" x14ac:dyDescent="0.2">
      <c r="A11" s="120" t="s">
        <v>129</v>
      </c>
      <c r="B11" s="121">
        <v>0</v>
      </c>
      <c r="C11" s="58">
        <v>0</v>
      </c>
      <c r="D11" s="58">
        <v>0</v>
      </c>
      <c r="E11" s="58">
        <v>0</v>
      </c>
      <c r="F11" s="58">
        <v>0</v>
      </c>
      <c r="G11" s="59">
        <v>0</v>
      </c>
    </row>
    <row r="12" spans="1:7" x14ac:dyDescent="0.2">
      <c r="A12" s="122" t="s">
        <v>88</v>
      </c>
      <c r="B12" s="295">
        <f>SUM(B6:B11)</f>
        <v>0</v>
      </c>
      <c r="C12" s="295">
        <f t="shared" ref="C12:G12" si="0">SUM(C6:C11)</f>
        <v>1466785.0167765056</v>
      </c>
      <c r="D12" s="295">
        <f t="shared" si="0"/>
        <v>2384915.97532104</v>
      </c>
      <c r="E12" s="295">
        <f t="shared" si="0"/>
        <v>2384915.97532104</v>
      </c>
      <c r="F12" s="295">
        <f t="shared" si="0"/>
        <v>2387069.1126920399</v>
      </c>
      <c r="G12" s="295">
        <f t="shared" si="0"/>
        <v>2387069.1126920399</v>
      </c>
    </row>
    <row r="13" spans="1:7" x14ac:dyDescent="0.2">
      <c r="A13" s="120" t="s">
        <v>221</v>
      </c>
      <c r="B13" s="121">
        <v>0</v>
      </c>
      <c r="C13" s="58">
        <f>0.21*('E-Costos'!G35-'E-Costos'!G26)</f>
        <v>19763.159186199835</v>
      </c>
      <c r="D13" s="58">
        <v>0</v>
      </c>
      <c r="E13" s="58">
        <v>0</v>
      </c>
      <c r="F13" s="58">
        <v>0</v>
      </c>
      <c r="G13" s="59">
        <v>0</v>
      </c>
    </row>
    <row r="14" spans="1:7" x14ac:dyDescent="0.2">
      <c r="A14" s="120" t="s">
        <v>222</v>
      </c>
      <c r="B14" s="123"/>
      <c r="C14" s="81"/>
      <c r="D14" s="81"/>
      <c r="E14" s="81"/>
      <c r="F14" s="81"/>
      <c r="G14" s="82"/>
    </row>
    <row r="15" spans="1:7" x14ac:dyDescent="0.2">
      <c r="A15" s="120" t="s">
        <v>223</v>
      </c>
      <c r="B15" s="121">
        <f>'E-InvAT'!B32</f>
        <v>0</v>
      </c>
      <c r="C15" s="121">
        <f>'E-InvAT'!C32</f>
        <v>24718.292194233221</v>
      </c>
      <c r="D15" s="121">
        <f>'E-InvAT'!D32</f>
        <v>-4.4271752781678515</v>
      </c>
      <c r="E15" s="121">
        <f>'E-InvAT'!E32</f>
        <v>0</v>
      </c>
      <c r="F15" s="121">
        <f>'E-InvAT'!F32</f>
        <v>10.902205477752432</v>
      </c>
      <c r="G15" s="121">
        <f>'E-InvAT'!G32</f>
        <v>0</v>
      </c>
    </row>
    <row r="16" spans="1:7" x14ac:dyDescent="0.2">
      <c r="A16" s="120" t="s">
        <v>224</v>
      </c>
      <c r="B16" s="121">
        <f>'E-InvAT'!B33</f>
        <v>0</v>
      </c>
      <c r="C16" s="121">
        <f>'E-InvAT'!C33</f>
        <v>20657.054781840219</v>
      </c>
      <c r="D16" s="121">
        <f>'E-InvAT'!D33</f>
        <v>3426.3492256317259</v>
      </c>
      <c r="E16" s="121">
        <f>'E-InvAT'!E33</f>
        <v>0</v>
      </c>
      <c r="F16" s="121">
        <f>'E-InvAT'!F33</f>
        <v>21.628815569911239</v>
      </c>
      <c r="G16" s="121">
        <f>'E-InvAT'!G33</f>
        <v>0</v>
      </c>
    </row>
    <row r="17" spans="1:7" x14ac:dyDescent="0.2">
      <c r="A17" s="122" t="s">
        <v>225</v>
      </c>
      <c r="B17" s="295">
        <v>0</v>
      </c>
      <c r="C17" s="295">
        <f t="shared" ref="C17:G17" si="1">C12-C13-C15-C16</f>
        <v>1401646.5106142324</v>
      </c>
      <c r="D17" s="295">
        <f t="shared" si="1"/>
        <v>2381494.0532706864</v>
      </c>
      <c r="E17" s="295">
        <f t="shared" si="1"/>
        <v>2384915.97532104</v>
      </c>
      <c r="F17" s="295">
        <f t="shared" si="1"/>
        <v>2387036.5816709921</v>
      </c>
      <c r="G17" s="295">
        <f t="shared" si="1"/>
        <v>2387069.1126920399</v>
      </c>
    </row>
    <row r="18" spans="1:7" x14ac:dyDescent="0.2">
      <c r="A18" s="122" t="s">
        <v>226</v>
      </c>
      <c r="B18" s="295">
        <v>0</v>
      </c>
      <c r="C18" s="90">
        <f>('E-Costos'!B54+'E-Costos'!B55+'E-Costos'!B56+'E-Costos'!B57)*0.21</f>
        <v>1373.5450814714998</v>
      </c>
      <c r="D18" s="90">
        <f>('E-Costos'!C54+'E-Costos'!C55+'E-Costos'!C56+'E-Costos'!C57)*0.21</f>
        <v>1501.8737699699998</v>
      </c>
      <c r="E18" s="90">
        <f>('E-Costos'!D54+'E-Costos'!D55+'E-Costos'!D56+'E-Costos'!D57)*0.21</f>
        <v>1501.8737699699998</v>
      </c>
      <c r="F18" s="90">
        <f>('E-Costos'!E54+'E-Costos'!E55+'E-Costos'!E56+'E-Costos'!E57)*0.21</f>
        <v>1501.8737699699998</v>
      </c>
      <c r="G18" s="90">
        <f>('E-Costos'!F54+'E-Costos'!F55+'E-Costos'!F56+'E-Costos'!F57)*0.21</f>
        <v>1501.8737699699998</v>
      </c>
    </row>
    <row r="19" spans="1:7" x14ac:dyDescent="0.2">
      <c r="A19" s="122" t="s">
        <v>227</v>
      </c>
      <c r="B19" s="295">
        <v>0</v>
      </c>
      <c r="C19" s="90">
        <f>0.21*('E-Costos'!B71+'E-Costos'!B72+'E-Costos'!B73+'E-Costos'!B74)</f>
        <v>1373.5450814714998</v>
      </c>
      <c r="D19" s="90">
        <f>0.21*('E-Costos'!C71+'E-Costos'!C72+'E-Costos'!C73+'E-Costos'!C74)</f>
        <v>1501.8737699699998</v>
      </c>
      <c r="E19" s="90">
        <f>0.21*('E-Costos'!D71+'E-Costos'!D72+'E-Costos'!D73+'E-Costos'!D74)</f>
        <v>1501.8737699699998</v>
      </c>
      <c r="F19" s="90">
        <f>0.21*('E-Costos'!E71+'E-Costos'!E72+'E-Costos'!E73+'E-Costos'!E74)</f>
        <v>1501.8737699699998</v>
      </c>
      <c r="G19" s="90">
        <f>0.21*('E-Costos'!F71+'E-Costos'!F72+'E-Costos'!F73+'E-Costos'!F74)</f>
        <v>1501.8737699699998</v>
      </c>
    </row>
    <row r="20" spans="1:7" x14ac:dyDescent="0.2">
      <c r="A20" s="122"/>
      <c r="B20" s="123"/>
      <c r="C20" s="81"/>
      <c r="D20" s="81"/>
      <c r="E20" s="81"/>
      <c r="F20" s="81"/>
      <c r="G20" s="82"/>
    </row>
    <row r="21" spans="1:7" x14ac:dyDescent="0.2">
      <c r="A21" s="120" t="s">
        <v>228</v>
      </c>
      <c r="B21" s="121">
        <f>SUM(B17:B19)</f>
        <v>0</v>
      </c>
      <c r="C21" s="121">
        <f t="shared" ref="C21:G21" si="2">SUM(C17:C19)</f>
        <v>1404393.6007771755</v>
      </c>
      <c r="D21" s="121">
        <f t="shared" si="2"/>
        <v>2384497.8008106267</v>
      </c>
      <c r="E21" s="121">
        <f t="shared" si="2"/>
        <v>2387919.7228609803</v>
      </c>
      <c r="F21" s="121">
        <f t="shared" si="2"/>
        <v>2390040.3292109324</v>
      </c>
      <c r="G21" s="121">
        <f t="shared" si="2"/>
        <v>2390072.8602319802</v>
      </c>
    </row>
    <row r="22" spans="1:7" x14ac:dyDescent="0.2">
      <c r="A22" s="120" t="s">
        <v>229</v>
      </c>
      <c r="B22" s="121">
        <v>0</v>
      </c>
      <c r="C22" s="58">
        <f>0.21*'E-Costos'!B88</f>
        <v>2281046.25</v>
      </c>
      <c r="D22" s="58">
        <f>0.21*'E-Costos'!C88</f>
        <v>3041377.5</v>
      </c>
      <c r="E22" s="58">
        <f>0.21*'E-Costos'!D88</f>
        <v>3041377.5</v>
      </c>
      <c r="F22" s="58">
        <f>0.21*'E-Costos'!E88</f>
        <v>3041377.5</v>
      </c>
      <c r="G22" s="58">
        <f>0.21*'E-Costos'!F88</f>
        <v>3041377.5</v>
      </c>
    </row>
    <row r="23" spans="1:7" x14ac:dyDescent="0.2">
      <c r="A23" s="122" t="s">
        <v>230</v>
      </c>
      <c r="B23" s="295">
        <f>B22-B21</f>
        <v>0</v>
      </c>
      <c r="C23" s="295">
        <f t="shared" ref="C23:G23" si="3">C22-C21</f>
        <v>876652.64922282449</v>
      </c>
      <c r="D23" s="295">
        <f t="shared" si="3"/>
        <v>656879.69918937329</v>
      </c>
      <c r="E23" s="295">
        <f t="shared" si="3"/>
        <v>653457.77713901969</v>
      </c>
      <c r="F23" s="295">
        <f t="shared" si="3"/>
        <v>651337.17078906763</v>
      </c>
      <c r="G23" s="295">
        <f t="shared" si="3"/>
        <v>651304.63976801978</v>
      </c>
    </row>
    <row r="24" spans="1:7" x14ac:dyDescent="0.2">
      <c r="A24" s="120"/>
      <c r="B24" s="123"/>
      <c r="C24" s="81"/>
      <c r="D24" s="81"/>
      <c r="E24" s="81"/>
      <c r="F24" s="81"/>
      <c r="G24" s="82"/>
    </row>
    <row r="25" spans="1:7" x14ac:dyDescent="0.2">
      <c r="A25" s="124" t="s">
        <v>231</v>
      </c>
      <c r="B25" s="295">
        <v>0</v>
      </c>
      <c r="C25" s="90">
        <f>B27</f>
        <v>2728506.4307032032</v>
      </c>
      <c r="D25" s="90">
        <f t="shared" ref="D25:G25" si="4">C27</f>
        <v>2031006.0885312529</v>
      </c>
      <c r="E25" s="90">
        <f t="shared" si="4"/>
        <v>1383473.0724067972</v>
      </c>
      <c r="F25" s="90">
        <f t="shared" si="4"/>
        <v>730015.29526777752</v>
      </c>
      <c r="G25" s="90">
        <f t="shared" si="4"/>
        <v>80874.695076235294</v>
      </c>
    </row>
    <row r="26" spans="1:7" x14ac:dyDescent="0.2">
      <c r="A26" s="124" t="s">
        <v>232</v>
      </c>
      <c r="B26" s="295">
        <f>'E-Cal Inv.'!B23+'E-Cal Inv.'!C23</f>
        <v>2728506.4307032032</v>
      </c>
      <c r="C26" s="90">
        <f>'E-Cal Inv.'!D23</f>
        <v>179152.30705087428</v>
      </c>
      <c r="D26" s="90">
        <f>'E-Cal Inv.'!E23</f>
        <v>9346.6830649175572</v>
      </c>
      <c r="E26" s="90">
        <f>'E-Cal Inv.'!F23</f>
        <v>0</v>
      </c>
      <c r="F26" s="90">
        <f>'E-Cal Inv.'!G23</f>
        <v>2196.5705975254077</v>
      </c>
      <c r="G26" s="90">
        <f>'E-Cal Inv.'!H23</f>
        <v>0</v>
      </c>
    </row>
    <row r="27" spans="1:7" x14ac:dyDescent="0.2">
      <c r="A27" s="122" t="s">
        <v>233</v>
      </c>
      <c r="B27" s="295">
        <f>B26</f>
        <v>2728506.4307032032</v>
      </c>
      <c r="C27" s="90">
        <f>B27-C23+C26</f>
        <v>2031006.0885312529</v>
      </c>
      <c r="D27" s="90">
        <f>C27-D23+D26</f>
        <v>1383473.0724067972</v>
      </c>
      <c r="E27" s="90">
        <f>D27-E23+E26</f>
        <v>730015.29526777752</v>
      </c>
      <c r="F27" s="90">
        <f>E27-F23+F26</f>
        <v>80874.695076235294</v>
      </c>
      <c r="G27" s="91">
        <v>0</v>
      </c>
    </row>
    <row r="28" spans="1:7" x14ac:dyDescent="0.2">
      <c r="A28" s="122" t="s">
        <v>531</v>
      </c>
      <c r="B28" s="295">
        <v>0</v>
      </c>
      <c r="C28" s="90">
        <f>C23</f>
        <v>876652.64922282449</v>
      </c>
      <c r="D28" s="90">
        <f>D23</f>
        <v>656879.69918937329</v>
      </c>
      <c r="E28" s="90">
        <f>E23</f>
        <v>653457.77713901969</v>
      </c>
      <c r="F28" s="90">
        <f>F23</f>
        <v>651337.17078906763</v>
      </c>
      <c r="G28" s="91">
        <f>F27</f>
        <v>80874.695076235294</v>
      </c>
    </row>
    <row r="29" spans="1:7" x14ac:dyDescent="0.2">
      <c r="A29" s="120"/>
      <c r="B29" s="310"/>
      <c r="C29" s="92"/>
      <c r="D29" s="92"/>
      <c r="E29" s="92"/>
      <c r="F29" s="92"/>
      <c r="G29" s="93"/>
    </row>
    <row r="30" spans="1:7" x14ac:dyDescent="0.2">
      <c r="A30" s="125" t="s">
        <v>234</v>
      </c>
      <c r="B30" s="311">
        <v>0</v>
      </c>
      <c r="C30" s="145">
        <v>0</v>
      </c>
      <c r="D30" s="145">
        <v>0</v>
      </c>
      <c r="E30" s="145">
        <v>0</v>
      </c>
      <c r="F30" s="145">
        <v>0</v>
      </c>
      <c r="G30" s="172">
        <f>G23-G28</f>
        <v>570429.94469178445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B1" zoomScale="90" zoomScaleNormal="90" workbookViewId="0">
      <selection activeCell="B11" sqref="B11"/>
    </sheetView>
  </sheetViews>
  <sheetFormatPr baseColWidth="10" defaultColWidth="11.28515625" defaultRowHeight="12.75" x14ac:dyDescent="0.2"/>
  <cols>
    <col min="1" max="1" width="7.85546875" style="16" customWidth="1"/>
    <col min="2" max="13" width="14.7109375" style="16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9</v>
      </c>
      <c r="H1" s="2"/>
    </row>
    <row r="2" spans="1:13" ht="15.75" x14ac:dyDescent="0.25">
      <c r="A2" s="113" t="s">
        <v>235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38.25" x14ac:dyDescent="0.2">
      <c r="A3" s="117" t="s">
        <v>236</v>
      </c>
      <c r="B3" s="106" t="s">
        <v>237</v>
      </c>
      <c r="C3" s="106" t="s">
        <v>238</v>
      </c>
      <c r="D3" s="106" t="s">
        <v>239</v>
      </c>
      <c r="E3" s="106" t="s">
        <v>5</v>
      </c>
      <c r="F3" s="106" t="s">
        <v>240</v>
      </c>
      <c r="G3" s="106" t="s">
        <v>241</v>
      </c>
      <c r="H3" s="106" t="s">
        <v>242</v>
      </c>
      <c r="I3" s="106" t="s">
        <v>101</v>
      </c>
      <c r="J3" s="106" t="s">
        <v>243</v>
      </c>
      <c r="K3" s="106" t="s">
        <v>244</v>
      </c>
      <c r="L3" s="127" t="s">
        <v>245</v>
      </c>
      <c r="M3" s="128" t="s">
        <v>246</v>
      </c>
    </row>
    <row r="4" spans="1:13" x14ac:dyDescent="0.2">
      <c r="A4" s="129">
        <v>0</v>
      </c>
      <c r="B4" s="130"/>
      <c r="C4" s="56"/>
      <c r="D4" s="56"/>
      <c r="E4" s="56"/>
      <c r="F4" s="56"/>
      <c r="G4" s="56"/>
      <c r="H4" s="56"/>
      <c r="I4" s="56"/>
      <c r="J4" s="56"/>
      <c r="K4" s="56"/>
      <c r="L4" s="131"/>
      <c r="M4" s="57"/>
    </row>
    <row r="5" spans="1:13" x14ac:dyDescent="0.2">
      <c r="A5" s="132">
        <v>1</v>
      </c>
      <c r="B5" s="121"/>
      <c r="C5" s="58"/>
      <c r="D5" s="58"/>
      <c r="E5" s="58"/>
      <c r="F5" s="58"/>
      <c r="G5" s="58"/>
      <c r="H5" s="58"/>
      <c r="I5" s="58"/>
      <c r="J5" s="58"/>
      <c r="K5" s="58"/>
      <c r="L5" s="110"/>
      <c r="M5" s="59"/>
    </row>
    <row r="6" spans="1:13" x14ac:dyDescent="0.2">
      <c r="A6" s="132">
        <v>2</v>
      </c>
      <c r="B6" s="121"/>
      <c r="C6" s="58"/>
      <c r="D6" s="58"/>
      <c r="E6" s="58"/>
      <c r="F6" s="58"/>
      <c r="G6" s="58"/>
      <c r="H6" s="58"/>
      <c r="I6" s="58"/>
      <c r="J6" s="58"/>
      <c r="K6" s="58"/>
      <c r="L6" s="110"/>
      <c r="M6" s="59"/>
    </row>
    <row r="7" spans="1:13" x14ac:dyDescent="0.2">
      <c r="A7" s="132">
        <v>3</v>
      </c>
      <c r="B7" s="121"/>
      <c r="C7" s="58"/>
      <c r="D7" s="58"/>
      <c r="E7" s="58"/>
      <c r="F7" s="58"/>
      <c r="G7" s="58"/>
      <c r="H7" s="58"/>
      <c r="I7" s="58"/>
      <c r="J7" s="58"/>
      <c r="K7" s="58"/>
      <c r="L7" s="110"/>
      <c r="M7" s="59"/>
    </row>
    <row r="8" spans="1:13" x14ac:dyDescent="0.2">
      <c r="A8" s="132">
        <v>4</v>
      </c>
      <c r="B8" s="121"/>
      <c r="C8" s="58"/>
      <c r="D8" s="58"/>
      <c r="E8" s="58"/>
      <c r="F8" s="58"/>
      <c r="G8" s="58"/>
      <c r="H8" s="58"/>
      <c r="I8" s="58"/>
      <c r="J8" s="58"/>
      <c r="K8" s="58"/>
      <c r="L8" s="110"/>
      <c r="M8" s="59"/>
    </row>
    <row r="9" spans="1:13" x14ac:dyDescent="0.2">
      <c r="A9" s="132">
        <v>5</v>
      </c>
      <c r="B9" s="121"/>
      <c r="C9" s="58"/>
      <c r="D9" s="58"/>
      <c r="E9" s="58"/>
      <c r="F9" s="58"/>
      <c r="G9" s="58"/>
      <c r="H9" s="58"/>
      <c r="I9" s="58"/>
      <c r="J9" s="58"/>
      <c r="K9" s="58"/>
      <c r="L9" s="110"/>
      <c r="M9" s="59"/>
    </row>
    <row r="10" spans="1:13" x14ac:dyDescent="0.2">
      <c r="A10" s="132"/>
      <c r="B10" s="123"/>
      <c r="C10" s="81"/>
      <c r="D10" s="81"/>
      <c r="E10" s="81"/>
      <c r="F10" s="81"/>
      <c r="G10" s="81"/>
      <c r="H10" s="81"/>
      <c r="I10" s="81"/>
      <c r="J10" s="81"/>
      <c r="K10" s="81"/>
      <c r="L10" s="111"/>
      <c r="M10" s="82"/>
    </row>
    <row r="11" spans="1:13" x14ac:dyDescent="0.2">
      <c r="A11" s="133" t="s">
        <v>247</v>
      </c>
      <c r="B11" s="126"/>
      <c r="C11" s="64"/>
      <c r="D11" s="64"/>
      <c r="E11" s="64"/>
      <c r="F11" s="64"/>
      <c r="G11" s="64"/>
      <c r="H11" s="64"/>
      <c r="I11" s="64"/>
      <c r="J11" s="64"/>
      <c r="K11" s="64"/>
      <c r="L11" s="112"/>
      <c r="M11" s="65"/>
    </row>
    <row r="13" spans="1:13" x14ac:dyDescent="0.2">
      <c r="C13" s="134" t="s">
        <v>248</v>
      </c>
      <c r="D13" s="135"/>
    </row>
    <row r="14" spans="1:13" x14ac:dyDescent="0.2">
      <c r="A14" s="69"/>
      <c r="C14" s="134" t="s">
        <v>249</v>
      </c>
      <c r="D14" s="136"/>
      <c r="E14" s="16" t="s">
        <v>250</v>
      </c>
    </row>
    <row r="15" spans="1:13" x14ac:dyDescent="0.2">
      <c r="C15" s="134" t="s">
        <v>251</v>
      </c>
      <c r="D15" s="137"/>
    </row>
    <row r="16" spans="1:13" x14ac:dyDescent="0.2">
      <c r="L16" s="304" t="s">
        <v>252</v>
      </c>
      <c r="M16" s="304"/>
    </row>
    <row r="17" spans="10:13" x14ac:dyDescent="0.2">
      <c r="J17" s="138"/>
      <c r="L17" s="304" t="s">
        <v>253</v>
      </c>
      <c r="M17" s="304"/>
    </row>
    <row r="18" spans="10:13" x14ac:dyDescent="0.2">
      <c r="L18" s="139" t="s">
        <v>101</v>
      </c>
      <c r="M18" s="140" t="str">
        <f>IF(B11=I11,"OK","MAL")</f>
        <v>OK</v>
      </c>
    </row>
    <row r="19" spans="10:13" x14ac:dyDescent="0.2">
      <c r="L19" s="139" t="s">
        <v>254</v>
      </c>
      <c r="M19" s="140" t="str">
        <f>IF(D11=J11,"OK","MAL")</f>
        <v>OK</v>
      </c>
    </row>
    <row r="20" spans="10:13" x14ac:dyDescent="0.2">
      <c r="L20" s="139" t="s">
        <v>255</v>
      </c>
      <c r="M20" s="140" t="str">
        <f>IF(C11=0,"OK","MAL")</f>
        <v>OK</v>
      </c>
    </row>
    <row r="21" spans="10:13" x14ac:dyDescent="0.2">
      <c r="L21" s="139" t="s">
        <v>256</v>
      </c>
      <c r="M21" s="140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1" sqref="F1"/>
    </sheetView>
  </sheetViews>
  <sheetFormatPr baseColWidth="10" defaultColWidth="11.28515625" defaultRowHeight="12.75" x14ac:dyDescent="0.2"/>
  <cols>
    <col min="1" max="1" width="27.140625" style="16" customWidth="1"/>
    <col min="2" max="9" width="15" style="16" customWidth="1"/>
    <col min="10" max="16384" width="11.28515625" style="16"/>
  </cols>
  <sheetData>
    <row r="1" spans="1:9" x14ac:dyDescent="0.2">
      <c r="A1" s="1" t="s">
        <v>0</v>
      </c>
      <c r="B1"/>
      <c r="C1"/>
      <c r="D1"/>
      <c r="F1" s="141">
        <f>InfoInicial!E1</f>
        <v>9</v>
      </c>
      <c r="G1" s="2"/>
    </row>
    <row r="2" spans="1:9" ht="15.75" x14ac:dyDescent="0.25">
      <c r="A2" s="142" t="s">
        <v>257</v>
      </c>
      <c r="B2" s="86"/>
      <c r="C2" s="86"/>
      <c r="D2" s="86"/>
      <c r="E2" s="86"/>
      <c r="F2" s="86"/>
      <c r="G2" s="87"/>
    </row>
    <row r="3" spans="1:9" x14ac:dyDescent="0.2">
      <c r="A3" s="53" t="s">
        <v>93</v>
      </c>
      <c r="B3" s="305" t="s">
        <v>258</v>
      </c>
      <c r="C3" s="305"/>
      <c r="D3" s="305" t="s">
        <v>259</v>
      </c>
      <c r="E3" s="305"/>
      <c r="F3" s="306" t="s">
        <v>260</v>
      </c>
      <c r="G3" s="306"/>
    </row>
    <row r="4" spans="1:9" x14ac:dyDescent="0.2">
      <c r="A4" s="53" t="s">
        <v>80</v>
      </c>
      <c r="B4" s="143" t="s">
        <v>261</v>
      </c>
      <c r="C4" s="143" t="s">
        <v>262</v>
      </c>
      <c r="D4" s="143" t="s">
        <v>261</v>
      </c>
      <c r="E4" s="143" t="s">
        <v>262</v>
      </c>
      <c r="F4" s="143" t="s">
        <v>261</v>
      </c>
      <c r="G4" s="144" t="s">
        <v>262</v>
      </c>
    </row>
    <row r="5" spans="1:9" x14ac:dyDescent="0.2">
      <c r="A5" s="29" t="s">
        <v>263</v>
      </c>
      <c r="B5" s="58"/>
      <c r="C5" s="83"/>
      <c r="D5" s="58"/>
      <c r="E5" s="83"/>
      <c r="F5" s="58"/>
      <c r="G5" s="84"/>
    </row>
    <row r="6" spans="1:9" x14ac:dyDescent="0.2">
      <c r="A6" s="27" t="s">
        <v>264</v>
      </c>
      <c r="B6" s="58"/>
      <c r="C6" s="83"/>
      <c r="D6" s="58"/>
      <c r="E6" s="83"/>
      <c r="F6" s="58"/>
      <c r="G6" s="84"/>
    </row>
    <row r="7" spans="1:9" x14ac:dyDescent="0.2">
      <c r="A7" s="27" t="s">
        <v>265</v>
      </c>
      <c r="B7" s="58"/>
      <c r="C7" s="83"/>
      <c r="D7" s="58"/>
      <c r="E7" s="94"/>
      <c r="F7" s="58"/>
      <c r="G7" s="84"/>
    </row>
    <row r="8" spans="1:9" x14ac:dyDescent="0.2">
      <c r="A8" s="34" t="s">
        <v>197</v>
      </c>
      <c r="B8" s="145"/>
      <c r="C8" s="146"/>
      <c r="D8" s="145"/>
      <c r="E8" s="146"/>
      <c r="F8" s="145"/>
      <c r="G8" s="147"/>
    </row>
    <row r="9" spans="1:9" x14ac:dyDescent="0.2">
      <c r="A9" s="69"/>
      <c r="B9" s="49"/>
      <c r="C9" s="148"/>
      <c r="D9" s="49"/>
      <c r="E9" s="49"/>
      <c r="F9" s="49"/>
      <c r="G9" s="49"/>
    </row>
    <row r="10" spans="1:9" ht="15.75" x14ac:dyDescent="0.25">
      <c r="A10" s="149" t="s">
        <v>266</v>
      </c>
      <c r="B10" s="150"/>
      <c r="C10" s="150"/>
      <c r="D10" s="150"/>
      <c r="E10" s="150"/>
      <c r="F10" s="150"/>
      <c r="G10" s="150"/>
      <c r="H10" s="150"/>
      <c r="I10" s="151"/>
    </row>
    <row r="11" spans="1:9" x14ac:dyDescent="0.2">
      <c r="A11" s="152" t="s">
        <v>267</v>
      </c>
      <c r="B11" s="153" t="s">
        <v>268</v>
      </c>
      <c r="C11" s="153" t="s">
        <v>269</v>
      </c>
      <c r="D11" s="153" t="s">
        <v>270</v>
      </c>
      <c r="E11" s="153" t="s">
        <v>269</v>
      </c>
      <c r="F11" s="153" t="s">
        <v>271</v>
      </c>
      <c r="G11" s="153" t="s">
        <v>270</v>
      </c>
      <c r="H11" s="153"/>
      <c r="I11" s="154" t="s">
        <v>272</v>
      </c>
    </row>
    <row r="12" spans="1:9" x14ac:dyDescent="0.2">
      <c r="A12" s="155"/>
      <c r="B12" s="156"/>
      <c r="C12" s="156" t="s">
        <v>273</v>
      </c>
      <c r="D12" s="156" t="s">
        <v>273</v>
      </c>
      <c r="E12" s="156" t="s">
        <v>41</v>
      </c>
      <c r="F12" s="156" t="s">
        <v>274</v>
      </c>
      <c r="G12" s="156" t="s">
        <v>41</v>
      </c>
      <c r="H12" s="156" t="s">
        <v>275</v>
      </c>
      <c r="I12" s="157" t="s">
        <v>276</v>
      </c>
    </row>
    <row r="13" spans="1:9" x14ac:dyDescent="0.2">
      <c r="A13" s="158"/>
      <c r="B13" s="79"/>
      <c r="C13" s="79"/>
      <c r="D13" s="79"/>
      <c r="E13" s="79"/>
      <c r="F13" s="159"/>
      <c r="G13" s="79"/>
      <c r="H13" s="160"/>
      <c r="I13" s="80"/>
    </row>
    <row r="14" spans="1:9" x14ac:dyDescent="0.2">
      <c r="A14" s="161"/>
      <c r="B14" s="58"/>
      <c r="C14" s="58"/>
      <c r="D14" s="58"/>
      <c r="E14" s="58"/>
      <c r="F14" s="28"/>
      <c r="G14" s="58"/>
      <c r="H14" s="94"/>
      <c r="I14" s="59"/>
    </row>
    <row r="15" spans="1:9" x14ac:dyDescent="0.2">
      <c r="A15" s="161"/>
      <c r="B15" s="58"/>
      <c r="C15" s="58"/>
      <c r="D15" s="58"/>
      <c r="E15" s="58"/>
      <c r="F15" s="28"/>
      <c r="G15" s="58"/>
      <c r="H15" s="94"/>
      <c r="I15" s="59"/>
    </row>
    <row r="16" spans="1:9" x14ac:dyDescent="0.2">
      <c r="A16" s="161"/>
      <c r="B16" s="58"/>
      <c r="C16" s="58"/>
      <c r="D16" s="58"/>
      <c r="E16" s="58"/>
      <c r="F16" s="28"/>
      <c r="G16" s="58"/>
      <c r="H16" s="94"/>
      <c r="I16" s="59"/>
    </row>
    <row r="17" spans="1:9" x14ac:dyDescent="0.2">
      <c r="A17" s="161"/>
      <c r="B17" s="58"/>
      <c r="C17" s="58"/>
      <c r="D17" s="58"/>
      <c r="E17" s="58"/>
      <c r="F17" s="28"/>
      <c r="G17" s="58"/>
      <c r="H17" s="94"/>
      <c r="I17" s="59"/>
    </row>
    <row r="18" spans="1:9" x14ac:dyDescent="0.2">
      <c r="A18" s="161"/>
      <c r="B18" s="58"/>
      <c r="C18" s="58"/>
      <c r="D18" s="58"/>
      <c r="E18" s="58"/>
      <c r="F18" s="28"/>
      <c r="G18" s="58"/>
      <c r="H18" s="94"/>
      <c r="I18" s="59"/>
    </row>
    <row r="19" spans="1:9" x14ac:dyDescent="0.2">
      <c r="A19" s="161"/>
      <c r="B19" s="58"/>
      <c r="C19" s="58"/>
      <c r="D19" s="58"/>
      <c r="E19" s="58"/>
      <c r="F19" s="28"/>
      <c r="G19" s="58"/>
      <c r="H19" s="94"/>
      <c r="I19" s="59"/>
    </row>
    <row r="20" spans="1:9" x14ac:dyDescent="0.2">
      <c r="A20" s="162"/>
      <c r="B20" s="64"/>
      <c r="C20" s="64"/>
      <c r="D20" s="73"/>
      <c r="E20" s="64"/>
      <c r="F20" s="32"/>
      <c r="G20" s="73"/>
      <c r="H20" s="163"/>
      <c r="I20" s="74"/>
    </row>
    <row r="21" spans="1:9" x14ac:dyDescent="0.2">
      <c r="A21" s="164" t="s">
        <v>277</v>
      </c>
      <c r="B21" s="165"/>
      <c r="C21" s="165"/>
      <c r="D21" s="166"/>
      <c r="E21" s="165"/>
      <c r="F21" s="167"/>
      <c r="G21" s="166"/>
      <c r="H21" s="168"/>
      <c r="I21" s="166"/>
    </row>
    <row r="22" spans="1:9" x14ac:dyDescent="0.2">
      <c r="A22" s="158"/>
      <c r="B22" s="79"/>
      <c r="C22" s="79"/>
      <c r="D22" s="56"/>
      <c r="E22" s="79"/>
      <c r="F22" s="159"/>
      <c r="G22" s="56"/>
      <c r="H22" s="160"/>
      <c r="I22" s="57"/>
    </row>
    <row r="23" spans="1:9" x14ac:dyDescent="0.2">
      <c r="A23" s="161"/>
      <c r="B23" s="58"/>
      <c r="C23" s="58"/>
      <c r="D23" s="58"/>
      <c r="E23" s="58"/>
      <c r="F23" s="28"/>
      <c r="G23" s="58"/>
      <c r="H23" s="94"/>
      <c r="I23" s="59"/>
    </row>
    <row r="24" spans="1:9" x14ac:dyDescent="0.2">
      <c r="A24" s="169"/>
      <c r="B24" s="58"/>
      <c r="C24" s="58"/>
      <c r="D24" s="58"/>
      <c r="E24" s="58"/>
      <c r="F24" s="58"/>
      <c r="G24" s="58"/>
      <c r="H24" s="83"/>
      <c r="I24" s="59"/>
    </row>
    <row r="25" spans="1:9" x14ac:dyDescent="0.2">
      <c r="A25" s="169"/>
      <c r="B25" s="58"/>
      <c r="C25" s="58"/>
      <c r="D25" s="58"/>
      <c r="E25" s="58"/>
      <c r="F25" s="58"/>
      <c r="G25" s="58"/>
      <c r="H25" s="83"/>
      <c r="I25" s="59"/>
    </row>
    <row r="26" spans="1:9" x14ac:dyDescent="0.2">
      <c r="A26" s="169"/>
      <c r="B26" s="58"/>
      <c r="C26" s="58"/>
      <c r="D26" s="58"/>
      <c r="E26" s="58"/>
      <c r="F26" s="58"/>
      <c r="G26" s="58"/>
      <c r="H26" s="83"/>
      <c r="I26" s="59"/>
    </row>
    <row r="27" spans="1:9" x14ac:dyDescent="0.2">
      <c r="A27" s="169"/>
      <c r="B27" s="58"/>
      <c r="C27" s="58"/>
      <c r="D27" s="58"/>
      <c r="E27" s="58"/>
      <c r="F27" s="58"/>
      <c r="G27" s="58"/>
      <c r="H27" s="83"/>
      <c r="I27" s="59"/>
    </row>
    <row r="28" spans="1:9" x14ac:dyDescent="0.2">
      <c r="A28" s="169"/>
      <c r="B28" s="58"/>
      <c r="C28" s="58"/>
      <c r="D28" s="58"/>
      <c r="E28" s="58"/>
      <c r="F28" s="58"/>
      <c r="G28" s="58"/>
      <c r="H28" s="83"/>
      <c r="I28" s="59"/>
    </row>
    <row r="29" spans="1:9" x14ac:dyDescent="0.2">
      <c r="A29" s="169"/>
      <c r="B29" s="58"/>
      <c r="C29" s="58"/>
      <c r="D29" s="58"/>
      <c r="E29" s="58"/>
      <c r="F29" s="58"/>
      <c r="G29" s="58"/>
      <c r="H29" s="83"/>
      <c r="I29" s="59"/>
    </row>
    <row r="30" spans="1:9" x14ac:dyDescent="0.2">
      <c r="A30" s="169"/>
      <c r="B30" s="58"/>
      <c r="C30" s="58"/>
      <c r="D30" s="58"/>
      <c r="E30" s="58"/>
      <c r="F30" s="58"/>
      <c r="G30" s="58"/>
      <c r="H30" s="83"/>
      <c r="I30" s="59"/>
    </row>
    <row r="31" spans="1:9" x14ac:dyDescent="0.2">
      <c r="A31" s="169"/>
      <c r="B31" s="58"/>
      <c r="C31" s="58"/>
      <c r="D31" s="58"/>
      <c r="E31" s="58"/>
      <c r="F31" s="58"/>
      <c r="G31" s="58"/>
      <c r="H31" s="83"/>
      <c r="I31" s="59"/>
    </row>
    <row r="32" spans="1:9" x14ac:dyDescent="0.2">
      <c r="A32" s="169"/>
      <c r="B32" s="58"/>
      <c r="C32" s="58"/>
      <c r="D32" s="58"/>
      <c r="E32" s="58"/>
      <c r="F32" s="58"/>
      <c r="G32" s="58"/>
      <c r="H32" s="83"/>
      <c r="I32" s="59"/>
    </row>
    <row r="33" spans="1:9" x14ac:dyDescent="0.2">
      <c r="A33" s="169"/>
      <c r="B33" s="58"/>
      <c r="C33" s="58"/>
      <c r="D33" s="58"/>
      <c r="E33" s="58"/>
      <c r="F33" s="58"/>
      <c r="G33" s="58"/>
      <c r="H33" s="83"/>
      <c r="I33" s="59"/>
    </row>
    <row r="34" spans="1:9" x14ac:dyDescent="0.2">
      <c r="A34" s="169"/>
      <c r="B34" s="58"/>
      <c r="C34" s="58"/>
      <c r="D34" s="58"/>
      <c r="E34" s="58"/>
      <c r="F34" s="58"/>
      <c r="G34" s="58"/>
      <c r="H34" s="83"/>
      <c r="I34" s="59"/>
    </row>
    <row r="35" spans="1:9" x14ac:dyDescent="0.2">
      <c r="A35" s="169"/>
      <c r="B35" s="58"/>
      <c r="C35" s="58"/>
      <c r="D35" s="58"/>
      <c r="E35" s="58"/>
      <c r="F35" s="28"/>
      <c r="G35" s="58"/>
      <c r="H35" s="94"/>
      <c r="I35" s="59"/>
    </row>
    <row r="36" spans="1:9" x14ac:dyDescent="0.2">
      <c r="A36" s="169"/>
      <c r="B36" s="58"/>
      <c r="C36" s="58"/>
      <c r="D36" s="58"/>
      <c r="E36" s="58"/>
      <c r="F36" s="58"/>
      <c r="G36" s="58"/>
      <c r="H36" s="83"/>
      <c r="I36" s="59"/>
    </row>
    <row r="37" spans="1:9" x14ac:dyDescent="0.2">
      <c r="A37" s="169"/>
      <c r="B37" s="58"/>
      <c r="C37" s="58"/>
      <c r="D37" s="58"/>
      <c r="E37" s="58"/>
      <c r="F37" s="28"/>
      <c r="G37" s="58"/>
      <c r="H37" s="94"/>
      <c r="I37" s="59"/>
    </row>
    <row r="38" spans="1:9" x14ac:dyDescent="0.2">
      <c r="A38" s="169"/>
      <c r="B38" s="58"/>
      <c r="C38" s="58"/>
      <c r="D38" s="58"/>
      <c r="E38" s="58"/>
      <c r="F38" s="58"/>
      <c r="G38" s="58"/>
      <c r="H38" s="83"/>
      <c r="I38" s="59"/>
    </row>
    <row r="39" spans="1:9" x14ac:dyDescent="0.2">
      <c r="A39" s="169"/>
      <c r="B39" s="58"/>
      <c r="C39" s="58"/>
      <c r="D39" s="58"/>
      <c r="E39" s="58"/>
      <c r="F39" s="28"/>
      <c r="G39" s="58"/>
      <c r="H39" s="94"/>
      <c r="I39" s="59"/>
    </row>
    <row r="40" spans="1:9" x14ac:dyDescent="0.2">
      <c r="A40" s="169"/>
      <c r="B40" s="58"/>
      <c r="C40" s="58"/>
      <c r="D40" s="58"/>
      <c r="E40" s="58"/>
      <c r="F40" s="58"/>
      <c r="G40" s="58"/>
      <c r="H40" s="83"/>
      <c r="I40" s="59"/>
    </row>
    <row r="41" spans="1:9" x14ac:dyDescent="0.2">
      <c r="A41" s="169"/>
      <c r="B41" s="58"/>
      <c r="C41" s="58"/>
      <c r="D41" s="58"/>
      <c r="E41" s="58"/>
      <c r="F41" s="28"/>
      <c r="G41" s="58"/>
      <c r="H41" s="94"/>
      <c r="I41" s="59"/>
    </row>
    <row r="42" spans="1:9" x14ac:dyDescent="0.2">
      <c r="A42" s="169"/>
      <c r="B42" s="58"/>
      <c r="C42" s="58"/>
      <c r="D42" s="58"/>
      <c r="E42" s="58"/>
      <c r="F42" s="58"/>
      <c r="G42" s="58"/>
      <c r="H42" s="83"/>
      <c r="I42" s="59"/>
    </row>
    <row r="43" spans="1:9" x14ac:dyDescent="0.2">
      <c r="A43" s="169"/>
      <c r="B43" s="58"/>
      <c r="C43" s="58"/>
      <c r="D43" s="58"/>
      <c r="E43" s="58"/>
      <c r="F43" s="28"/>
      <c r="G43" s="58"/>
      <c r="H43" s="94"/>
      <c r="I43" s="59"/>
    </row>
    <row r="44" spans="1:9" x14ac:dyDescent="0.2">
      <c r="A44" s="169"/>
      <c r="B44" s="58"/>
      <c r="C44" s="58"/>
      <c r="D44" s="58"/>
      <c r="E44" s="58"/>
      <c r="F44" s="58"/>
      <c r="G44" s="58"/>
      <c r="H44" s="83"/>
      <c r="I44" s="59"/>
    </row>
    <row r="45" spans="1:9" x14ac:dyDescent="0.2">
      <c r="A45" s="169"/>
      <c r="B45" s="58"/>
      <c r="C45" s="58"/>
      <c r="D45" s="58"/>
      <c r="E45" s="58"/>
      <c r="F45" s="28"/>
      <c r="G45" s="58"/>
      <c r="H45" s="94"/>
      <c r="I45" s="59"/>
    </row>
    <row r="46" spans="1:9" x14ac:dyDescent="0.2">
      <c r="A46" s="169"/>
      <c r="B46" s="58"/>
      <c r="C46" s="58"/>
      <c r="D46" s="58"/>
      <c r="E46" s="58"/>
      <c r="F46" s="58"/>
      <c r="G46" s="58"/>
      <c r="H46" s="83"/>
      <c r="I46" s="59"/>
    </row>
    <row r="47" spans="1:9" x14ac:dyDescent="0.2">
      <c r="A47" s="169"/>
      <c r="B47" s="58"/>
      <c r="C47" s="58"/>
      <c r="D47" s="58"/>
      <c r="E47" s="58"/>
      <c r="F47" s="28"/>
      <c r="G47" s="58"/>
      <c r="H47" s="94"/>
      <c r="I47" s="59"/>
    </row>
    <row r="48" spans="1:9" x14ac:dyDescent="0.2">
      <c r="A48" s="169"/>
      <c r="B48" s="58"/>
      <c r="C48" s="58"/>
      <c r="D48" s="58"/>
      <c r="E48" s="58"/>
      <c r="F48" s="58"/>
      <c r="G48" s="58"/>
      <c r="H48" s="83"/>
      <c r="I48" s="59"/>
    </row>
    <row r="49" spans="1:9" x14ac:dyDescent="0.2">
      <c r="A49" s="169"/>
      <c r="B49" s="58"/>
      <c r="C49" s="58"/>
      <c r="D49" s="58"/>
      <c r="E49" s="58"/>
      <c r="F49" s="28"/>
      <c r="G49" s="58"/>
      <c r="H49" s="94"/>
      <c r="I49" s="59"/>
    </row>
    <row r="50" spans="1:9" x14ac:dyDescent="0.2">
      <c r="A50" s="169"/>
      <c r="B50" s="58"/>
      <c r="C50" s="58"/>
      <c r="D50" s="58"/>
      <c r="E50" s="58"/>
      <c r="F50" s="58"/>
      <c r="G50" s="58"/>
      <c r="H50" s="83"/>
      <c r="I50" s="59"/>
    </row>
    <row r="51" spans="1:9" x14ac:dyDescent="0.2">
      <c r="A51" s="169"/>
      <c r="B51" s="58"/>
      <c r="C51" s="58"/>
      <c r="D51" s="58"/>
      <c r="E51" s="58"/>
      <c r="F51" s="28"/>
      <c r="G51" s="58"/>
      <c r="H51" s="94"/>
      <c r="I51" s="59"/>
    </row>
    <row r="52" spans="1:9" x14ac:dyDescent="0.2">
      <c r="A52" s="169"/>
      <c r="B52" s="58"/>
      <c r="C52" s="58"/>
      <c r="D52" s="58"/>
      <c r="E52" s="58"/>
      <c r="F52" s="58"/>
      <c r="G52" s="58"/>
      <c r="H52" s="83"/>
      <c r="I52" s="59"/>
    </row>
    <row r="53" spans="1:9" x14ac:dyDescent="0.2">
      <c r="A53" s="161"/>
      <c r="B53" s="58"/>
      <c r="C53" s="58"/>
      <c r="D53" s="58"/>
      <c r="E53" s="58"/>
      <c r="F53" s="28"/>
      <c r="G53" s="58"/>
      <c r="H53" s="94"/>
      <c r="I53" s="59"/>
    </row>
    <row r="54" spans="1:9" x14ac:dyDescent="0.2">
      <c r="A54" s="78" t="s">
        <v>278</v>
      </c>
      <c r="B54" s="145"/>
      <c r="C54" s="145"/>
      <c r="D54" s="145"/>
      <c r="E54" s="145"/>
      <c r="F54" s="170"/>
      <c r="G54" s="145"/>
      <c r="H54" s="171"/>
      <c r="I54" s="172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ColWidth="11.28515625" defaultRowHeight="12.75" x14ac:dyDescent="0.2"/>
  <cols>
    <col min="1" max="1" width="32" style="173" customWidth="1"/>
    <col min="2" max="7" width="13.85546875" style="173" customWidth="1"/>
    <col min="8" max="8" width="17.28515625" style="173" customWidth="1"/>
    <col min="9" max="16384" width="11.28515625" style="173"/>
  </cols>
  <sheetData>
    <row r="1" spans="1:7" x14ac:dyDescent="0.2">
      <c r="A1" s="1" t="s">
        <v>0</v>
      </c>
      <c r="B1"/>
      <c r="C1"/>
      <c r="D1"/>
      <c r="E1" s="141"/>
      <c r="F1" s="2">
        <f>InfoInicial!E1</f>
        <v>9</v>
      </c>
    </row>
    <row r="2" spans="1:7" ht="15.75" x14ac:dyDescent="0.25">
      <c r="A2" s="174" t="s">
        <v>279</v>
      </c>
      <c r="B2" s="175"/>
      <c r="C2" s="175"/>
      <c r="D2" s="175"/>
      <c r="E2" s="175"/>
      <c r="F2" s="175"/>
      <c r="G2" s="176"/>
    </row>
    <row r="3" spans="1:7" x14ac:dyDescent="0.2">
      <c r="A3" s="177" t="s">
        <v>93</v>
      </c>
      <c r="B3" s="178" t="s">
        <v>54</v>
      </c>
      <c r="C3" s="178" t="s">
        <v>94</v>
      </c>
      <c r="D3" s="178" t="s">
        <v>95</v>
      </c>
      <c r="E3" s="178" t="s">
        <v>96</v>
      </c>
      <c r="F3" s="179" t="s">
        <v>97</v>
      </c>
      <c r="G3" s="180" t="s">
        <v>197</v>
      </c>
    </row>
    <row r="4" spans="1:7" x14ac:dyDescent="0.2">
      <c r="A4" s="173" t="s">
        <v>280</v>
      </c>
      <c r="B4" s="58"/>
      <c r="C4" s="58"/>
      <c r="D4" s="58"/>
      <c r="E4" s="58"/>
      <c r="F4" s="110"/>
      <c r="G4" s="59"/>
    </row>
    <row r="5" spans="1:7" x14ac:dyDescent="0.2">
      <c r="A5" s="173" t="s">
        <v>281</v>
      </c>
      <c r="B5" s="58"/>
      <c r="C5" s="58"/>
      <c r="D5" s="58"/>
      <c r="E5" s="58"/>
      <c r="F5" s="110"/>
      <c r="G5" s="59"/>
    </row>
    <row r="6" spans="1:7" x14ac:dyDescent="0.2">
      <c r="A6" s="173" t="s">
        <v>282</v>
      </c>
      <c r="B6" s="58"/>
      <c r="C6" s="58"/>
      <c r="D6" s="58"/>
      <c r="E6" s="58"/>
      <c r="F6" s="110"/>
      <c r="G6" s="59"/>
    </row>
    <row r="7" spans="1:7" x14ac:dyDescent="0.2">
      <c r="A7" s="173" t="s">
        <v>119</v>
      </c>
      <c r="B7" s="81"/>
      <c r="C7" s="81"/>
      <c r="D7" s="81"/>
      <c r="E7" s="81"/>
      <c r="F7" s="111"/>
      <c r="G7" s="82"/>
    </row>
    <row r="8" spans="1:7" x14ac:dyDescent="0.2">
      <c r="A8" s="173" t="s">
        <v>283</v>
      </c>
      <c r="B8" s="58"/>
      <c r="C8" s="58"/>
      <c r="D8" s="58"/>
      <c r="E8" s="58"/>
      <c r="F8" s="110"/>
      <c r="G8" s="59"/>
    </row>
    <row r="9" spans="1:7" x14ac:dyDescent="0.2">
      <c r="A9" s="173" t="s">
        <v>284</v>
      </c>
      <c r="B9" s="58"/>
      <c r="C9" s="58"/>
      <c r="D9" s="58"/>
      <c r="E9" s="58"/>
      <c r="F9" s="110"/>
      <c r="G9" s="59"/>
    </row>
    <row r="10" spans="1:7" x14ac:dyDescent="0.2">
      <c r="A10" s="173" t="s">
        <v>285</v>
      </c>
      <c r="B10" s="58"/>
      <c r="C10" s="58"/>
      <c r="D10" s="58"/>
      <c r="E10" s="58"/>
      <c r="F10" s="110"/>
      <c r="G10" s="59"/>
    </row>
    <row r="11" spans="1:7" x14ac:dyDescent="0.2">
      <c r="A11" s="181" t="s">
        <v>286</v>
      </c>
      <c r="B11" s="58"/>
      <c r="C11" s="58"/>
      <c r="D11" s="58"/>
      <c r="E11" s="58"/>
      <c r="F11" s="110"/>
      <c r="G11" s="59"/>
    </row>
    <row r="12" spans="1:7" x14ac:dyDescent="0.2">
      <c r="A12" s="173" t="s">
        <v>287</v>
      </c>
      <c r="B12" s="58"/>
      <c r="C12" s="58"/>
      <c r="D12" s="58"/>
      <c r="E12" s="58"/>
      <c r="F12" s="110"/>
      <c r="G12" s="59"/>
    </row>
    <row r="13" spans="1:7" x14ac:dyDescent="0.2">
      <c r="A13" s="182" t="s">
        <v>288</v>
      </c>
      <c r="B13" s="58"/>
      <c r="C13" s="58"/>
      <c r="D13" s="58"/>
      <c r="E13" s="58"/>
      <c r="F13" s="110"/>
      <c r="G13" s="59"/>
    </row>
    <row r="14" spans="1:7" x14ac:dyDescent="0.2">
      <c r="A14" s="183" t="s">
        <v>289</v>
      </c>
      <c r="B14" s="64"/>
      <c r="C14" s="64"/>
      <c r="D14" s="64"/>
      <c r="E14" s="64"/>
      <c r="F14" s="112"/>
      <c r="G14" s="6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ColWidth="11.28515625" defaultRowHeight="12.75" x14ac:dyDescent="0.2"/>
  <cols>
    <col min="1" max="1" width="54.28515625" style="173" customWidth="1"/>
    <col min="2" max="4" width="13.85546875" style="173" customWidth="1"/>
    <col min="5" max="250" width="11.28515625" style="173" customWidth="1"/>
  </cols>
  <sheetData>
    <row r="1" spans="1:5" x14ac:dyDescent="0.2">
      <c r="A1" s="1" t="s">
        <v>0</v>
      </c>
      <c r="B1"/>
      <c r="C1"/>
      <c r="D1">
        <f>InfoInicial!E1</f>
        <v>9</v>
      </c>
      <c r="E1" s="2"/>
    </row>
    <row r="2" spans="1:5" ht="15.75" x14ac:dyDescent="0.25">
      <c r="A2" s="174" t="s">
        <v>290</v>
      </c>
      <c r="B2" s="175"/>
      <c r="C2" s="175"/>
      <c r="D2" s="176"/>
    </row>
    <row r="3" spans="1:5" x14ac:dyDescent="0.2">
      <c r="A3" s="177" t="s">
        <v>93</v>
      </c>
      <c r="B3" s="184" t="s">
        <v>53</v>
      </c>
      <c r="C3" s="184" t="s">
        <v>54</v>
      </c>
      <c r="D3" s="180" t="s">
        <v>197</v>
      </c>
    </row>
    <row r="4" spans="1:5" x14ac:dyDescent="0.2">
      <c r="A4" s="181" t="s">
        <v>291</v>
      </c>
      <c r="B4" s="81"/>
      <c r="C4" s="81"/>
      <c r="D4" s="82"/>
    </row>
    <row r="5" spans="1:5" x14ac:dyDescent="0.2">
      <c r="B5" s="58"/>
      <c r="C5" s="58"/>
      <c r="D5" s="59"/>
    </row>
    <row r="6" spans="1:5" x14ac:dyDescent="0.2">
      <c r="A6" s="173" t="s">
        <v>292</v>
      </c>
      <c r="B6" s="58"/>
      <c r="C6" s="58"/>
      <c r="D6" s="59"/>
    </row>
    <row r="7" spans="1:5" x14ac:dyDescent="0.2">
      <c r="A7" s="173" t="s">
        <v>293</v>
      </c>
      <c r="B7" s="58"/>
      <c r="C7" s="58"/>
      <c r="D7" s="59"/>
    </row>
    <row r="8" spans="1:5" x14ac:dyDescent="0.2">
      <c r="A8" s="181" t="s">
        <v>294</v>
      </c>
      <c r="B8" s="58"/>
      <c r="C8" s="58"/>
      <c r="D8" s="59"/>
    </row>
    <row r="9" spans="1:5" x14ac:dyDescent="0.2">
      <c r="A9" s="182" t="s">
        <v>295</v>
      </c>
      <c r="B9" s="58"/>
      <c r="C9" s="58"/>
      <c r="D9" s="59"/>
    </row>
    <row r="10" spans="1:5" x14ac:dyDescent="0.2">
      <c r="A10" s="181" t="s">
        <v>296</v>
      </c>
      <c r="B10" s="58"/>
      <c r="C10" s="58"/>
      <c r="D10" s="59"/>
    </row>
    <row r="11" spans="1:5" x14ac:dyDescent="0.2">
      <c r="A11" s="181" t="s">
        <v>297</v>
      </c>
      <c r="B11" s="81"/>
      <c r="C11" s="81"/>
      <c r="D11" s="82"/>
    </row>
    <row r="12" spans="1:5" x14ac:dyDescent="0.2">
      <c r="A12" s="182" t="s">
        <v>298</v>
      </c>
      <c r="B12" s="58"/>
      <c r="C12" s="58"/>
      <c r="D12" s="59"/>
    </row>
    <row r="13" spans="1:5" x14ac:dyDescent="0.2">
      <c r="A13" s="173" t="s">
        <v>299</v>
      </c>
      <c r="B13" s="58"/>
      <c r="C13" s="58"/>
      <c r="D13" s="59"/>
    </row>
    <row r="14" spans="1:5" x14ac:dyDescent="0.2">
      <c r="A14" s="173" t="s">
        <v>300</v>
      </c>
      <c r="B14" s="58"/>
      <c r="C14" s="58"/>
      <c r="D14" s="59"/>
    </row>
    <row r="15" spans="1:5" x14ac:dyDescent="0.2">
      <c r="A15" s="181" t="s">
        <v>301</v>
      </c>
      <c r="B15" s="58"/>
      <c r="C15" s="58"/>
      <c r="D15" s="59"/>
    </row>
    <row r="16" spans="1:5" x14ac:dyDescent="0.2">
      <c r="A16" s="173" t="s">
        <v>119</v>
      </c>
      <c r="B16" s="81"/>
      <c r="C16" s="81"/>
      <c r="D16" s="82"/>
    </row>
    <row r="17" spans="1:5" x14ac:dyDescent="0.2">
      <c r="A17" s="173" t="s">
        <v>302</v>
      </c>
      <c r="B17" s="58"/>
      <c r="C17" s="58"/>
      <c r="D17" s="59"/>
    </row>
    <row r="18" spans="1:5" x14ac:dyDescent="0.2">
      <c r="A18" s="173" t="s">
        <v>303</v>
      </c>
      <c r="B18" s="58"/>
      <c r="C18" s="58"/>
      <c r="D18" s="59"/>
    </row>
    <row r="19" spans="1:5" x14ac:dyDescent="0.2">
      <c r="A19" s="173" t="s">
        <v>304</v>
      </c>
      <c r="B19" s="58"/>
      <c r="C19" s="58"/>
      <c r="D19" s="59"/>
    </row>
    <row r="20" spans="1:5" x14ac:dyDescent="0.2">
      <c r="A20" s="181" t="s">
        <v>305</v>
      </c>
      <c r="B20" s="58"/>
      <c r="C20" s="58"/>
      <c r="D20" s="59"/>
    </row>
    <row r="21" spans="1:5" x14ac:dyDescent="0.2">
      <c r="A21" s="173" t="s">
        <v>254</v>
      </c>
      <c r="B21" s="58"/>
      <c r="C21" s="58"/>
      <c r="D21" s="59"/>
    </row>
    <row r="22" spans="1:5" x14ac:dyDescent="0.2">
      <c r="A22" s="181" t="s">
        <v>306</v>
      </c>
      <c r="B22" s="58"/>
      <c r="C22" s="58"/>
      <c r="D22" s="59"/>
    </row>
    <row r="23" spans="1:5" x14ac:dyDescent="0.2">
      <c r="A23" s="181" t="s">
        <v>307</v>
      </c>
      <c r="B23" s="58"/>
      <c r="C23" s="58"/>
      <c r="D23" s="59"/>
    </row>
    <row r="24" spans="1:5" x14ac:dyDescent="0.2">
      <c r="A24" s="181" t="s">
        <v>308</v>
      </c>
      <c r="B24" s="81"/>
      <c r="C24" s="81"/>
      <c r="D24" s="82"/>
    </row>
    <row r="25" spans="1:5" x14ac:dyDescent="0.2">
      <c r="A25" s="173" t="s">
        <v>309</v>
      </c>
      <c r="B25" s="58"/>
      <c r="C25" s="58"/>
      <c r="D25" s="59"/>
    </row>
    <row r="26" spans="1:5" x14ac:dyDescent="0.2">
      <c r="A26" s="173" t="s">
        <v>310</v>
      </c>
      <c r="B26" s="58"/>
      <c r="C26" s="58"/>
      <c r="D26" s="59"/>
    </row>
    <row r="27" spans="1:5" x14ac:dyDescent="0.2">
      <c r="A27" s="181" t="s">
        <v>311</v>
      </c>
      <c r="B27" s="58"/>
      <c r="C27" s="58"/>
      <c r="D27" s="59"/>
      <c r="E27" s="185"/>
    </row>
    <row r="28" spans="1:5" x14ac:dyDescent="0.2">
      <c r="A28" s="181" t="s">
        <v>312</v>
      </c>
      <c r="B28" s="81"/>
      <c r="C28" s="81"/>
      <c r="D28" s="111"/>
      <c r="E28" s="186" t="s">
        <v>313</v>
      </c>
    </row>
    <row r="29" spans="1:5" x14ac:dyDescent="0.2">
      <c r="A29" s="181" t="s">
        <v>314</v>
      </c>
      <c r="B29" s="58"/>
      <c r="C29" s="58"/>
      <c r="D29" s="110"/>
      <c r="E29" s="84"/>
    </row>
    <row r="30" spans="1:5" x14ac:dyDescent="0.2">
      <c r="A30" s="181" t="s">
        <v>315</v>
      </c>
      <c r="B30" s="58"/>
      <c r="C30" s="58"/>
      <c r="D30" s="110"/>
      <c r="E30" s="84"/>
    </row>
    <row r="31" spans="1:5" x14ac:dyDescent="0.2">
      <c r="A31" s="181" t="s">
        <v>316</v>
      </c>
      <c r="B31" s="58"/>
      <c r="C31" s="58"/>
      <c r="D31" s="110"/>
      <c r="E31" s="84"/>
    </row>
    <row r="32" spans="1:5" x14ac:dyDescent="0.2">
      <c r="A32" s="183" t="s">
        <v>197</v>
      </c>
      <c r="B32" s="64"/>
      <c r="C32" s="64"/>
      <c r="D32" s="112"/>
      <c r="E32" s="77"/>
    </row>
    <row r="34" spans="1:6" ht="15.75" x14ac:dyDescent="0.25">
      <c r="A34" s="174" t="s">
        <v>317</v>
      </c>
      <c r="B34" s="175"/>
      <c r="C34" s="175"/>
      <c r="D34" s="175"/>
      <c r="E34" s="175"/>
      <c r="F34" s="175"/>
    </row>
    <row r="35" spans="1:6" x14ac:dyDescent="0.2">
      <c r="A35" s="177" t="s">
        <v>93</v>
      </c>
      <c r="B35" s="178" t="s">
        <v>54</v>
      </c>
      <c r="C35" s="178" t="s">
        <v>94</v>
      </c>
      <c r="D35" s="178" t="s">
        <v>95</v>
      </c>
      <c r="E35" s="178" t="s">
        <v>96</v>
      </c>
      <c r="F35" s="178" t="s">
        <v>97</v>
      </c>
    </row>
    <row r="36" spans="1:6" x14ac:dyDescent="0.2">
      <c r="A36" s="187" t="s">
        <v>159</v>
      </c>
      <c r="B36" s="28"/>
      <c r="C36" s="28"/>
      <c r="D36" s="28"/>
      <c r="E36" s="28"/>
      <c r="F36" s="28"/>
    </row>
    <row r="37" spans="1:6" x14ac:dyDescent="0.2">
      <c r="A37" s="188" t="s">
        <v>158</v>
      </c>
      <c r="B37" s="28"/>
      <c r="C37" s="28"/>
      <c r="D37" s="28"/>
      <c r="E37" s="28"/>
      <c r="F37" s="28"/>
    </row>
    <row r="38" spans="1:6" x14ac:dyDescent="0.2">
      <c r="A38" s="187" t="s">
        <v>161</v>
      </c>
      <c r="B38" s="28"/>
      <c r="C38" s="28"/>
      <c r="D38" s="28"/>
      <c r="E38" s="28"/>
      <c r="F38" s="28"/>
    </row>
    <row r="39" spans="1:6" x14ac:dyDescent="0.2">
      <c r="A39" s="188" t="s">
        <v>160</v>
      </c>
      <c r="B39" s="28"/>
      <c r="C39" s="28"/>
      <c r="D39" s="28"/>
      <c r="E39" s="28"/>
      <c r="F39" s="28"/>
    </row>
    <row r="40" spans="1:6" x14ac:dyDescent="0.2">
      <c r="A40" s="187" t="s">
        <v>163</v>
      </c>
      <c r="B40" s="28"/>
      <c r="C40" s="28"/>
      <c r="D40" s="28"/>
      <c r="E40" s="28"/>
      <c r="F40" s="28"/>
    </row>
    <row r="41" spans="1:6" x14ac:dyDescent="0.2">
      <c r="A41" s="188" t="s">
        <v>162</v>
      </c>
      <c r="B41" s="28"/>
      <c r="C41" s="28"/>
      <c r="D41" s="28"/>
      <c r="E41" s="28"/>
      <c r="F41" s="28"/>
    </row>
    <row r="42" spans="1:6" x14ac:dyDescent="0.2">
      <c r="A42" s="188" t="s">
        <v>318</v>
      </c>
      <c r="B42" s="28"/>
      <c r="C42" s="28"/>
      <c r="D42" s="28"/>
      <c r="E42" s="28"/>
      <c r="F42" s="28"/>
    </row>
    <row r="43" spans="1:6" x14ac:dyDescent="0.2">
      <c r="A43" s="187" t="s">
        <v>164</v>
      </c>
      <c r="B43" s="28"/>
      <c r="C43" s="28"/>
      <c r="D43" s="28"/>
      <c r="E43" s="28"/>
      <c r="F43" s="28"/>
    </row>
    <row r="44" spans="1:6" x14ac:dyDescent="0.2">
      <c r="A44" s="189" t="s">
        <v>165</v>
      </c>
      <c r="B44" s="32"/>
      <c r="C44" s="32"/>
      <c r="D44" s="32"/>
      <c r="E44" s="32"/>
      <c r="F44" s="32"/>
    </row>
    <row r="45" spans="1:6" ht="15.75" x14ac:dyDescent="0.25">
      <c r="A45" s="190" t="s">
        <v>319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ColWidth="11.28515625" defaultRowHeight="12.75" x14ac:dyDescent="0.2"/>
  <cols>
    <col min="1" max="1" width="42.85546875" style="173" customWidth="1"/>
    <col min="2" max="7" width="13.85546875" style="173" customWidth="1"/>
    <col min="8" max="8" width="17.28515625" style="173" customWidth="1"/>
    <col min="9" max="16384" width="11.28515625" style="173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2" spans="1:7" ht="15.75" x14ac:dyDescent="0.25">
      <c r="A2" s="174" t="s">
        <v>216</v>
      </c>
      <c r="B2" s="175"/>
      <c r="C2" s="175"/>
      <c r="D2" s="175"/>
      <c r="E2" s="175"/>
      <c r="F2" s="175"/>
      <c r="G2" s="176"/>
    </row>
    <row r="3" spans="1:7" ht="15.75" x14ac:dyDescent="0.25">
      <c r="A3" s="191"/>
      <c r="B3" s="192" t="s">
        <v>217</v>
      </c>
      <c r="C3" s="192"/>
      <c r="D3" s="192"/>
      <c r="E3" s="192"/>
      <c r="F3" s="192"/>
      <c r="G3" s="193"/>
    </row>
    <row r="4" spans="1:7" x14ac:dyDescent="0.2">
      <c r="A4" s="194" t="s">
        <v>93</v>
      </c>
      <c r="B4" s="195" t="s">
        <v>53</v>
      </c>
      <c r="C4" s="178" t="s">
        <v>54</v>
      </c>
      <c r="D4" s="178" t="s">
        <v>94</v>
      </c>
      <c r="E4" s="178" t="s">
        <v>95</v>
      </c>
      <c r="F4" s="178" t="s">
        <v>96</v>
      </c>
      <c r="G4" s="180" t="s">
        <v>97</v>
      </c>
    </row>
    <row r="5" spans="1:7" x14ac:dyDescent="0.2">
      <c r="A5" s="196" t="s">
        <v>320</v>
      </c>
      <c r="B5" s="119"/>
      <c r="C5" s="102"/>
      <c r="D5" s="102"/>
      <c r="E5" s="102"/>
      <c r="F5" s="102"/>
      <c r="G5" s="103"/>
    </row>
    <row r="6" spans="1:7" x14ac:dyDescent="0.2">
      <c r="A6" s="197" t="s">
        <v>321</v>
      </c>
      <c r="B6" s="121"/>
      <c r="C6" s="58"/>
      <c r="D6" s="58"/>
      <c r="E6" s="58"/>
      <c r="F6" s="58"/>
      <c r="G6" s="59"/>
    </row>
    <row r="7" spans="1:7" x14ac:dyDescent="0.2">
      <c r="A7" s="197" t="s">
        <v>322</v>
      </c>
      <c r="B7" s="121"/>
      <c r="C7" s="58"/>
      <c r="D7" s="58"/>
      <c r="E7" s="58"/>
      <c r="F7" s="58"/>
      <c r="G7" s="59"/>
    </row>
    <row r="8" spans="1:7" x14ac:dyDescent="0.2">
      <c r="A8" s="198" t="s">
        <v>323</v>
      </c>
      <c r="B8" s="121"/>
      <c r="C8" s="58"/>
      <c r="D8" s="58"/>
      <c r="E8" s="58"/>
      <c r="F8" s="58"/>
      <c r="G8" s="59"/>
    </row>
    <row r="9" spans="1:7" x14ac:dyDescent="0.2">
      <c r="A9" s="198" t="s">
        <v>324</v>
      </c>
      <c r="B9" s="121"/>
      <c r="C9" s="58"/>
      <c r="D9" s="58"/>
      <c r="E9" s="58"/>
      <c r="F9" s="58"/>
      <c r="G9" s="59"/>
    </row>
    <row r="10" spans="1:7" x14ac:dyDescent="0.2">
      <c r="A10" s="199" t="s">
        <v>325</v>
      </c>
      <c r="B10" s="121"/>
      <c r="C10" s="58"/>
      <c r="D10" s="58"/>
      <c r="E10" s="58"/>
      <c r="F10" s="58"/>
      <c r="G10" s="59"/>
    </row>
    <row r="11" spans="1:7" x14ac:dyDescent="0.2">
      <c r="A11" s="199"/>
      <c r="B11" s="123"/>
      <c r="C11" s="81"/>
      <c r="D11" s="81"/>
      <c r="E11" s="81"/>
      <c r="F11" s="81"/>
      <c r="G11" s="82"/>
    </row>
    <row r="12" spans="1:7" x14ac:dyDescent="0.2">
      <c r="A12" s="197" t="s">
        <v>228</v>
      </c>
      <c r="B12" s="121"/>
      <c r="C12" s="58"/>
      <c r="D12" s="58"/>
      <c r="E12" s="58"/>
      <c r="F12" s="58"/>
      <c r="G12" s="59"/>
    </row>
    <row r="13" spans="1:7" x14ac:dyDescent="0.2">
      <c r="A13" s="197" t="s">
        <v>229</v>
      </c>
      <c r="B13" s="121"/>
      <c r="C13" s="58"/>
      <c r="D13" s="58"/>
      <c r="E13" s="58"/>
      <c r="F13" s="58"/>
      <c r="G13" s="59"/>
    </row>
    <row r="14" spans="1:7" x14ac:dyDescent="0.2">
      <c r="A14" s="199" t="s">
        <v>326</v>
      </c>
      <c r="B14" s="121"/>
      <c r="C14" s="58"/>
      <c r="D14" s="58"/>
      <c r="E14" s="58"/>
      <c r="F14" s="58"/>
      <c r="G14" s="59"/>
    </row>
    <row r="15" spans="1:7" x14ac:dyDescent="0.2">
      <c r="A15" s="197"/>
      <c r="B15" s="123"/>
      <c r="C15" s="81"/>
      <c r="D15" s="81"/>
      <c r="E15" s="81"/>
      <c r="F15" s="81"/>
      <c r="G15" s="82"/>
    </row>
    <row r="16" spans="1:7" x14ac:dyDescent="0.2">
      <c r="A16" s="200" t="s">
        <v>327</v>
      </c>
      <c r="B16" s="121"/>
      <c r="C16" s="58"/>
      <c r="D16" s="58"/>
      <c r="E16" s="58"/>
      <c r="F16" s="58"/>
      <c r="G16" s="59"/>
    </row>
    <row r="17" spans="1:7" x14ac:dyDescent="0.2">
      <c r="A17" s="200" t="s">
        <v>328</v>
      </c>
      <c r="B17" s="121"/>
      <c r="C17" s="58"/>
      <c r="D17" s="58"/>
      <c r="E17" s="58"/>
      <c r="F17" s="58"/>
      <c r="G17" s="59"/>
    </row>
    <row r="18" spans="1:7" x14ac:dyDescent="0.2">
      <c r="A18" s="199" t="s">
        <v>329</v>
      </c>
      <c r="B18" s="121"/>
      <c r="C18" s="58"/>
      <c r="D18" s="58"/>
      <c r="E18" s="58"/>
      <c r="F18" s="58"/>
      <c r="G18" s="59"/>
    </row>
    <row r="19" spans="1:7" x14ac:dyDescent="0.2">
      <c r="A19" s="199" t="s">
        <v>330</v>
      </c>
      <c r="B19" s="121"/>
      <c r="C19" s="58"/>
      <c r="D19" s="58"/>
      <c r="E19" s="58"/>
      <c r="F19" s="58"/>
      <c r="G19" s="59"/>
    </row>
    <row r="20" spans="1:7" x14ac:dyDescent="0.2">
      <c r="A20" s="197"/>
      <c r="B20" s="123"/>
      <c r="C20" s="81"/>
      <c r="D20" s="81"/>
      <c r="E20" s="81"/>
      <c r="F20" s="81"/>
      <c r="G20" s="82"/>
    </row>
    <row r="21" spans="1:7" x14ac:dyDescent="0.2">
      <c r="A21" s="201" t="s">
        <v>234</v>
      </c>
      <c r="B21" s="126"/>
      <c r="C21" s="64"/>
      <c r="D21" s="64"/>
      <c r="E21" s="64"/>
      <c r="F21" s="64"/>
      <c r="G21" s="65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ColWidth="11.28515625" defaultRowHeight="12.75" x14ac:dyDescent="0.2"/>
  <cols>
    <col min="1" max="1" width="40.85546875" style="202" customWidth="1"/>
    <col min="2" max="7" width="14.7109375" style="202" customWidth="1"/>
    <col min="8" max="8" width="21.7109375" style="202" customWidth="1"/>
    <col min="9" max="9" width="17.28515625" style="202" customWidth="1"/>
    <col min="10" max="16384" width="11.28515625" style="202"/>
  </cols>
  <sheetData>
    <row r="1" spans="1:8" x14ac:dyDescent="0.2">
      <c r="A1" s="1" t="s">
        <v>0</v>
      </c>
      <c r="B1"/>
      <c r="C1"/>
      <c r="D1"/>
      <c r="E1" s="2">
        <f>InfoInicial!E1</f>
        <v>9</v>
      </c>
    </row>
    <row r="3" spans="1:8" ht="15.75" x14ac:dyDescent="0.25">
      <c r="A3" s="203" t="s">
        <v>331</v>
      </c>
      <c r="B3" s="204"/>
      <c r="C3" s="204"/>
      <c r="D3" s="204"/>
      <c r="E3" s="204"/>
      <c r="F3" s="204"/>
      <c r="G3" s="205"/>
      <c r="H3" s="206"/>
    </row>
    <row r="4" spans="1:8" x14ac:dyDescent="0.2">
      <c r="A4" s="207"/>
      <c r="B4" s="208" t="s">
        <v>53</v>
      </c>
      <c r="C4" s="208" t="s">
        <v>54</v>
      </c>
      <c r="D4" s="208" t="s">
        <v>94</v>
      </c>
      <c r="E4" s="208" t="s">
        <v>95</v>
      </c>
      <c r="F4" s="208" t="s">
        <v>96</v>
      </c>
      <c r="G4" s="209" t="s">
        <v>97</v>
      </c>
      <c r="H4" s="210" t="s">
        <v>197</v>
      </c>
    </row>
    <row r="5" spans="1:8" x14ac:dyDescent="0.2">
      <c r="A5" s="181" t="s">
        <v>332</v>
      </c>
      <c r="B5" s="88"/>
      <c r="C5" s="88"/>
      <c r="D5" s="88"/>
      <c r="E5" s="88"/>
      <c r="F5" s="88"/>
      <c r="G5" s="211"/>
      <c r="H5" s="89"/>
    </row>
    <row r="6" spans="1:8" x14ac:dyDescent="0.2">
      <c r="A6" s="173" t="s">
        <v>333</v>
      </c>
      <c r="B6" s="58"/>
      <c r="C6" s="58"/>
      <c r="D6" s="58"/>
      <c r="E6" s="58"/>
      <c r="F6" s="58"/>
      <c r="G6" s="110"/>
      <c r="H6" s="59"/>
    </row>
    <row r="7" spans="1:8" x14ac:dyDescent="0.2">
      <c r="A7" s="173" t="s">
        <v>334</v>
      </c>
      <c r="B7" s="212"/>
      <c r="C7" s="212"/>
      <c r="D7" s="212"/>
      <c r="E7" s="212"/>
      <c r="F7" s="212"/>
      <c r="G7" s="213"/>
      <c r="H7" s="214"/>
    </row>
    <row r="8" spans="1:8" x14ac:dyDescent="0.2">
      <c r="A8" s="173" t="s">
        <v>335</v>
      </c>
      <c r="B8" s="58"/>
      <c r="C8" s="58"/>
      <c r="D8" s="58"/>
      <c r="E8" s="58"/>
      <c r="F8" s="58"/>
      <c r="G8" s="110"/>
      <c r="H8" s="59"/>
    </row>
    <row r="9" spans="1:8" x14ac:dyDescent="0.2">
      <c r="A9" s="173" t="s">
        <v>336</v>
      </c>
      <c r="B9" s="212"/>
      <c r="C9" s="212"/>
      <c r="D9" s="212"/>
      <c r="E9" s="212"/>
      <c r="F9" s="212"/>
      <c r="G9" s="213"/>
      <c r="H9" s="214"/>
    </row>
    <row r="10" spans="1:8" x14ac:dyDescent="0.2">
      <c r="A10" s="173" t="s">
        <v>337</v>
      </c>
      <c r="B10" s="58"/>
      <c r="C10" s="58"/>
      <c r="D10" s="58"/>
      <c r="E10" s="58"/>
      <c r="F10" s="58"/>
      <c r="G10" s="110"/>
      <c r="H10" s="59"/>
    </row>
    <row r="11" spans="1:8" x14ac:dyDescent="0.2">
      <c r="A11" s="173" t="s">
        <v>338</v>
      </c>
      <c r="B11" s="88"/>
      <c r="C11" s="88"/>
      <c r="D11" s="88"/>
      <c r="E11" s="88"/>
      <c r="F11" s="88"/>
      <c r="G11" s="211"/>
      <c r="H11" s="89"/>
    </row>
    <row r="12" spans="1:8" x14ac:dyDescent="0.2">
      <c r="A12" s="173"/>
      <c r="B12" s="58"/>
      <c r="C12" s="58"/>
      <c r="D12" s="58"/>
      <c r="E12" s="58"/>
      <c r="F12" s="58"/>
      <c r="G12" s="110"/>
      <c r="H12" s="59"/>
    </row>
    <row r="13" spans="1:8" x14ac:dyDescent="0.2">
      <c r="A13" s="181" t="s">
        <v>339</v>
      </c>
      <c r="B13" s="58"/>
      <c r="C13" s="58"/>
      <c r="D13" s="58"/>
      <c r="E13" s="58"/>
      <c r="F13" s="58"/>
      <c r="G13" s="110"/>
      <c r="H13" s="59"/>
    </row>
    <row r="14" spans="1:8" x14ac:dyDescent="0.2">
      <c r="A14" s="173" t="s">
        <v>340</v>
      </c>
      <c r="B14" s="212"/>
      <c r="C14" s="212"/>
      <c r="D14" s="212"/>
      <c r="E14" s="212"/>
      <c r="F14" s="212"/>
      <c r="G14" s="213"/>
      <c r="H14" s="214"/>
    </row>
    <row r="15" spans="1:8" x14ac:dyDescent="0.2">
      <c r="A15" s="173" t="s">
        <v>264</v>
      </c>
      <c r="B15" s="58"/>
      <c r="C15" s="58"/>
      <c r="D15" s="58"/>
      <c r="E15" s="58"/>
      <c r="F15" s="58"/>
      <c r="G15" s="110"/>
      <c r="H15" s="59"/>
    </row>
    <row r="16" spans="1:8" x14ac:dyDescent="0.2">
      <c r="A16" s="173" t="s">
        <v>341</v>
      </c>
      <c r="B16" s="58"/>
      <c r="C16" s="58"/>
      <c r="D16" s="58"/>
      <c r="E16" s="58"/>
      <c r="F16" s="58"/>
      <c r="G16" s="110"/>
      <c r="H16" s="59"/>
    </row>
    <row r="17" spans="1:14" x14ac:dyDescent="0.2">
      <c r="A17" s="173" t="s">
        <v>342</v>
      </c>
      <c r="B17" s="58"/>
      <c r="C17" s="58"/>
      <c r="D17" s="58"/>
      <c r="E17" s="58"/>
      <c r="F17" s="58"/>
      <c r="G17" s="110"/>
      <c r="H17" s="59"/>
    </row>
    <row r="18" spans="1:14" x14ac:dyDescent="0.2">
      <c r="A18" s="173" t="s">
        <v>343</v>
      </c>
      <c r="B18" s="212"/>
      <c r="C18" s="212"/>
      <c r="D18" s="212"/>
      <c r="E18" s="212"/>
      <c r="F18" s="212"/>
      <c r="G18" s="213"/>
      <c r="H18" s="214"/>
    </row>
    <row r="19" spans="1:14" x14ac:dyDescent="0.2">
      <c r="A19" s="173" t="s">
        <v>344</v>
      </c>
      <c r="B19" s="58"/>
      <c r="C19" s="58"/>
      <c r="D19" s="58"/>
      <c r="E19" s="58"/>
      <c r="F19" s="58"/>
      <c r="G19" s="110"/>
      <c r="H19" s="59"/>
    </row>
    <row r="20" spans="1:14" x14ac:dyDescent="0.2">
      <c r="A20" s="173" t="s">
        <v>345</v>
      </c>
      <c r="B20" s="212"/>
      <c r="C20" s="212"/>
      <c r="D20" s="212"/>
      <c r="E20" s="212"/>
      <c r="F20" s="212"/>
      <c r="G20" s="213"/>
      <c r="H20" s="214"/>
    </row>
    <row r="21" spans="1:14" x14ac:dyDescent="0.2">
      <c r="A21" s="173" t="s">
        <v>346</v>
      </c>
      <c r="B21" s="58"/>
      <c r="C21" s="58"/>
      <c r="D21" s="58"/>
      <c r="E21" s="58"/>
      <c r="F21" s="58"/>
      <c r="G21" s="110"/>
      <c r="H21" s="59"/>
    </row>
    <row r="22" spans="1:14" x14ac:dyDescent="0.2">
      <c r="A22" s="173" t="s">
        <v>347</v>
      </c>
      <c r="B22" s="88"/>
      <c r="C22" s="88"/>
      <c r="D22" s="88"/>
      <c r="E22" s="88"/>
      <c r="F22" s="88"/>
      <c r="G22" s="211"/>
      <c r="H22" s="89"/>
    </row>
    <row r="23" spans="1:14" x14ac:dyDescent="0.2">
      <c r="A23" s="173"/>
      <c r="B23" s="81"/>
      <c r="C23" s="81"/>
      <c r="D23" s="81"/>
      <c r="E23" s="81"/>
      <c r="F23" s="81"/>
      <c r="G23" s="111"/>
      <c r="H23" s="82"/>
    </row>
    <row r="24" spans="1:14" x14ac:dyDescent="0.2">
      <c r="A24" s="181" t="s">
        <v>348</v>
      </c>
      <c r="B24" s="58"/>
      <c r="C24" s="58"/>
      <c r="D24" s="58"/>
      <c r="E24" s="58"/>
      <c r="F24" s="58"/>
      <c r="G24" s="110"/>
      <c r="H24" s="59"/>
    </row>
    <row r="25" spans="1:14" x14ac:dyDescent="0.2">
      <c r="A25" s="181" t="s">
        <v>349</v>
      </c>
      <c r="B25" s="58"/>
      <c r="C25" s="58"/>
      <c r="D25" s="58"/>
      <c r="E25" s="58"/>
      <c r="F25" s="58"/>
      <c r="G25" s="110"/>
      <c r="H25" s="59"/>
    </row>
    <row r="26" spans="1:14" x14ac:dyDescent="0.2">
      <c r="A26" s="181"/>
      <c r="B26" s="81"/>
      <c r="C26" s="81"/>
      <c r="D26" s="81"/>
      <c r="E26" s="81"/>
      <c r="F26" s="81"/>
      <c r="G26" s="111"/>
      <c r="H26" s="82"/>
    </row>
    <row r="27" spans="1:14" x14ac:dyDescent="0.2">
      <c r="A27" s="181" t="s">
        <v>350</v>
      </c>
      <c r="B27" s="90"/>
      <c r="C27" s="90"/>
      <c r="D27" s="90"/>
      <c r="E27" s="90"/>
      <c r="F27" s="90"/>
      <c r="G27" s="215"/>
      <c r="H27" s="91"/>
    </row>
    <row r="28" spans="1:14" x14ac:dyDescent="0.2">
      <c r="A28" s="189" t="s">
        <v>351</v>
      </c>
      <c r="B28" s="32"/>
      <c r="C28" s="32"/>
      <c r="D28" s="32"/>
      <c r="E28" s="32"/>
      <c r="F28" s="32"/>
      <c r="G28" s="216"/>
      <c r="H28" s="48"/>
      <c r="I28" s="173"/>
      <c r="J28" s="173"/>
      <c r="K28" s="173"/>
      <c r="L28" s="173"/>
      <c r="M28" s="173"/>
      <c r="N28" s="173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ColWidth="11.28515625" defaultRowHeight="12.75" x14ac:dyDescent="0.2"/>
  <cols>
    <col min="1" max="1" width="37.5703125" style="173" customWidth="1"/>
    <col min="2" max="7" width="14.7109375" style="173" customWidth="1"/>
    <col min="8" max="8" width="17.28515625" style="173" customWidth="1"/>
    <col min="9" max="16384" width="11.28515625" style="173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3" spans="1:7" ht="15.75" x14ac:dyDescent="0.25">
      <c r="A3" s="203" t="s">
        <v>352</v>
      </c>
      <c r="B3" s="204"/>
      <c r="C3" s="204"/>
      <c r="D3" s="204"/>
      <c r="E3" s="204"/>
      <c r="F3" s="204"/>
      <c r="G3" s="206"/>
    </row>
    <row r="4" spans="1:7" x14ac:dyDescent="0.2">
      <c r="A4" s="217"/>
      <c r="B4" s="218" t="s">
        <v>53</v>
      </c>
      <c r="C4" s="218" t="s">
        <v>54</v>
      </c>
      <c r="D4" s="218" t="s">
        <v>94</v>
      </c>
      <c r="E4" s="218" t="s">
        <v>95</v>
      </c>
      <c r="F4" s="218" t="s">
        <v>96</v>
      </c>
      <c r="G4" s="219" t="s">
        <v>97</v>
      </c>
    </row>
    <row r="5" spans="1:7" x14ac:dyDescent="0.2">
      <c r="A5" s="220" t="s">
        <v>353</v>
      </c>
      <c r="B5" s="221"/>
      <c r="C5" s="221"/>
      <c r="D5" s="221"/>
      <c r="E5" s="221"/>
      <c r="F5" s="221"/>
      <c r="G5" s="222"/>
    </row>
    <row r="6" spans="1:7" x14ac:dyDescent="0.2">
      <c r="A6" s="187" t="s">
        <v>354</v>
      </c>
      <c r="B6" s="81"/>
      <c r="C6" s="81"/>
      <c r="D6" s="81"/>
      <c r="E6" s="81"/>
      <c r="F6" s="81"/>
      <c r="G6" s="82"/>
    </row>
    <row r="7" spans="1:7" x14ac:dyDescent="0.2">
      <c r="A7" s="207" t="s">
        <v>355</v>
      </c>
      <c r="B7" s="212"/>
      <c r="C7" s="212"/>
      <c r="D7" s="212"/>
      <c r="E7" s="212"/>
      <c r="F7" s="212"/>
      <c r="G7" s="214"/>
    </row>
    <row r="8" spans="1:7" x14ac:dyDescent="0.2">
      <c r="A8" s="207" t="s">
        <v>356</v>
      </c>
      <c r="B8" s="58"/>
      <c r="C8" s="58"/>
      <c r="D8" s="58"/>
      <c r="E8" s="58"/>
      <c r="F8" s="58"/>
      <c r="G8" s="59"/>
    </row>
    <row r="9" spans="1:7" x14ac:dyDescent="0.2">
      <c r="A9" s="187" t="s">
        <v>357</v>
      </c>
      <c r="B9" s="212"/>
      <c r="C9" s="212"/>
      <c r="D9" s="212"/>
      <c r="E9" s="212"/>
      <c r="F9" s="212"/>
      <c r="G9" s="214"/>
    </row>
    <row r="10" spans="1:7" x14ac:dyDescent="0.2">
      <c r="A10" s="187" t="s">
        <v>358</v>
      </c>
      <c r="B10" s="58"/>
      <c r="C10" s="58"/>
      <c r="D10" s="58"/>
      <c r="E10" s="58"/>
      <c r="F10" s="58"/>
      <c r="G10" s="59"/>
    </row>
    <row r="11" spans="1:7" x14ac:dyDescent="0.2">
      <c r="A11" s="187" t="s">
        <v>359</v>
      </c>
      <c r="B11" s="88"/>
      <c r="C11" s="88"/>
      <c r="D11" s="88"/>
      <c r="E11" s="88"/>
      <c r="F11" s="88"/>
      <c r="G11" s="89"/>
    </row>
    <row r="12" spans="1:7" x14ac:dyDescent="0.2">
      <c r="A12" s="187" t="s">
        <v>360</v>
      </c>
      <c r="B12" s="88"/>
      <c r="C12" s="88"/>
      <c r="D12" s="88"/>
      <c r="E12" s="88"/>
      <c r="F12" s="88"/>
      <c r="G12" s="89"/>
    </row>
    <row r="13" spans="1:7" x14ac:dyDescent="0.2">
      <c r="A13" s="187" t="s">
        <v>361</v>
      </c>
      <c r="B13" s="223"/>
      <c r="C13" s="223"/>
      <c r="D13" s="223"/>
      <c r="E13" s="223"/>
      <c r="F13" s="223"/>
      <c r="G13" s="224"/>
    </row>
    <row r="14" spans="1:7" x14ac:dyDescent="0.2">
      <c r="A14" s="207" t="s">
        <v>362</v>
      </c>
      <c r="B14" s="58"/>
      <c r="C14" s="58"/>
      <c r="D14" s="58"/>
      <c r="E14" s="58"/>
      <c r="F14" s="58"/>
      <c r="G14" s="59"/>
    </row>
    <row r="15" spans="1:7" x14ac:dyDescent="0.2">
      <c r="A15" s="207" t="s">
        <v>363</v>
      </c>
      <c r="B15" s="212"/>
      <c r="C15" s="212"/>
      <c r="D15" s="212"/>
      <c r="E15" s="212"/>
      <c r="F15" s="212"/>
      <c r="G15" s="214"/>
    </row>
    <row r="16" spans="1:7" x14ac:dyDescent="0.2">
      <c r="A16" s="207" t="s">
        <v>364</v>
      </c>
      <c r="B16" s="58"/>
      <c r="C16" s="58"/>
      <c r="D16" s="58"/>
      <c r="E16" s="58"/>
      <c r="F16" s="58"/>
      <c r="G16" s="59"/>
    </row>
    <row r="17" spans="1:7" x14ac:dyDescent="0.2">
      <c r="A17" s="207" t="s">
        <v>365</v>
      </c>
      <c r="B17" s="58"/>
      <c r="C17" s="58"/>
      <c r="D17" s="58"/>
      <c r="E17" s="58"/>
      <c r="F17" s="58"/>
      <c r="G17" s="59"/>
    </row>
    <row r="18" spans="1:7" x14ac:dyDescent="0.2">
      <c r="A18" s="187" t="s">
        <v>86</v>
      </c>
      <c r="B18" s="212"/>
      <c r="C18" s="212"/>
      <c r="D18" s="212"/>
      <c r="E18" s="212"/>
      <c r="F18" s="212"/>
      <c r="G18" s="214"/>
    </row>
    <row r="19" spans="1:7" x14ac:dyDescent="0.2">
      <c r="A19" s="207" t="s">
        <v>362</v>
      </c>
      <c r="B19" s="58"/>
      <c r="C19" s="58"/>
      <c r="D19" s="58"/>
      <c r="E19" s="58"/>
      <c r="F19" s="58"/>
      <c r="G19" s="59"/>
    </row>
    <row r="20" spans="1:7" x14ac:dyDescent="0.2">
      <c r="A20" s="207" t="s">
        <v>366</v>
      </c>
      <c r="B20" s="58"/>
      <c r="C20" s="58"/>
      <c r="D20" s="58"/>
      <c r="E20" s="58"/>
      <c r="F20" s="58"/>
      <c r="G20" s="59"/>
    </row>
    <row r="21" spans="1:7" x14ac:dyDescent="0.2">
      <c r="A21" s="207" t="s">
        <v>367</v>
      </c>
      <c r="B21" s="58"/>
      <c r="C21" s="58"/>
      <c r="D21" s="58"/>
      <c r="E21" s="58"/>
      <c r="F21" s="58"/>
      <c r="G21" s="59"/>
    </row>
    <row r="22" spans="1:7" x14ac:dyDescent="0.2">
      <c r="A22" s="207" t="s">
        <v>365</v>
      </c>
      <c r="B22" s="212"/>
      <c r="C22" s="212"/>
      <c r="D22" s="212"/>
      <c r="E22" s="212"/>
      <c r="F22" s="212"/>
      <c r="G22" s="214"/>
    </row>
    <row r="23" spans="1:7" x14ac:dyDescent="0.2">
      <c r="A23" s="187" t="s">
        <v>368</v>
      </c>
      <c r="B23" s="212"/>
      <c r="C23" s="212"/>
      <c r="D23" s="212"/>
      <c r="E23" s="212"/>
      <c r="F23" s="212"/>
      <c r="G23" s="214"/>
    </row>
    <row r="24" spans="1:7" x14ac:dyDescent="0.2">
      <c r="A24" s="187" t="s">
        <v>369</v>
      </c>
      <c r="B24" s="212"/>
      <c r="C24" s="212"/>
      <c r="D24" s="212"/>
      <c r="E24" s="212"/>
      <c r="F24" s="212"/>
      <c r="G24" s="214"/>
    </row>
    <row r="25" spans="1:7" x14ac:dyDescent="0.2">
      <c r="A25" s="187" t="s">
        <v>370</v>
      </c>
      <c r="B25" s="212"/>
      <c r="C25" s="212"/>
      <c r="D25" s="212"/>
      <c r="E25" s="212"/>
      <c r="F25" s="212"/>
      <c r="G25" s="214"/>
    </row>
    <row r="26" spans="1:7" x14ac:dyDescent="0.2">
      <c r="A26" s="187" t="s">
        <v>371</v>
      </c>
      <c r="B26" s="212"/>
      <c r="C26" s="212"/>
      <c r="D26" s="212"/>
      <c r="E26" s="212"/>
      <c r="F26" s="212"/>
      <c r="G26" s="214"/>
    </row>
    <row r="27" spans="1:7" x14ac:dyDescent="0.2">
      <c r="A27" s="187" t="s">
        <v>372</v>
      </c>
      <c r="B27" s="58"/>
      <c r="C27" s="58"/>
      <c r="D27" s="58"/>
      <c r="E27" s="58"/>
      <c r="F27" s="58"/>
      <c r="G27" s="59"/>
    </row>
    <row r="28" spans="1:7" x14ac:dyDescent="0.2">
      <c r="A28" s="187" t="s">
        <v>373</v>
      </c>
      <c r="B28" s="58"/>
      <c r="C28" s="58"/>
      <c r="D28" s="58"/>
      <c r="E28" s="58"/>
      <c r="F28" s="58"/>
      <c r="G28" s="59"/>
    </row>
    <row r="29" spans="1:7" x14ac:dyDescent="0.2">
      <c r="A29" s="187" t="s">
        <v>372</v>
      </c>
      <c r="B29" s="212"/>
      <c r="C29" s="212"/>
      <c r="D29" s="212"/>
      <c r="E29" s="212"/>
      <c r="F29" s="212"/>
      <c r="G29" s="214"/>
    </row>
    <row r="30" spans="1:7" x14ac:dyDescent="0.2">
      <c r="A30" s="187" t="s">
        <v>374</v>
      </c>
      <c r="B30" s="58"/>
      <c r="C30" s="58"/>
      <c r="D30" s="58"/>
      <c r="E30" s="58"/>
      <c r="F30" s="58"/>
      <c r="G30" s="59"/>
    </row>
    <row r="31" spans="1:7" x14ac:dyDescent="0.2">
      <c r="A31" s="187" t="s">
        <v>375</v>
      </c>
      <c r="B31" s="58"/>
      <c r="C31" s="58"/>
      <c r="D31" s="58"/>
      <c r="E31" s="58"/>
      <c r="F31" s="58"/>
      <c r="G31" s="59"/>
    </row>
    <row r="32" spans="1:7" x14ac:dyDescent="0.2">
      <c r="A32" s="187" t="s">
        <v>376</v>
      </c>
      <c r="B32" s="58"/>
      <c r="C32" s="58"/>
      <c r="D32" s="58"/>
      <c r="E32" s="58"/>
      <c r="F32" s="58"/>
      <c r="G32" s="59"/>
    </row>
    <row r="33" spans="1:7" x14ac:dyDescent="0.2">
      <c r="A33" s="187" t="s">
        <v>377</v>
      </c>
      <c r="B33" s="212"/>
      <c r="C33" s="212"/>
      <c r="D33" s="212"/>
      <c r="E33" s="212"/>
      <c r="F33" s="212"/>
      <c r="G33" s="214"/>
    </row>
    <row r="34" spans="1:7" x14ac:dyDescent="0.2">
      <c r="A34" s="187" t="s">
        <v>378</v>
      </c>
      <c r="B34" s="58"/>
      <c r="C34" s="58"/>
      <c r="D34" s="58"/>
      <c r="E34" s="58"/>
      <c r="F34" s="58"/>
      <c r="G34" s="59"/>
    </row>
    <row r="35" spans="1:7" x14ac:dyDescent="0.2">
      <c r="A35" s="189" t="s">
        <v>379</v>
      </c>
      <c r="B35" s="32"/>
      <c r="C35" s="32"/>
      <c r="D35" s="32"/>
      <c r="E35" s="32"/>
      <c r="F35" s="32"/>
      <c r="G35" s="48"/>
    </row>
    <row r="38" spans="1:7" x14ac:dyDescent="0.2">
      <c r="A38" s="225" t="s">
        <v>380</v>
      </c>
      <c r="B38" s="140" t="str">
        <f t="shared" ref="B38:G38" si="0">IF(B24=B35,"OK","MAL")</f>
        <v>OK</v>
      </c>
      <c r="C38" s="140" t="str">
        <f t="shared" si="0"/>
        <v>OK</v>
      </c>
      <c r="D38" s="140" t="str">
        <f t="shared" si="0"/>
        <v>OK</v>
      </c>
      <c r="E38" s="140" t="str">
        <f t="shared" si="0"/>
        <v>OK</v>
      </c>
      <c r="F38" s="140" t="str">
        <f t="shared" si="0"/>
        <v>OK</v>
      </c>
      <c r="G38" s="140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ColWidth="11.28515625" defaultRowHeight="12.75" x14ac:dyDescent="0.2"/>
  <cols>
    <col min="1" max="1" width="7.85546875" style="173" customWidth="1"/>
    <col min="2" max="6" width="14.7109375" style="173" customWidth="1"/>
    <col min="7" max="7" width="16" style="173" customWidth="1"/>
    <col min="8" max="9" width="14.7109375" style="173" customWidth="1"/>
    <col min="10" max="10" width="17.42578125" style="173" customWidth="1"/>
    <col min="11" max="11" width="14.7109375" style="173" customWidth="1"/>
    <col min="12" max="12" width="16.5703125" style="173" customWidth="1"/>
    <col min="13" max="13" width="18.42578125" style="173" customWidth="1"/>
    <col min="14" max="14" width="17.42578125" style="173" customWidth="1"/>
    <col min="15" max="15" width="17.28515625" style="173" customWidth="1"/>
    <col min="16" max="16384" width="11.28515625" style="173"/>
  </cols>
  <sheetData>
    <row r="1" spans="1:14" x14ac:dyDescent="0.2">
      <c r="A1" s="1" t="s">
        <v>0</v>
      </c>
      <c r="B1"/>
      <c r="C1"/>
      <c r="D1"/>
      <c r="G1" s="2">
        <f>InfoInicial!E1</f>
        <v>9</v>
      </c>
    </row>
    <row r="3" spans="1:14" ht="15.75" x14ac:dyDescent="0.25">
      <c r="A3" s="174" t="s">
        <v>381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25.5" x14ac:dyDescent="0.2">
      <c r="A4" s="194" t="s">
        <v>236</v>
      </c>
      <c r="B4" s="195" t="s">
        <v>340</v>
      </c>
      <c r="C4" s="195" t="s">
        <v>382</v>
      </c>
      <c r="D4" s="195" t="s">
        <v>239</v>
      </c>
      <c r="E4" s="195" t="s">
        <v>5</v>
      </c>
      <c r="F4" s="195" t="s">
        <v>240</v>
      </c>
      <c r="G4" s="195" t="s">
        <v>241</v>
      </c>
      <c r="H4" s="195" t="s">
        <v>383</v>
      </c>
      <c r="I4" s="195" t="s">
        <v>384</v>
      </c>
      <c r="J4" s="195" t="s">
        <v>101</v>
      </c>
      <c r="K4" s="195" t="s">
        <v>243</v>
      </c>
      <c r="L4" s="195" t="s">
        <v>244</v>
      </c>
      <c r="M4" s="226" t="s">
        <v>245</v>
      </c>
      <c r="N4" s="227" t="s">
        <v>246</v>
      </c>
    </row>
    <row r="5" spans="1:14" x14ac:dyDescent="0.2">
      <c r="A5" s="228">
        <v>0</v>
      </c>
      <c r="B5" s="130"/>
      <c r="C5" s="56"/>
      <c r="D5" s="56"/>
      <c r="E5" s="56"/>
      <c r="F5" s="56"/>
      <c r="G5" s="56"/>
      <c r="H5" s="56"/>
      <c r="I5" s="56"/>
      <c r="J5" s="56"/>
      <c r="K5" s="56"/>
      <c r="L5" s="56"/>
      <c r="M5" s="131"/>
      <c r="N5" s="57"/>
    </row>
    <row r="6" spans="1:14" x14ac:dyDescent="0.2">
      <c r="A6" s="229">
        <v>1</v>
      </c>
      <c r="B6" s="121"/>
      <c r="C6" s="58"/>
      <c r="D6" s="58"/>
      <c r="E6" s="58"/>
      <c r="F6" s="58"/>
      <c r="G6" s="58"/>
      <c r="H6" s="58"/>
      <c r="I6" s="58"/>
      <c r="J6" s="58"/>
      <c r="K6" s="58"/>
      <c r="L6" s="58"/>
      <c r="M6" s="110"/>
      <c r="N6" s="59"/>
    </row>
    <row r="7" spans="1:14" x14ac:dyDescent="0.2">
      <c r="A7" s="229">
        <v>2</v>
      </c>
      <c r="B7" s="121"/>
      <c r="C7" s="58"/>
      <c r="D7" s="58"/>
      <c r="E7" s="58"/>
      <c r="F7" s="58"/>
      <c r="G7" s="58"/>
      <c r="H7" s="58"/>
      <c r="I7" s="58"/>
      <c r="J7" s="58"/>
      <c r="K7" s="58"/>
      <c r="L7" s="58"/>
      <c r="M7" s="110"/>
      <c r="N7" s="59"/>
    </row>
    <row r="8" spans="1:14" x14ac:dyDescent="0.2">
      <c r="A8" s="229">
        <v>3</v>
      </c>
      <c r="B8" s="121"/>
      <c r="C8" s="58"/>
      <c r="D8" s="58"/>
      <c r="E8" s="58"/>
      <c r="F8" s="58"/>
      <c r="G8" s="58"/>
      <c r="H8" s="58"/>
      <c r="I8" s="58"/>
      <c r="J8" s="58"/>
      <c r="K8" s="58"/>
      <c r="L8" s="58"/>
      <c r="M8" s="110"/>
      <c r="N8" s="59"/>
    </row>
    <row r="9" spans="1:14" x14ac:dyDescent="0.2">
      <c r="A9" s="229">
        <v>4</v>
      </c>
      <c r="B9" s="121"/>
      <c r="C9" s="58"/>
      <c r="D9" s="58"/>
      <c r="E9" s="58"/>
      <c r="F9" s="58"/>
      <c r="G9" s="58"/>
      <c r="H9" s="58"/>
      <c r="I9" s="58"/>
      <c r="J9" s="58"/>
      <c r="K9" s="58"/>
      <c r="L9" s="58"/>
      <c r="M9" s="110"/>
      <c r="N9" s="59"/>
    </row>
    <row r="10" spans="1:14" x14ac:dyDescent="0.2">
      <c r="A10" s="229">
        <v>5</v>
      </c>
      <c r="B10" s="121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110"/>
      <c r="N10" s="59"/>
    </row>
    <row r="11" spans="1:14" x14ac:dyDescent="0.2">
      <c r="A11" s="229"/>
      <c r="B11" s="12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11"/>
      <c r="N11" s="82"/>
    </row>
    <row r="12" spans="1:14" x14ac:dyDescent="0.2">
      <c r="A12" s="230" t="s">
        <v>247</v>
      </c>
      <c r="B12" s="126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12"/>
      <c r="N12" s="65"/>
    </row>
    <row r="14" spans="1:14" x14ac:dyDescent="0.2">
      <c r="C14" s="231" t="s">
        <v>248</v>
      </c>
      <c r="D14" s="135"/>
    </row>
    <row r="15" spans="1:14" x14ac:dyDescent="0.2">
      <c r="A15" s="181"/>
      <c r="C15" s="231" t="s">
        <v>249</v>
      </c>
      <c r="D15" s="136"/>
      <c r="E15" s="173" t="s">
        <v>250</v>
      </c>
      <c r="J15"/>
      <c r="K15"/>
    </row>
    <row r="16" spans="1:14" x14ac:dyDescent="0.2">
      <c r="C16" s="231" t="s">
        <v>385</v>
      </c>
      <c r="D16" s="137"/>
      <c r="J16" s="232"/>
      <c r="K16" s="232"/>
    </row>
    <row r="17" spans="1:15" x14ac:dyDescent="0.2">
      <c r="C17" s="231"/>
      <c r="D17" s="137"/>
      <c r="J17" s="233"/>
      <c r="K17" s="234"/>
    </row>
    <row r="18" spans="1:15" x14ac:dyDescent="0.2">
      <c r="A18" s="235"/>
      <c r="B18" s="236"/>
      <c r="C18" s="236"/>
      <c r="D18" s="236"/>
      <c r="E18" s="237"/>
      <c r="F18" s="238"/>
      <c r="G18" s="238"/>
      <c r="H18" s="238"/>
      <c r="I18" s="238"/>
      <c r="J18" s="233"/>
      <c r="K18" s="239"/>
      <c r="L18" s="238"/>
      <c r="M18" s="238"/>
      <c r="N18" s="238"/>
      <c r="O18" s="236"/>
    </row>
    <row r="19" spans="1:15" ht="15.75" x14ac:dyDescent="0.25">
      <c r="A19" s="240"/>
      <c r="B19" s="238"/>
      <c r="C19" s="241"/>
      <c r="D19" s="238"/>
      <c r="E19" s="242"/>
      <c r="F19" s="238"/>
      <c r="G19" s="238"/>
      <c r="H19" s="238"/>
      <c r="I19" s="238"/>
      <c r="J19" s="233"/>
      <c r="K19" s="234"/>
      <c r="L19" s="238"/>
      <c r="M19" s="238"/>
      <c r="N19" s="238"/>
    </row>
    <row r="20" spans="1:15" x14ac:dyDescent="0.2">
      <c r="J20" s="233"/>
      <c r="K20" s="234"/>
    </row>
    <row r="21" spans="1:15" x14ac:dyDescent="0.2">
      <c r="A21" s="243"/>
      <c r="J21" s="244"/>
      <c r="K21" s="234"/>
    </row>
    <row r="22" spans="1:15" ht="15.75" x14ac:dyDescent="0.25">
      <c r="A22" s="174" t="s">
        <v>386</v>
      </c>
      <c r="B22" s="175"/>
      <c r="C22" s="175"/>
      <c r="D22" s="175"/>
      <c r="E22" s="175"/>
      <c r="F22" s="175"/>
      <c r="G22" s="175"/>
      <c r="H22" s="176"/>
      <c r="J22"/>
      <c r="K22"/>
    </row>
    <row r="23" spans="1:15" ht="38.25" x14ac:dyDescent="0.2">
      <c r="A23" s="194" t="s">
        <v>236</v>
      </c>
      <c r="B23" s="195" t="s">
        <v>387</v>
      </c>
      <c r="C23" s="195" t="s">
        <v>241</v>
      </c>
      <c r="D23" s="195" t="s">
        <v>345</v>
      </c>
      <c r="E23" s="195" t="s">
        <v>388</v>
      </c>
      <c r="F23" s="195" t="s">
        <v>244</v>
      </c>
      <c r="G23" s="226" t="s">
        <v>245</v>
      </c>
      <c r="H23" s="227" t="s">
        <v>246</v>
      </c>
      <c r="K23" s="304" t="s">
        <v>252</v>
      </c>
      <c r="L23" s="304"/>
    </row>
    <row r="24" spans="1:15" x14ac:dyDescent="0.2">
      <c r="A24" s="228">
        <v>0</v>
      </c>
      <c r="B24" s="130"/>
      <c r="C24" s="56"/>
      <c r="D24" s="56"/>
      <c r="E24" s="56"/>
      <c r="F24" s="56"/>
      <c r="G24" s="131"/>
      <c r="H24" s="57"/>
      <c r="K24" s="307" t="s">
        <v>253</v>
      </c>
      <c r="L24" s="307"/>
    </row>
    <row r="25" spans="1:15" x14ac:dyDescent="0.2">
      <c r="A25" s="229">
        <v>1</v>
      </c>
      <c r="B25" s="121"/>
      <c r="C25" s="58"/>
      <c r="D25" s="58"/>
      <c r="E25" s="58"/>
      <c r="F25" s="58"/>
      <c r="G25" s="110"/>
      <c r="H25" s="59"/>
      <c r="K25" s="139" t="s">
        <v>101</v>
      </c>
      <c r="L25" s="140" t="str">
        <f>IF(B12=J12,"OK","MAL")</f>
        <v>OK</v>
      </c>
    </row>
    <row r="26" spans="1:15" x14ac:dyDescent="0.2">
      <c r="A26" s="229">
        <v>2</v>
      </c>
      <c r="B26" s="121"/>
      <c r="C26" s="58"/>
      <c r="D26" s="58"/>
      <c r="E26" s="58"/>
      <c r="F26" s="58"/>
      <c r="G26" s="110"/>
      <c r="H26" s="59"/>
      <c r="J26"/>
      <c r="K26" s="139" t="s">
        <v>254</v>
      </c>
      <c r="L26" s="140" t="str">
        <f>IF(D12=K12,"OK","MAL")</f>
        <v>OK</v>
      </c>
    </row>
    <row r="27" spans="1:15" x14ac:dyDescent="0.2">
      <c r="A27" s="229">
        <v>3</v>
      </c>
      <c r="B27" s="121"/>
      <c r="C27" s="58"/>
      <c r="D27" s="58"/>
      <c r="E27" s="58"/>
      <c r="F27" s="58"/>
      <c r="G27" s="110"/>
      <c r="H27" s="59"/>
      <c r="J27"/>
      <c r="K27" s="139" t="s">
        <v>255</v>
      </c>
      <c r="L27" s="140" t="str">
        <f>IF(C12=0,"OK","MAL")</f>
        <v>OK</v>
      </c>
    </row>
    <row r="28" spans="1:15" x14ac:dyDescent="0.2">
      <c r="A28" s="229">
        <v>4</v>
      </c>
      <c r="B28" s="121"/>
      <c r="C28" s="58"/>
      <c r="D28" s="58"/>
      <c r="E28" s="58"/>
      <c r="F28" s="58"/>
      <c r="G28" s="110"/>
      <c r="H28" s="59"/>
      <c r="J28"/>
      <c r="K28" s="139" t="s">
        <v>256</v>
      </c>
      <c r="L28" s="140" t="str">
        <f>IF((H12-F12-E12+I12)=M12,IF(M12=N10,"OK","MAL"),"MAL")</f>
        <v>OK</v>
      </c>
    </row>
    <row r="29" spans="1:15" x14ac:dyDescent="0.2">
      <c r="A29" s="229">
        <v>5</v>
      </c>
      <c r="B29" s="121"/>
      <c r="C29" s="58"/>
      <c r="D29" s="58"/>
      <c r="E29" s="58"/>
      <c r="F29" s="58"/>
      <c r="G29" s="110"/>
      <c r="H29" s="59"/>
      <c r="J29"/>
      <c r="K29" s="307" t="s">
        <v>389</v>
      </c>
      <c r="L29" s="307"/>
    </row>
    <row r="30" spans="1:15" x14ac:dyDescent="0.2">
      <c r="A30" s="229"/>
      <c r="B30" s="123"/>
      <c r="C30" s="81"/>
      <c r="D30" s="81"/>
      <c r="E30" s="81"/>
      <c r="F30" s="81"/>
      <c r="G30" s="111"/>
      <c r="H30" s="82"/>
      <c r="J30"/>
      <c r="K30" s="139" t="s">
        <v>390</v>
      </c>
      <c r="L30" s="140" t="str">
        <f>IF((H12-E12-F12)=G31,"OK","MAL")</f>
        <v>OK</v>
      </c>
    </row>
    <row r="31" spans="1:15" x14ac:dyDescent="0.2">
      <c r="A31" s="230" t="s">
        <v>247</v>
      </c>
      <c r="B31" s="126"/>
      <c r="C31" s="64"/>
      <c r="D31" s="64"/>
      <c r="E31" s="64"/>
      <c r="F31" s="64"/>
      <c r="G31" s="112"/>
      <c r="H31" s="65"/>
      <c r="K31" s="139" t="s">
        <v>391</v>
      </c>
      <c r="L31" s="140" t="str">
        <f>IF(('F- CFyU'!H28-'F- CFyU'!H7-'F- CFyU'!H8+'F- CFyU'!H14-'F- CFyU'!H25+'F- CFyU'!H15)='F- Form'!G31,"OK","MAL")</f>
        <v>OK</v>
      </c>
    </row>
    <row r="32" spans="1:15" x14ac:dyDescent="0.2">
      <c r="K32" s="139" t="s">
        <v>392</v>
      </c>
      <c r="L32" s="140" t="str">
        <f>IF('F-CRes'!G14=G31,"OK","MAL")</f>
        <v>OK</v>
      </c>
    </row>
    <row r="33" spans="3:12" x14ac:dyDescent="0.2">
      <c r="K33" s="139" t="s">
        <v>393</v>
      </c>
      <c r="L33" s="140" t="str">
        <f>IF(('F-Balance'!G33+'F-Balance'!G34)='F- Form'!G31,"OK","MAL")</f>
        <v>OK</v>
      </c>
    </row>
    <row r="34" spans="3:12" x14ac:dyDescent="0.2">
      <c r="C34" s="231" t="s">
        <v>248</v>
      </c>
      <c r="D34" s="135"/>
      <c r="E34" s="173" t="s">
        <v>394</v>
      </c>
      <c r="K34" s="139" t="s">
        <v>395</v>
      </c>
      <c r="L34" s="140" t="str">
        <f>IF(('F- CFyU'!H10-'F- CFyU'!H16-'F- CFyU'!H19-'F- CFyU'!H17)=G31,"OK","MAL")</f>
        <v>OK</v>
      </c>
    </row>
    <row r="35" spans="3:12" x14ac:dyDescent="0.2">
      <c r="C35" s="231" t="s">
        <v>249</v>
      </c>
      <c r="D35" s="136"/>
      <c r="E35" s="173" t="s">
        <v>396</v>
      </c>
      <c r="K35" s="307" t="s">
        <v>397</v>
      </c>
      <c r="L35" s="307"/>
    </row>
    <row r="36" spans="3:12" x14ac:dyDescent="0.2">
      <c r="C36" s="231" t="s">
        <v>398</v>
      </c>
      <c r="D36" s="137"/>
      <c r="K36" s="139" t="s">
        <v>399</v>
      </c>
      <c r="L36" s="140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Auxiliar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2018-09-19T21:34:04Z</dcterms:created>
  <dcterms:modified xsi:type="dcterms:W3CDTF">2018-09-22T18:57:28Z</dcterms:modified>
</cp:coreProperties>
</file>