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D:\UTN-industrial\4º año\EDP (BERENGUER)\PROYECTO DE HILOS\Entregas\"/>
    </mc:Choice>
  </mc:AlternateContent>
  <xr:revisionPtr revIDLastSave="0" documentId="8_{6E95BE45-D826-49D8-9BF5-0600C1D866E0}" xr6:coauthVersionLast="47" xr6:coauthVersionMax="47" xr10:uidLastSave="{00000000-0000-0000-0000-000000000000}"/>
  <bookViews>
    <workbookView xWindow="-108" yWindow="-108" windowWidth="23256" windowHeight="12576" tabRatio="908" firstSheet="21" activeTab="21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alternativa" sheetId="32" r:id="rId8"/>
    <sheet name="E-Costos" sheetId="8" r:id="rId9"/>
    <sheet name="E-InvAT" sheetId="9" r:id="rId10"/>
    <sheet name="E-IVA " sheetId="10" r:id="rId11"/>
    <sheet name="E-Cal Inv." sheetId="11" r:id="rId12"/>
    <sheet name="E-Form" sheetId="12" r:id="rId13"/>
    <sheet name="Ej 50-66" sheetId="22" r:id="rId14"/>
    <sheet name="tecnico" sheetId="31" r:id="rId15"/>
    <sheet name="F-Cred" sheetId="21" r:id="rId16"/>
    <sheet name="F-CRes" sheetId="23" r:id="rId17"/>
    <sheet name="F-2 Estructura" sheetId="25" r:id="rId18"/>
    <sheet name="F-IVA" sheetId="26" r:id="rId19"/>
    <sheet name="F- CFyU" sheetId="27" r:id="rId20"/>
    <sheet name="F-Balance" sheetId="29" r:id="rId21"/>
    <sheet name="F- Form" sheetId="30" r:id="rId22"/>
    <sheet name="Análisis de riesgo" sheetId="20" state="hidden" r:id="rId2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B4" i="32" l="1"/>
  <c r="B9" i="32"/>
  <c r="B8" i="32"/>
  <c r="D16" i="8"/>
  <c r="E16" i="8"/>
  <c r="F16" i="8"/>
  <c r="G16" i="8"/>
  <c r="C16" i="8"/>
  <c r="B14" i="32"/>
  <c r="B10" i="32"/>
  <c r="B11" i="32" s="1"/>
  <c r="B30" i="5" s="1"/>
  <c r="B5" i="32"/>
  <c r="B15" i="22"/>
  <c r="D9" i="1"/>
  <c r="B16" i="22"/>
  <c r="B17" i="22" s="1"/>
  <c r="E22" i="22" s="1"/>
  <c r="G62" i="22"/>
  <c r="B10" i="29"/>
  <c r="C26" i="30"/>
  <c r="D24" i="30"/>
  <c r="G7" i="23"/>
  <c r="F10" i="23"/>
  <c r="D29" i="30"/>
  <c r="D28" i="30"/>
  <c r="D27" i="30"/>
  <c r="D26" i="30"/>
  <c r="D25" i="30"/>
  <c r="B21" i="25"/>
  <c r="B34" i="9"/>
  <c r="B13" i="22"/>
  <c r="B8" i="29"/>
  <c r="G11" i="29"/>
  <c r="C34" i="29"/>
  <c r="C28" i="23"/>
  <c r="B16" i="26"/>
  <c r="E24" i="23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E5" i="1"/>
  <c r="F5" i="1"/>
  <c r="G5" i="1"/>
  <c r="D5" i="1"/>
  <c r="M3" i="1"/>
  <c r="N3" i="1"/>
  <c r="O3" i="1"/>
  <c r="L3" i="1"/>
  <c r="M12" i="1"/>
  <c r="H34" i="8"/>
  <c r="C65" i="8"/>
  <c r="E65" i="8"/>
  <c r="J30" i="8"/>
  <c r="C34" i="8" s="1"/>
  <c r="D34" i="8" s="1"/>
  <c r="D133" i="7"/>
  <c r="D132" i="7"/>
  <c r="D131" i="7"/>
  <c r="J7" i="7"/>
  <c r="K20" i="1"/>
  <c r="C7" i="1"/>
  <c r="G22" i="1"/>
  <c r="H9" i="7"/>
  <c r="H35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1" i="8" s="1"/>
  <c r="C90" i="8"/>
  <c r="C70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B2" i="4"/>
  <c r="M7" i="1"/>
  <c r="N7" i="1"/>
  <c r="O7" i="1"/>
  <c r="L4" i="1"/>
  <c r="M4" i="1"/>
  <c r="M5" i="1" s="1"/>
  <c r="E107" i="8" s="1"/>
  <c r="N4" i="1"/>
  <c r="N5" i="1" s="1"/>
  <c r="F107" i="8" s="1"/>
  <c r="O4" i="1"/>
  <c r="O5" i="1" s="1"/>
  <c r="G107" i="8" s="1"/>
  <c r="K4" i="1"/>
  <c r="K3" i="1"/>
  <c r="C1" i="1"/>
  <c r="E9" i="1"/>
  <c r="F9" i="1"/>
  <c r="G9" i="1"/>
  <c r="C9" i="1"/>
  <c r="C108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6" i="5"/>
  <c r="C55" i="5"/>
  <c r="C48" i="5"/>
  <c r="C49" i="5"/>
  <c r="C50" i="5"/>
  <c r="C51" i="5"/>
  <c r="C52" i="5"/>
  <c r="C47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15" i="32" l="1"/>
  <c r="M59" i="22"/>
  <c r="D58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2" i="8"/>
  <c r="D92" i="8"/>
  <c r="E92" i="8"/>
  <c r="F92" i="8"/>
  <c r="C92" i="8"/>
  <c r="E87" i="3"/>
  <c r="E78" i="3"/>
  <c r="E79" i="3" s="1"/>
  <c r="L29" i="1"/>
  <c r="C10" i="9"/>
  <c r="M29" i="1"/>
  <c r="D10" i="9"/>
  <c r="B47" i="5"/>
  <c r="F5" i="4"/>
  <c r="G65" i="8"/>
  <c r="F65" i="8"/>
  <c r="D65" i="8"/>
  <c r="H105" i="7"/>
  <c r="C100" i="7" s="1"/>
  <c r="D100" i="7" s="1"/>
  <c r="C71" i="8" s="1"/>
  <c r="O8" i="1"/>
  <c r="N8" i="1"/>
  <c r="M8" i="1"/>
  <c r="K7" i="1"/>
  <c r="K5" i="1"/>
  <c r="C107" i="8" s="1"/>
  <c r="L7" i="1"/>
  <c r="L5" i="1"/>
  <c r="D107" i="8" s="1"/>
  <c r="D154" i="7"/>
  <c r="L25" i="1"/>
  <c r="L27" i="1"/>
  <c r="D155" i="7"/>
  <c r="M27" i="1"/>
  <c r="D128" i="7"/>
  <c r="M28" i="1"/>
  <c r="E41" i="3"/>
  <c r="C46" i="3"/>
  <c r="E46" i="3"/>
  <c r="B11" i="5" s="1"/>
  <c r="C78" i="22" s="1"/>
  <c r="F78" i="22" s="1"/>
  <c r="O66" i="7"/>
  <c r="O65" i="7"/>
  <c r="O64" i="7"/>
  <c r="O63" i="7"/>
  <c r="O62" i="7"/>
  <c r="O61" i="7"/>
  <c r="O60" i="7"/>
  <c r="O59" i="7"/>
  <c r="O58" i="7"/>
  <c r="O57" i="7"/>
  <c r="O56" i="7"/>
  <c r="B11" i="9"/>
  <c r="L86" i="22" l="1"/>
  <c r="E90" i="22" s="1"/>
  <c r="C19" i="21" s="1"/>
  <c r="D5" i="21"/>
  <c r="B13" i="21"/>
  <c r="B14" i="21"/>
  <c r="I88" i="22"/>
  <c r="D86" i="22"/>
  <c r="E22" i="2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C20" i="21" s="1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8" i="5" s="1"/>
  <c r="E47" i="5"/>
  <c r="D47" i="5"/>
  <c r="G47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8" i="8"/>
  <c r="F128" i="8"/>
  <c r="E128" i="8"/>
  <c r="D128" i="8"/>
  <c r="C128" i="8"/>
  <c r="G112" i="8"/>
  <c r="F112" i="8"/>
  <c r="E112" i="8"/>
  <c r="D112" i="8"/>
  <c r="C112" i="8"/>
  <c r="D108" i="8"/>
  <c r="E108" i="8" s="1"/>
  <c r="F108" i="8" s="1"/>
  <c r="G108" i="8" s="1"/>
  <c r="G90" i="8"/>
  <c r="F90" i="8"/>
  <c r="E90" i="8"/>
  <c r="D90" i="8"/>
  <c r="G70" i="8"/>
  <c r="F70" i="8"/>
  <c r="E70" i="8"/>
  <c r="D70" i="8"/>
  <c r="G15" i="8"/>
  <c r="F15" i="8"/>
  <c r="E15" i="8"/>
  <c r="D15" i="8"/>
  <c r="C15" i="8"/>
  <c r="F2" i="8"/>
  <c r="C17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6" i="5"/>
  <c r="D39" i="5" s="1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4" i="8"/>
  <c r="F34" i="8" s="1"/>
  <c r="G34" i="8" s="1"/>
  <c r="D48" i="5"/>
  <c r="E48" i="5"/>
  <c r="G48" i="5"/>
  <c r="B32" i="5"/>
  <c r="B49" i="5"/>
  <c r="C30" i="9"/>
  <c r="D14" i="11"/>
  <c r="C14" i="11"/>
  <c r="B30" i="9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1" i="8"/>
  <c r="G71" i="8"/>
  <c r="G17" i="8"/>
  <c r="E15" i="3"/>
  <c r="D91" i="8"/>
  <c r="G91" i="8"/>
  <c r="F91" i="8"/>
  <c r="E91" i="8"/>
  <c r="B19" i="5"/>
  <c r="D111" i="8"/>
  <c r="D115" i="8" s="1"/>
  <c r="G111" i="8"/>
  <c r="F111" i="8"/>
  <c r="F115" i="8" s="1"/>
  <c r="E111" i="8"/>
  <c r="E115" i="8" s="1"/>
  <c r="D17" i="8"/>
  <c r="D71" i="8"/>
  <c r="C111" i="8"/>
  <c r="C115" i="8" s="1"/>
  <c r="E17" i="8"/>
  <c r="E71" i="8"/>
  <c r="F17" i="8"/>
  <c r="E14" i="11"/>
  <c r="D30" i="9"/>
  <c r="E10" i="9"/>
  <c r="H21" i="11"/>
  <c r="B34" i="5" l="1"/>
  <c r="C7" i="11" s="1"/>
  <c r="H62" i="22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6" i="5" s="1"/>
  <c r="C86" i="8"/>
  <c r="C7" i="9"/>
  <c r="D12" i="11" s="1"/>
  <c r="E86" i="8"/>
  <c r="E22" i="10"/>
  <c r="E13" i="26" s="1"/>
  <c r="E7" i="9"/>
  <c r="F86" i="8"/>
  <c r="F22" i="10"/>
  <c r="F13" i="26" s="1"/>
  <c r="F7" i="9"/>
  <c r="D86" i="8"/>
  <c r="D22" i="10"/>
  <c r="D13" i="26" s="1"/>
  <c r="D7" i="9"/>
  <c r="D49" i="5"/>
  <c r="E49" i="5"/>
  <c r="G49" i="5"/>
  <c r="D165" i="7"/>
  <c r="C117" i="8"/>
  <c r="J85" i="7"/>
  <c r="D137" i="7"/>
  <c r="D141" i="7" s="1"/>
  <c r="E141" i="7"/>
  <c r="C8" i="8"/>
  <c r="I25" i="7"/>
  <c r="D146" i="7" s="1"/>
  <c r="B51" i="5"/>
  <c r="D51" i="5" s="1"/>
  <c r="B52" i="5"/>
  <c r="B53" i="5" s="1"/>
  <c r="D52" i="5"/>
  <c r="E52" i="5"/>
  <c r="G52" i="5"/>
  <c r="J83" i="7"/>
  <c r="J82" i="7"/>
  <c r="J86" i="7"/>
  <c r="C8" i="11"/>
  <c r="C21" i="11" s="1"/>
  <c r="B167" i="8"/>
  <c r="A52" i="25" s="1"/>
  <c r="F14" i="11"/>
  <c r="F10" i="9"/>
  <c r="E30" i="9"/>
  <c r="G115" i="8"/>
  <c r="E11" i="11"/>
  <c r="G85" i="7"/>
  <c r="I85" i="7"/>
  <c r="H85" i="7"/>
  <c r="D147" i="7"/>
  <c r="E147" i="7" s="1"/>
  <c r="E146" i="7"/>
  <c r="F146" i="7" s="1"/>
  <c r="C38" i="8" s="1"/>
  <c r="G138" i="7"/>
  <c r="F28" i="9"/>
  <c r="C118" i="8"/>
  <c r="C35" i="8"/>
  <c r="D35" i="8" s="1"/>
  <c r="E35" i="8" s="1"/>
  <c r="F35" i="8" s="1"/>
  <c r="G35" i="8" s="1"/>
  <c r="C98" i="25" l="1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D9" i="29"/>
  <c r="E12" i="11"/>
  <c r="F9" i="29"/>
  <c r="G12" i="11"/>
  <c r="E9" i="29"/>
  <c r="F12" i="11"/>
  <c r="B19" i="21"/>
  <c r="B20" i="21" s="1"/>
  <c r="J63" i="22"/>
  <c r="B21" i="21"/>
  <c r="B22" i="21" s="1"/>
  <c r="F22" i="21"/>
  <c r="F20" i="21"/>
  <c r="E29" i="29"/>
  <c r="D28" i="29"/>
  <c r="G6" i="9"/>
  <c r="G7" i="29" s="1"/>
  <c r="D168" i="8"/>
  <c r="D171" i="8"/>
  <c r="B6" i="9"/>
  <c r="C12" i="25" s="1"/>
  <c r="C7" i="29"/>
  <c r="D11" i="11"/>
  <c r="B23" i="21"/>
  <c r="B24" i="21" s="1"/>
  <c r="C9" i="29"/>
  <c r="C13" i="25"/>
  <c r="D13" i="25" s="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D21" i="21" s="1"/>
  <c r="J91" i="22"/>
  <c r="H91" i="22"/>
  <c r="D113" i="22" s="1"/>
  <c r="D20" i="23" s="1"/>
  <c r="F4" i="23"/>
  <c r="B21" i="11"/>
  <c r="B23" i="11" s="1"/>
  <c r="B25" i="11"/>
  <c r="G86" i="8"/>
  <c r="G22" i="10"/>
  <c r="G13" i="26" s="1"/>
  <c r="G7" i="9"/>
  <c r="D28" i="9"/>
  <c r="E28" i="9"/>
  <c r="C28" i="9"/>
  <c r="F83" i="7"/>
  <c r="F147" i="7"/>
  <c r="D38" i="8" s="1"/>
  <c r="E38" i="8" s="1"/>
  <c r="F38" i="8" s="1"/>
  <c r="G38" i="8" s="1"/>
  <c r="C11" i="8"/>
  <c r="D11" i="8" s="1"/>
  <c r="D8" i="8"/>
  <c r="B37" i="5"/>
  <c r="D53" i="5"/>
  <c r="E51" i="5"/>
  <c r="E53" i="5" s="1"/>
  <c r="G51" i="5"/>
  <c r="G53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7" i="8"/>
  <c r="F140" i="22" s="1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0" i="8"/>
  <c r="D169" i="8"/>
  <c r="D118" i="8"/>
  <c r="E166" i="7"/>
  <c r="F166" i="7" s="1"/>
  <c r="G166" i="7" s="1"/>
  <c r="H166" i="7" s="1"/>
  <c r="E8" i="8"/>
  <c r="G28" i="9"/>
  <c r="B192" i="8"/>
  <c r="A78" i="25" s="1"/>
  <c r="G9" i="29" l="1"/>
  <c r="H12" i="11"/>
  <c r="G10" i="27"/>
  <c r="H10" i="27" s="1"/>
  <c r="G4" i="23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G14" i="21"/>
  <c r="J59" i="22"/>
  <c r="B113" i="22" s="1"/>
  <c r="B20" i="23" s="1"/>
  <c r="B114" i="22"/>
  <c r="B21" i="23" s="1"/>
  <c r="B115" i="22"/>
  <c r="B22" i="23" s="1"/>
  <c r="B39" i="5"/>
  <c r="C22" i="29"/>
  <c r="D19" i="29" s="1"/>
  <c r="D6" i="25"/>
  <c r="F93" i="22"/>
  <c r="D22" i="21" s="1"/>
  <c r="G22" i="21" s="1"/>
  <c r="J92" i="22"/>
  <c r="F65" i="22"/>
  <c r="G141" i="7"/>
  <c r="D166" i="7"/>
  <c r="G11" i="11"/>
  <c r="E118" i="8"/>
  <c r="F8" i="8"/>
  <c r="D211" i="8"/>
  <c r="D207" i="8"/>
  <c r="D212" i="8"/>
  <c r="D208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209" i="8"/>
  <c r="D205" i="8"/>
  <c r="D210" i="8"/>
  <c r="D206" i="8"/>
  <c r="G30" i="9"/>
  <c r="H14" i="11"/>
  <c r="I14" i="11" s="1"/>
  <c r="C40" i="21" l="1"/>
  <c r="C39" i="21"/>
  <c r="D26" i="29"/>
  <c r="D25" i="29" s="1"/>
  <c r="D30" i="29" s="1"/>
  <c r="C25" i="29"/>
  <c r="F26" i="29"/>
  <c r="F25" i="29" s="1"/>
  <c r="E25" i="29"/>
  <c r="E30" i="29" s="1"/>
  <c r="J65" i="22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D23" i="21" s="1"/>
  <c r="J93" i="22"/>
  <c r="H93" i="22"/>
  <c r="D114" i="22" s="1"/>
  <c r="D21" i="23" s="1"/>
  <c r="E20" i="23" s="1"/>
  <c r="B10" i="23" s="1"/>
  <c r="H11" i="11"/>
  <c r="F118" i="8"/>
  <c r="G8" i="8"/>
  <c r="G118" i="8" s="1"/>
  <c r="J66" i="22" l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D24" i="21" s="1"/>
  <c r="G24" i="21" s="1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D25" i="21" s="1"/>
  <c r="J95" i="22"/>
  <c r="H95" i="22"/>
  <c r="D115" i="22" s="1"/>
  <c r="D22" i="23" s="1"/>
  <c r="E21" i="23" s="1"/>
  <c r="C10" i="23" s="1"/>
  <c r="I6" i="11"/>
  <c r="J68" i="22" l="1"/>
  <c r="B9" i="25"/>
  <c r="B15" i="27"/>
  <c r="B5" i="30" s="1"/>
  <c r="E115" i="22"/>
  <c r="C43" i="25"/>
  <c r="D9" i="26" s="1"/>
  <c r="F97" i="22"/>
  <c r="D26" i="21" s="1"/>
  <c r="G26" i="21" s="1"/>
  <c r="J96" i="22"/>
  <c r="H68" i="22"/>
  <c r="F69" i="22"/>
  <c r="C25" i="20"/>
  <c r="D35" i="20" s="1"/>
  <c r="C16" i="20"/>
  <c r="D53" i="20" s="1"/>
  <c r="J69" i="22" l="1"/>
  <c r="H26" i="21"/>
  <c r="I9" i="30"/>
  <c r="C42" i="21"/>
  <c r="B33" i="25"/>
  <c r="B17" i="26" s="1"/>
  <c r="B10" i="25"/>
  <c r="B25" i="25" s="1"/>
  <c r="E142" i="22"/>
  <c r="F70" i="22"/>
  <c r="F98" i="22"/>
  <c r="D27" i="21" s="1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E116" i="22"/>
  <c r="D43" i="25"/>
  <c r="E9" i="26" s="1"/>
  <c r="E41" i="21"/>
  <c r="F99" i="22"/>
  <c r="D28" i="21" s="1"/>
  <c r="J98" i="22"/>
  <c r="F101" i="22"/>
  <c r="F71" i="22"/>
  <c r="J71" i="22"/>
  <c r="H70" i="22"/>
  <c r="H71" i="22" s="1"/>
  <c r="G86" i="7"/>
  <c r="G88" i="7"/>
  <c r="D88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G28" i="21" l="1"/>
  <c r="D30" i="21"/>
  <c r="H28" i="21"/>
  <c r="I10" i="30"/>
  <c r="I12" i="30" s="1"/>
  <c r="C43" i="21"/>
  <c r="G30" i="21"/>
  <c r="H19" i="27"/>
  <c r="B30" i="21"/>
  <c r="E143" i="22"/>
  <c r="J99" i="22"/>
  <c r="J101" i="22" s="1"/>
  <c r="H99" i="22"/>
  <c r="H89" i="7"/>
  <c r="E67" i="8" s="1"/>
  <c r="H88" i="7"/>
  <c r="E88" i="8" s="1"/>
  <c r="E19" i="10" s="1"/>
  <c r="E8" i="26" s="1"/>
  <c r="I87" i="7"/>
  <c r="F12" i="8" s="1"/>
  <c r="F7" i="10" s="1"/>
  <c r="I89" i="7"/>
  <c r="F67" i="8" s="1"/>
  <c r="I88" i="7"/>
  <c r="F88" i="8" s="1"/>
  <c r="F19" i="10" s="1"/>
  <c r="F8" i="26" s="1"/>
  <c r="F117" i="8"/>
  <c r="G7" i="8"/>
  <c r="G6" i="10" s="1"/>
  <c r="E117" i="8"/>
  <c r="D117" i="8"/>
  <c r="G89" i="7"/>
  <c r="D67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7" i="8"/>
  <c r="E117" i="22" l="1"/>
  <c r="D118" i="22"/>
  <c r="F151" i="7"/>
  <c r="D39" i="8" s="1"/>
  <c r="E144" i="22" l="1"/>
  <c r="E118" i="22"/>
  <c r="G12" i="8"/>
  <c r="G7" i="10" s="1"/>
  <c r="F43" i="25" l="1"/>
  <c r="G9" i="26" s="1"/>
  <c r="E39" i="8"/>
  <c r="F39" i="8" s="1"/>
  <c r="G39" i="8" s="1"/>
  <c r="E170" i="7"/>
  <c r="F170" i="7" s="1"/>
  <c r="G170" i="7" s="1"/>
  <c r="H170" i="7" s="1"/>
  <c r="K88" i="7" l="1"/>
  <c r="G67" i="8"/>
  <c r="G88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8" i="8"/>
  <c r="C19" i="10" s="1"/>
  <c r="C8" i="26" s="1"/>
  <c r="F89" i="7" l="1"/>
  <c r="C67" i="8" s="1"/>
  <c r="D150" i="7" l="1"/>
  <c r="E165" i="7"/>
  <c r="E150" i="7"/>
  <c r="D153" i="7" l="1"/>
  <c r="F150" i="7"/>
  <c r="C39" i="8"/>
  <c r="H39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4" i="8" s="1"/>
  <c r="F69" i="7"/>
  <c r="F68" i="7"/>
  <c r="D71" i="7"/>
  <c r="E68" i="7"/>
  <c r="F71" i="7" l="1"/>
  <c r="E71" i="7"/>
  <c r="D13" i="8"/>
  <c r="D8" i="10" s="1"/>
  <c r="F70" i="7"/>
  <c r="C68" i="8"/>
  <c r="C18" i="10" s="1"/>
  <c r="C7" i="26" s="1"/>
  <c r="G94" i="8"/>
  <c r="F94" i="8"/>
  <c r="E94" i="8"/>
  <c r="D94" i="8"/>
  <c r="E70" i="7"/>
  <c r="D68" i="8"/>
  <c r="D18" i="10" s="1"/>
  <c r="D7" i="26" s="1"/>
  <c r="E68" i="8"/>
  <c r="E18" i="10" s="1"/>
  <c r="E7" i="26" s="1"/>
  <c r="F68" i="8"/>
  <c r="F18" i="10" s="1"/>
  <c r="F7" i="26" s="1"/>
  <c r="G68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40" i="8" l="1"/>
  <c r="C40" i="8"/>
  <c r="C32" i="9" s="1"/>
  <c r="G12" i="10"/>
  <c r="D40" i="8"/>
  <c r="E171" i="7" s="1"/>
  <c r="E40" i="8"/>
  <c r="E72" i="7"/>
  <c r="K75" i="7" s="1"/>
  <c r="F12" i="10"/>
  <c r="E12" i="10"/>
  <c r="D12" i="10"/>
  <c r="D171" i="7" l="1"/>
  <c r="C33" i="9" s="1"/>
  <c r="C34" i="9" s="1"/>
  <c r="C21" i="25" s="1"/>
  <c r="F171" i="7"/>
  <c r="F40" i="8"/>
  <c r="H45" i="8"/>
  <c r="H46" i="8" s="1"/>
  <c r="C53" i="8" s="1"/>
  <c r="D21" i="25" l="1"/>
  <c r="D33" i="9"/>
  <c r="G40" i="8"/>
  <c r="C16" i="10"/>
  <c r="C15" i="10"/>
  <c r="G171" i="7"/>
  <c r="E33" i="9"/>
  <c r="C13" i="10" l="1"/>
  <c r="C17" i="10" s="1"/>
  <c r="C6" i="26" s="1"/>
  <c r="C124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2" i="5"/>
  <c r="C34" i="5" s="1"/>
  <c r="F16" i="10"/>
  <c r="G16" i="10"/>
  <c r="C36" i="5" l="1"/>
  <c r="B55" i="5"/>
  <c r="D55" i="5" s="1"/>
  <c r="C7" i="25"/>
  <c r="D7" i="11"/>
  <c r="C15" i="29" l="1"/>
  <c r="C8" i="25"/>
  <c r="D58" i="5"/>
  <c r="E16" i="29"/>
  <c r="C16" i="29"/>
  <c r="C17" i="29" s="1"/>
  <c r="D8" i="25"/>
  <c r="D7" i="25"/>
  <c r="B58" i="5"/>
  <c r="D8" i="11"/>
  <c r="B5" i="21" s="1"/>
  <c r="I7" i="11"/>
  <c r="E55" i="5"/>
  <c r="G4" i="12"/>
  <c r="C37" i="5"/>
  <c r="C15" i="27" l="1"/>
  <c r="C9" i="25"/>
  <c r="C10" i="25" s="1"/>
  <c r="C25" i="25" s="1"/>
  <c r="C27" i="27"/>
  <c r="J6" i="30" s="1"/>
  <c r="D14" i="29"/>
  <c r="C12" i="29"/>
  <c r="E58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9" i="5"/>
  <c r="C33" i="25"/>
  <c r="C17" i="26" s="1"/>
  <c r="E14" i="29"/>
  <c r="G10" i="8"/>
  <c r="F10" i="8"/>
  <c r="D21" i="11"/>
  <c r="I8" i="11"/>
  <c r="B5" i="12"/>
  <c r="L4" i="12"/>
  <c r="G55" i="5"/>
  <c r="E36" i="7"/>
  <c r="E41" i="7" s="1"/>
  <c r="D50" i="7" s="1"/>
  <c r="L36" i="7"/>
  <c r="O36" i="7" s="1"/>
  <c r="I8" i="12"/>
  <c r="I9" i="12"/>
  <c r="H35" i="7" l="1"/>
  <c r="D48" i="7" s="1"/>
  <c r="C37" i="8" s="1"/>
  <c r="H36" i="7"/>
  <c r="D49" i="7" s="1"/>
  <c r="D27" i="27"/>
  <c r="J7" i="30" s="1"/>
  <c r="E27" i="27"/>
  <c r="J8" i="30" s="1"/>
  <c r="G27" i="27"/>
  <c r="J9" i="30"/>
  <c r="E17" i="29"/>
  <c r="F5" i="21"/>
  <c r="G58" i="5"/>
  <c r="M127" i="22" s="1"/>
  <c r="D9" i="25"/>
  <c r="C22" i="27"/>
  <c r="M4" i="12"/>
  <c r="I21" i="11"/>
  <c r="G44" i="7"/>
  <c r="I5" i="12"/>
  <c r="L35" i="7"/>
  <c r="C66" i="8" s="1"/>
  <c r="C76" i="8" s="1"/>
  <c r="I6" i="12"/>
  <c r="I7" i="12"/>
  <c r="F14" i="29" l="1"/>
  <c r="E12" i="29"/>
  <c r="J10" i="30"/>
  <c r="H27" i="27"/>
  <c r="J12" i="30"/>
  <c r="C45" i="8"/>
  <c r="C46" i="8"/>
  <c r="F17" i="29"/>
  <c r="D6" i="30"/>
  <c r="D25" i="25"/>
  <c r="D10" i="25"/>
  <c r="B10" i="30"/>
  <c r="B9" i="12"/>
  <c r="B11" i="12" s="1"/>
  <c r="F37" i="8"/>
  <c r="G37" i="8" s="1"/>
  <c r="I11" i="12"/>
  <c r="M18" i="12" s="1"/>
  <c r="O35" i="7"/>
  <c r="C87" i="8" s="1"/>
  <c r="F66" i="8"/>
  <c r="E66" i="8"/>
  <c r="E76" i="8" s="1"/>
  <c r="D66" i="8"/>
  <c r="D76" i="8" s="1"/>
  <c r="G66" i="8"/>
  <c r="D44" i="7"/>
  <c r="F17" i="9"/>
  <c r="H44" i="7"/>
  <c r="F152" i="8"/>
  <c r="G14" i="29" l="1"/>
  <c r="F12" i="29"/>
  <c r="C12" i="9"/>
  <c r="C47" i="8"/>
  <c r="D16" i="11" s="1"/>
  <c r="C54" i="8"/>
  <c r="D55" i="8" s="1"/>
  <c r="G17" i="29"/>
  <c r="G12" i="29" s="1"/>
  <c r="F45" i="8"/>
  <c r="C97" i="8"/>
  <c r="D37" i="8"/>
  <c r="D45" i="8" s="1"/>
  <c r="D46" i="8" s="1"/>
  <c r="F18" i="9"/>
  <c r="F20" i="9" s="1"/>
  <c r="F23" i="8"/>
  <c r="F24" i="8" s="1"/>
  <c r="G152" i="8"/>
  <c r="G17" i="9"/>
  <c r="G45" i="8"/>
  <c r="G46" i="8" s="1"/>
  <c r="C17" i="9"/>
  <c r="E37" i="8"/>
  <c r="C23" i="8"/>
  <c r="E44" i="7"/>
  <c r="C152" i="8"/>
  <c r="G76" i="8"/>
  <c r="G78" i="8" s="1"/>
  <c r="G80" i="8" s="1"/>
  <c r="G157" i="8" s="1"/>
  <c r="F39" i="25" s="1"/>
  <c r="D78" i="8"/>
  <c r="D80" i="8" s="1"/>
  <c r="D157" i="8" s="1"/>
  <c r="C39" i="25" s="1"/>
  <c r="E78" i="8"/>
  <c r="E80" i="8" s="1"/>
  <c r="E157" i="8" s="1"/>
  <c r="D39" i="25" s="1"/>
  <c r="F76" i="8"/>
  <c r="F78" i="8" s="1"/>
  <c r="F80" i="8" s="1"/>
  <c r="F157" i="8" s="1"/>
  <c r="E39" i="25" s="1"/>
  <c r="G87" i="8"/>
  <c r="F87" i="8"/>
  <c r="E87" i="8"/>
  <c r="D87" i="8"/>
  <c r="C78" i="8"/>
  <c r="C81" i="8" s="1"/>
  <c r="F46" i="8" l="1"/>
  <c r="G54" i="8"/>
  <c r="D54" i="8"/>
  <c r="G12" i="9"/>
  <c r="F47" i="8"/>
  <c r="F12" i="9"/>
  <c r="D17" i="9"/>
  <c r="F119" i="8"/>
  <c r="F121" i="8" s="1"/>
  <c r="C99" i="8"/>
  <c r="C80" i="8"/>
  <c r="C157" i="8" s="1"/>
  <c r="B39" i="25" s="1"/>
  <c r="C158" i="8"/>
  <c r="B40" i="25" s="1"/>
  <c r="C136" i="8"/>
  <c r="B8" i="23" s="1"/>
  <c r="D97" i="8"/>
  <c r="D99" i="8" s="1"/>
  <c r="D137" i="8" s="1"/>
  <c r="C9" i="23" s="1"/>
  <c r="E97" i="8"/>
  <c r="E99" i="8" s="1"/>
  <c r="E101" i="8" s="1"/>
  <c r="E159" i="8" s="1"/>
  <c r="D41" i="25" s="1"/>
  <c r="F97" i="8"/>
  <c r="F99" i="8" s="1"/>
  <c r="F137" i="8" s="1"/>
  <c r="E9" i="23" s="1"/>
  <c r="C137" i="8"/>
  <c r="B9" i="23" s="1"/>
  <c r="G97" i="8"/>
  <c r="G99" i="8" s="1"/>
  <c r="G137" i="8" s="1"/>
  <c r="F9" i="23" s="1"/>
  <c r="F81" i="8"/>
  <c r="F158" i="8" s="1"/>
  <c r="E40" i="25" s="1"/>
  <c r="F136" i="8"/>
  <c r="E8" i="23" s="1"/>
  <c r="E81" i="8"/>
  <c r="E158" i="8" s="1"/>
  <c r="D40" i="25" s="1"/>
  <c r="E136" i="8"/>
  <c r="D8" i="23" s="1"/>
  <c r="D81" i="8"/>
  <c r="D158" i="8" s="1"/>
  <c r="C40" i="25" s="1"/>
  <c r="D136" i="8"/>
  <c r="C8" i="23" s="1"/>
  <c r="G81" i="8"/>
  <c r="G158" i="8" s="1"/>
  <c r="F40" i="25" s="1"/>
  <c r="G136" i="8"/>
  <c r="F8" i="23" s="1"/>
  <c r="F44" i="7"/>
  <c r="D152" i="8"/>
  <c r="C18" i="9"/>
  <c r="C24" i="8"/>
  <c r="C51" i="8" s="1"/>
  <c r="C56" i="8" s="1"/>
  <c r="E17" i="9"/>
  <c r="E45" i="8"/>
  <c r="C125" i="8"/>
  <c r="G47" i="8"/>
  <c r="H16" i="11" s="1"/>
  <c r="G125" i="8"/>
  <c r="G18" i="9"/>
  <c r="G20" i="9" s="1"/>
  <c r="G23" i="8"/>
  <c r="G24" i="8" s="1"/>
  <c r="F26" i="8"/>
  <c r="F155" i="8" s="1"/>
  <c r="E37" i="25" s="1"/>
  <c r="F51" i="8"/>
  <c r="F27" i="8"/>
  <c r="F156" i="8" s="1"/>
  <c r="E38" i="25" s="1"/>
  <c r="G8" i="23" l="1"/>
  <c r="C20" i="9"/>
  <c r="C17" i="25"/>
  <c r="F54" i="8"/>
  <c r="E46" i="8"/>
  <c r="C57" i="8"/>
  <c r="E55" i="8"/>
  <c r="D12" i="9"/>
  <c r="E12" i="9"/>
  <c r="D32" i="9"/>
  <c r="F32" i="9"/>
  <c r="G32" i="9"/>
  <c r="D47" i="8"/>
  <c r="E16" i="11" s="1"/>
  <c r="D125" i="8"/>
  <c r="G119" i="8"/>
  <c r="G121" i="8" s="1"/>
  <c r="G127" i="8" s="1"/>
  <c r="G129" i="8" s="1"/>
  <c r="E137" i="8"/>
  <c r="D9" i="23" s="1"/>
  <c r="G9" i="23" s="1"/>
  <c r="F101" i="8"/>
  <c r="F159" i="8" s="1"/>
  <c r="E41" i="25" s="1"/>
  <c r="G101" i="8"/>
  <c r="G159" i="8" s="1"/>
  <c r="F41" i="25" s="1"/>
  <c r="D101" i="8"/>
  <c r="D159" i="8" s="1"/>
  <c r="C41" i="25" s="1"/>
  <c r="C101" i="8"/>
  <c r="C159" i="8" s="1"/>
  <c r="B41" i="25" s="1"/>
  <c r="C102" i="8"/>
  <c r="C160" i="8" s="1"/>
  <c r="B42" i="25" s="1"/>
  <c r="C27" i="8"/>
  <c r="C119" i="8"/>
  <c r="C121" i="8" s="1"/>
  <c r="C127" i="8" s="1"/>
  <c r="G26" i="8"/>
  <c r="G155" i="8" s="1"/>
  <c r="F37" i="25" s="1"/>
  <c r="G51" i="8"/>
  <c r="G27" i="8"/>
  <c r="G156" i="8" s="1"/>
  <c r="F38" i="25" s="1"/>
  <c r="E47" i="8"/>
  <c r="E125" i="8"/>
  <c r="F125" i="8"/>
  <c r="F127" i="8" s="1"/>
  <c r="F129" i="8" s="1"/>
  <c r="D18" i="9"/>
  <c r="D20" i="9" s="1"/>
  <c r="D23" i="8"/>
  <c r="D24" i="8" s="1"/>
  <c r="E152" i="8"/>
  <c r="G102" i="8"/>
  <c r="G160" i="8" s="1"/>
  <c r="F42" i="25" s="1"/>
  <c r="F102" i="8"/>
  <c r="F160" i="8" s="1"/>
  <c r="E102" i="8"/>
  <c r="E160" i="8" s="1"/>
  <c r="D42" i="25" s="1"/>
  <c r="D102" i="8"/>
  <c r="D160" i="8" s="1"/>
  <c r="C42" i="25" s="1"/>
  <c r="F16" i="11" l="1"/>
  <c r="G16" i="11"/>
  <c r="E9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F98" i="25" s="1"/>
  <c r="D78" i="25"/>
  <c r="D17" i="25"/>
  <c r="C18" i="25"/>
  <c r="D18" i="25"/>
  <c r="G55" i="8"/>
  <c r="G56" i="8" s="1"/>
  <c r="G57" i="8"/>
  <c r="E54" i="8"/>
  <c r="F55" i="8" s="1"/>
  <c r="F44" i="25"/>
  <c r="F45" i="25" s="1"/>
  <c r="F161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2" i="8"/>
  <c r="C26" i="8"/>
  <c r="C59" i="8" s="1"/>
  <c r="D119" i="8"/>
  <c r="D121" i="8" s="1"/>
  <c r="D127" i="8" s="1"/>
  <c r="D129" i="8" s="1"/>
  <c r="N97" i="7" s="1"/>
  <c r="O98" i="7" s="1"/>
  <c r="C156" i="8"/>
  <c r="B38" i="25" s="1"/>
  <c r="C129" i="8"/>
  <c r="M97" i="7" s="1"/>
  <c r="M99" i="7" s="1"/>
  <c r="E18" i="9"/>
  <c r="E20" i="9" s="1"/>
  <c r="E23" i="8"/>
  <c r="E24" i="8" s="1"/>
  <c r="D26" i="8"/>
  <c r="D155" i="8" s="1"/>
  <c r="C37" i="25" s="1"/>
  <c r="D51" i="8"/>
  <c r="D56" i="8" s="1"/>
  <c r="D57" i="8" s="1"/>
  <c r="D27" i="8"/>
  <c r="D156" i="8" s="1"/>
  <c r="C38" i="25" s="1"/>
  <c r="C44" i="25" s="1"/>
  <c r="C60" i="8"/>
  <c r="Q97" i="7"/>
  <c r="P97" i="7"/>
  <c r="G161" i="8"/>
  <c r="G162" i="8" s="1"/>
  <c r="E192" i="8"/>
  <c r="E212" i="8"/>
  <c r="E206" i="8"/>
  <c r="E196" i="8"/>
  <c r="E195" i="8"/>
  <c r="E197" i="8"/>
  <c r="E209" i="8"/>
  <c r="E205" i="8"/>
  <c r="E202" i="8"/>
  <c r="E193" i="8"/>
  <c r="E207" i="8"/>
  <c r="E204" i="8"/>
  <c r="E198" i="8"/>
  <c r="E208" i="8"/>
  <c r="E199" i="8"/>
  <c r="E203" i="8"/>
  <c r="E194" i="8"/>
  <c r="E201" i="8"/>
  <c r="E211" i="8"/>
  <c r="E200" i="8"/>
  <c r="E210" i="8"/>
  <c r="G60" i="8"/>
  <c r="G59" i="8"/>
  <c r="B44" i="25" l="1"/>
  <c r="E72" i="25"/>
  <c r="E97" i="25"/>
  <c r="F97" i="25" s="1"/>
  <c r="E79" i="25"/>
  <c r="F79" i="25" s="1"/>
  <c r="E80" i="25"/>
  <c r="F80" i="25" s="1"/>
  <c r="E81" i="25"/>
  <c r="F81" i="25" s="1"/>
  <c r="E82" i="25"/>
  <c r="F82" i="25" s="1"/>
  <c r="E83" i="25"/>
  <c r="F83" i="25" s="1"/>
  <c r="E84" i="25"/>
  <c r="F84" i="25" s="1"/>
  <c r="E85" i="25"/>
  <c r="F85" i="25" s="1"/>
  <c r="E86" i="25"/>
  <c r="F86" i="25" s="1"/>
  <c r="E87" i="25"/>
  <c r="F87" i="25" s="1"/>
  <c r="E88" i="25"/>
  <c r="F88" i="25" s="1"/>
  <c r="E89" i="25"/>
  <c r="F89" i="25" s="1"/>
  <c r="E90" i="25"/>
  <c r="F90" i="25" s="1"/>
  <c r="E91" i="25"/>
  <c r="F91" i="25" s="1"/>
  <c r="E92" i="25"/>
  <c r="F92" i="25" s="1"/>
  <c r="E93" i="25"/>
  <c r="F93" i="25" s="1"/>
  <c r="E94" i="25"/>
  <c r="F94" i="25" s="1"/>
  <c r="E95" i="25"/>
  <c r="F95" i="25" s="1"/>
  <c r="E96" i="25"/>
  <c r="F96" i="25" s="1"/>
  <c r="E78" i="25"/>
  <c r="F78" i="25" s="1"/>
  <c r="D142" i="22"/>
  <c r="D143" i="22"/>
  <c r="D144" i="22"/>
  <c r="D141" i="22"/>
  <c r="F56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1" i="8"/>
  <c r="C161" i="8"/>
  <c r="E15" i="10"/>
  <c r="E17" i="10" s="1"/>
  <c r="E34" i="9"/>
  <c r="N98" i="7"/>
  <c r="C155" i="8"/>
  <c r="B37" i="25" s="1"/>
  <c r="F187" i="8"/>
  <c r="E119" i="8"/>
  <c r="E121" i="8" s="1"/>
  <c r="E127" i="8" s="1"/>
  <c r="E129" i="8" s="1"/>
  <c r="O97" i="7" s="1"/>
  <c r="P98" i="7" s="1"/>
  <c r="P99" i="7" s="1"/>
  <c r="F132" i="8" s="1"/>
  <c r="F134" i="8" s="1"/>
  <c r="N99" i="7"/>
  <c r="D132" i="8" s="1"/>
  <c r="C132" i="8"/>
  <c r="I16" i="11"/>
  <c r="Q98" i="7"/>
  <c r="Q99" i="7" s="1"/>
  <c r="G132" i="8" s="1"/>
  <c r="G134" i="8" s="1"/>
  <c r="H59" i="8"/>
  <c r="H60" i="8"/>
  <c r="D162" i="8"/>
  <c r="D59" i="8"/>
  <c r="D60" i="8"/>
  <c r="E26" i="8"/>
  <c r="E155" i="8" s="1"/>
  <c r="D37" i="25" s="1"/>
  <c r="E51" i="8"/>
  <c r="E56" i="8" s="1"/>
  <c r="E27" i="8"/>
  <c r="E156" i="8" s="1"/>
  <c r="D38" i="25" s="1"/>
  <c r="D44" i="25" s="1"/>
  <c r="C134" i="8" l="1"/>
  <c r="B5" i="23" s="1"/>
  <c r="C13" i="9"/>
  <c r="C38" i="9"/>
  <c r="D134" i="8"/>
  <c r="D13" i="9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F72" i="25" s="1"/>
  <c r="D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B6" i="23"/>
  <c r="F169" i="8"/>
  <c r="C140" i="22"/>
  <c r="D12" i="26"/>
  <c r="D14" i="26" s="1"/>
  <c r="B45" i="25"/>
  <c r="D9" i="9"/>
  <c r="F59" i="8"/>
  <c r="F60" i="8"/>
  <c r="F57" i="8"/>
  <c r="E57" i="8"/>
  <c r="E21" i="10"/>
  <c r="E23" i="10" s="1"/>
  <c r="E6" i="26"/>
  <c r="E10" i="26" s="1"/>
  <c r="E12" i="26" s="1"/>
  <c r="E14" i="26" s="1"/>
  <c r="D45" i="25"/>
  <c r="E161" i="8"/>
  <c r="G139" i="8"/>
  <c r="F5" i="23"/>
  <c r="F139" i="8"/>
  <c r="E5" i="23"/>
  <c r="C139" i="8"/>
  <c r="C143" i="8" s="1"/>
  <c r="C17" i="27"/>
  <c r="D139" i="8"/>
  <c r="C5" i="23"/>
  <c r="F168" i="8"/>
  <c r="O99" i="7"/>
  <c r="E132" i="8" s="1"/>
  <c r="E134" i="8" s="1"/>
  <c r="E167" i="8"/>
  <c r="E182" i="8"/>
  <c r="E183" i="8"/>
  <c r="E177" i="8"/>
  <c r="E173" i="8"/>
  <c r="E187" i="8"/>
  <c r="E175" i="8"/>
  <c r="E184" i="8"/>
  <c r="E174" i="8"/>
  <c r="E168" i="8"/>
  <c r="G168" i="8" s="1"/>
  <c r="E186" i="8"/>
  <c r="E180" i="8"/>
  <c r="E176" i="8"/>
  <c r="E172" i="8"/>
  <c r="E170" i="8"/>
  <c r="E185" i="8"/>
  <c r="E179" i="8"/>
  <c r="E171" i="8"/>
  <c r="E181" i="8"/>
  <c r="E178" i="8"/>
  <c r="E169" i="8"/>
  <c r="C162" i="8"/>
  <c r="C141" i="8"/>
  <c r="E162" i="8"/>
  <c r="E60" i="8"/>
  <c r="E59" i="8"/>
  <c r="D15" i="9"/>
  <c r="D14" i="9"/>
  <c r="E17" i="11"/>
  <c r="F167" i="8"/>
  <c r="G167" i="8" s="1"/>
  <c r="G169" i="8"/>
  <c r="F170" i="8"/>
  <c r="F171" i="8"/>
  <c r="F172" i="8"/>
  <c r="F173" i="8"/>
  <c r="G173" i="8" s="1"/>
  <c r="F174" i="8"/>
  <c r="F175" i="8"/>
  <c r="F176" i="8"/>
  <c r="G176" i="8" s="1"/>
  <c r="F177" i="8"/>
  <c r="G177" i="8" s="1"/>
  <c r="F178" i="8"/>
  <c r="G178" i="8" s="1"/>
  <c r="F179" i="8"/>
  <c r="F180" i="8"/>
  <c r="G180" i="8" s="1"/>
  <c r="F181" i="8"/>
  <c r="F183" i="8"/>
  <c r="F184" i="8"/>
  <c r="G184" i="8" s="1"/>
  <c r="F185" i="8"/>
  <c r="G185" i="8" s="1"/>
  <c r="F186" i="8"/>
  <c r="F182" i="8"/>
  <c r="G143" i="8"/>
  <c r="G141" i="8"/>
  <c r="F143" i="8"/>
  <c r="H8" i="12" s="1"/>
  <c r="F141" i="8"/>
  <c r="F52" i="25" l="1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E13" i="9"/>
  <c r="D10" i="29"/>
  <c r="C10" i="29"/>
  <c r="C9" i="9"/>
  <c r="D17" i="11"/>
  <c r="C14" i="9"/>
  <c r="B11" i="23"/>
  <c r="G171" i="8"/>
  <c r="G187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E139" i="8"/>
  <c r="D5" i="23"/>
  <c r="G5" i="23" s="1"/>
  <c r="D143" i="8"/>
  <c r="D141" i="8"/>
  <c r="G179" i="8"/>
  <c r="G174" i="8"/>
  <c r="G182" i="8"/>
  <c r="G175" i="8"/>
  <c r="G183" i="8"/>
  <c r="G186" i="8"/>
  <c r="G181" i="8"/>
  <c r="G170" i="8"/>
  <c r="G172" i="8"/>
  <c r="E143" i="8"/>
  <c r="E141" i="8"/>
  <c r="C144" i="8"/>
  <c r="H5" i="12"/>
  <c r="F144" i="8"/>
  <c r="E8" i="12" s="1"/>
  <c r="H9" i="12"/>
  <c r="G144" i="8"/>
  <c r="E9" i="12" s="1"/>
  <c r="E9" i="9"/>
  <c r="E15" i="9" s="1"/>
  <c r="E24" i="9" s="1"/>
  <c r="F17" i="11"/>
  <c r="E14" i="9"/>
  <c r="C15" i="9" l="1"/>
  <c r="C14" i="25"/>
  <c r="F13" i="9"/>
  <c r="E10" i="29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H6" i="12"/>
  <c r="D144" i="8"/>
  <c r="F212" i="8"/>
  <c r="E144" i="8"/>
  <c r="H7" i="12"/>
  <c r="F145" i="8"/>
  <c r="F8" i="12" s="1"/>
  <c r="G145" i="8"/>
  <c r="F9" i="12" s="1"/>
  <c r="F199" i="8"/>
  <c r="G199" i="8" s="1"/>
  <c r="F195" i="8"/>
  <c r="G195" i="8" s="1"/>
  <c r="E5" i="12"/>
  <c r="C145" i="8"/>
  <c r="C147" i="8" s="1"/>
  <c r="C148" i="8" s="1"/>
  <c r="E16" i="27"/>
  <c r="F206" i="8"/>
  <c r="G206" i="8" s="1"/>
  <c r="F196" i="8"/>
  <c r="G196" i="8" s="1"/>
  <c r="F197" i="8"/>
  <c r="G197" i="8" s="1"/>
  <c r="F209" i="8"/>
  <c r="G209" i="8" s="1"/>
  <c r="F205" i="8"/>
  <c r="G205" i="8" s="1"/>
  <c r="F192" i="8"/>
  <c r="G192" i="8" s="1"/>
  <c r="F202" i="8"/>
  <c r="G202" i="8" s="1"/>
  <c r="F193" i="8"/>
  <c r="G193" i="8" s="1"/>
  <c r="F207" i="8"/>
  <c r="G207" i="8" s="1"/>
  <c r="F204" i="8"/>
  <c r="G204" i="8" s="1"/>
  <c r="F198" i="8"/>
  <c r="G198" i="8" s="1"/>
  <c r="F208" i="8"/>
  <c r="G208" i="8" s="1"/>
  <c r="F203" i="8"/>
  <c r="G203" i="8" s="1"/>
  <c r="F194" i="8"/>
  <c r="G194" i="8" s="1"/>
  <c r="F201" i="8"/>
  <c r="G201" i="8" s="1"/>
  <c r="F211" i="8"/>
  <c r="G211" i="8" s="1"/>
  <c r="F200" i="8"/>
  <c r="G200" i="8" s="1"/>
  <c r="F210" i="8"/>
  <c r="G210" i="8" s="1"/>
  <c r="G212" i="8"/>
  <c r="G13" i="9" l="1"/>
  <c r="F10" i="29"/>
  <c r="F9" i="9"/>
  <c r="F15" i="9" s="1"/>
  <c r="F14" i="9"/>
  <c r="G17" i="11"/>
  <c r="D14" i="25"/>
  <c r="C15" i="25"/>
  <c r="C24" i="9"/>
  <c r="C16" i="27" s="1"/>
  <c r="C6" i="30" s="1"/>
  <c r="D24" i="9"/>
  <c r="D16" i="27" s="1"/>
  <c r="C7" i="30" s="1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F6" i="30"/>
  <c r="C18" i="27"/>
  <c r="H6" i="30"/>
  <c r="C20" i="27"/>
  <c r="E6" i="12"/>
  <c r="D145" i="8"/>
  <c r="G147" i="8"/>
  <c r="F147" i="8"/>
  <c r="E7" i="12"/>
  <c r="E11" i="12" s="1"/>
  <c r="E145" i="8"/>
  <c r="H11" i="12"/>
  <c r="F5" i="12"/>
  <c r="C19" i="9"/>
  <c r="D15" i="25" l="1"/>
  <c r="C22" i="25"/>
  <c r="D22" i="25" s="1"/>
  <c r="F24" i="9"/>
  <c r="F16" i="27" s="1"/>
  <c r="G9" i="9"/>
  <c r="G15" i="9" s="1"/>
  <c r="G24" i="9" s="1"/>
  <c r="G16" i="27" s="1"/>
  <c r="C9" i="30" s="1"/>
  <c r="G14" i="9"/>
  <c r="G10" i="29"/>
  <c r="H17" i="11"/>
  <c r="I17" i="11" s="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M6" i="30" s="1"/>
  <c r="D19" i="25"/>
  <c r="F6" i="12"/>
  <c r="D147" i="8"/>
  <c r="G148" i="8"/>
  <c r="G19" i="9" s="1"/>
  <c r="G151" i="8"/>
  <c r="G153" i="8" s="1"/>
  <c r="F151" i="8"/>
  <c r="F153" i="8" s="1"/>
  <c r="F148" i="8"/>
  <c r="F19" i="9" s="1"/>
  <c r="F7" i="12"/>
  <c r="F11" i="12" s="1"/>
  <c r="H13" i="12" s="1"/>
  <c r="E147" i="8"/>
  <c r="C151" i="8"/>
  <c r="C153" i="8" s="1"/>
  <c r="H16" i="27" l="1"/>
  <c r="C10" i="30" s="1"/>
  <c r="B29" i="30"/>
  <c r="C29" i="30" s="1"/>
  <c r="G13" i="23"/>
  <c r="D15" i="23"/>
  <c r="F8" i="30"/>
  <c r="E18" i="27"/>
  <c r="E20" i="27"/>
  <c r="E8" i="30"/>
  <c r="E12" i="30" s="1"/>
  <c r="C12" i="30"/>
  <c r="L27" i="30" s="1"/>
  <c r="N5" i="30"/>
  <c r="C26" i="25"/>
  <c r="D20" i="25"/>
  <c r="D148" i="8"/>
  <c r="D19" i="9" s="1"/>
  <c r="D151" i="8"/>
  <c r="D153" i="8" s="1"/>
  <c r="C22" i="9"/>
  <c r="F22" i="9"/>
  <c r="G18" i="11"/>
  <c r="G22" i="9"/>
  <c r="H18" i="11"/>
  <c r="E151" i="8"/>
  <c r="E153" i="8" s="1"/>
  <c r="E148" i="8"/>
  <c r="E19" i="9" s="1"/>
  <c r="C25" i="9"/>
  <c r="C36" i="9" s="1"/>
  <c r="H18" i="27" l="1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18" i="11"/>
  <c r="H22" i="11"/>
  <c r="H23" i="11" s="1"/>
  <c r="G17" i="26" s="1"/>
  <c r="H25" i="11"/>
  <c r="G22" i="11"/>
  <c r="G23" i="11" s="1"/>
  <c r="F17" i="26" s="1"/>
  <c r="C8" i="12"/>
  <c r="G25" i="11"/>
  <c r="G25" i="9"/>
  <c r="G36" i="9" s="1"/>
  <c r="I12" i="11"/>
  <c r="D18" i="11"/>
  <c r="F25" i="9"/>
  <c r="F36" i="9" s="1"/>
  <c r="E25" i="9"/>
  <c r="E36" i="9" s="1"/>
  <c r="B25" i="30" l="1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E25" i="1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G9" i="12" s="1"/>
  <c r="F22" i="11"/>
  <c r="F23" i="11" s="1"/>
  <c r="E17" i="26" s="1"/>
  <c r="C7" i="12"/>
  <c r="F25" i="11"/>
  <c r="F32" i="29" l="1"/>
  <c r="E31" i="29"/>
  <c r="D31" i="29"/>
  <c r="D35" i="29" s="1"/>
  <c r="D18" i="26"/>
  <c r="D19" i="26" s="1"/>
  <c r="E16" i="26"/>
  <c r="F6" i="21"/>
  <c r="D27" i="25"/>
  <c r="E30" i="25" s="1"/>
  <c r="D10" i="30"/>
  <c r="G10" i="30" s="1"/>
  <c r="D9" i="30"/>
  <c r="G9" i="30" s="1"/>
  <c r="D6" i="12"/>
  <c r="D26" i="10"/>
  <c r="G6" i="12"/>
  <c r="C26" i="10"/>
  <c r="B7" i="21"/>
  <c r="E5" i="21" s="1"/>
  <c r="C27" i="10"/>
  <c r="C28" i="10"/>
  <c r="C30" i="10" s="1"/>
  <c r="E26" i="10"/>
  <c r="E22" i="27" s="1"/>
  <c r="E24" i="27" s="1"/>
  <c r="D7" i="12"/>
  <c r="G7" i="12" s="1"/>
  <c r="I22" i="11"/>
  <c r="C11" i="12"/>
  <c r="G32" i="29" l="1"/>
  <c r="G31" i="29" s="1"/>
  <c r="G35" i="29" s="1"/>
  <c r="F31" i="29"/>
  <c r="E6" i="21"/>
  <c r="D21" i="26"/>
  <c r="C11" i="29"/>
  <c r="E18" i="26"/>
  <c r="B8" i="21"/>
  <c r="C5" i="21" s="1"/>
  <c r="C7" i="21"/>
  <c r="G5" i="21"/>
  <c r="D22" i="27"/>
  <c r="D24" i="27" s="1"/>
  <c r="E8" i="21"/>
  <c r="G6" i="21"/>
  <c r="D8" i="30"/>
  <c r="G8" i="30" s="1"/>
  <c r="D7" i="30"/>
  <c r="C7" i="27"/>
  <c r="D5" i="12"/>
  <c r="I23" i="11"/>
  <c r="D25" i="11"/>
  <c r="I25" i="11" s="1"/>
  <c r="F16" i="26" l="1"/>
  <c r="E19" i="26"/>
  <c r="E21" i="26"/>
  <c r="D11" i="29"/>
  <c r="F18" i="26"/>
  <c r="G16" i="26" s="1"/>
  <c r="F19" i="26"/>
  <c r="C6" i="21"/>
  <c r="H22" i="27"/>
  <c r="H24" i="27" s="1"/>
  <c r="B10" i="21"/>
  <c r="D12" i="30"/>
  <c r="G7" i="30"/>
  <c r="G7" i="21"/>
  <c r="G8" i="21" s="1"/>
  <c r="D11" i="12"/>
  <c r="G5" i="12"/>
  <c r="F21" i="26" l="1"/>
  <c r="E11" i="29"/>
  <c r="G18" i="26"/>
  <c r="G19" i="26"/>
  <c r="G12" i="30"/>
  <c r="C8" i="21"/>
  <c r="G11" i="12"/>
  <c r="D25" i="10"/>
  <c r="D27" i="10" s="1"/>
  <c r="D28" i="10"/>
  <c r="G21" i="26" l="1"/>
  <c r="F11" i="29"/>
  <c r="D11" i="27"/>
  <c r="K7" i="30"/>
  <c r="J5" i="12"/>
  <c r="D30" i="10"/>
  <c r="J6" i="12"/>
  <c r="K6" i="12" s="1"/>
  <c r="L6" i="12" s="1"/>
  <c r="E25" i="10"/>
  <c r="E27" i="10" l="1"/>
  <c r="L7" i="30"/>
  <c r="F25" i="10"/>
  <c r="K5" i="12"/>
  <c r="F27" i="10" l="1"/>
  <c r="M7" i="30"/>
  <c r="E28" i="10"/>
  <c r="L5" i="12"/>
  <c r="G25" i="10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J11" i="12"/>
  <c r="M19" i="12" s="1"/>
  <c r="K9" i="30"/>
  <c r="F11" i="27"/>
  <c r="L9" i="30" l="1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D8" i="29"/>
  <c r="D5" i="29" s="1"/>
  <c r="D24" i="29" s="1"/>
  <c r="E26" i="30"/>
  <c r="E12" i="27"/>
  <c r="E26" i="27" s="1"/>
  <c r="E29" i="27" l="1"/>
  <c r="F26" i="30"/>
  <c r="G26" i="30" s="1"/>
  <c r="E8" i="29" l="1"/>
  <c r="E5" i="29" s="1"/>
  <c r="F6" i="27"/>
  <c r="E30" i="27"/>
  <c r="E24" i="29"/>
  <c r="E27" i="30" l="1"/>
  <c r="F12" i="27"/>
  <c r="F26" i="27" s="1"/>
  <c r="F29" i="27" l="1"/>
  <c r="F27" i="30"/>
  <c r="F8" i="29" l="1"/>
  <c r="F5" i="29" s="1"/>
  <c r="G6" i="27"/>
  <c r="G27" i="30"/>
  <c r="F30" i="27"/>
  <c r="F24" i="29"/>
  <c r="E28" i="30" l="1"/>
  <c r="F28" i="30" l="1"/>
  <c r="G28" i="30" l="1"/>
  <c r="C44" i="21" l="1"/>
  <c r="E42" i="21"/>
  <c r="E43" i="21"/>
  <c r="E44" i="21" s="1"/>
  <c r="D32" i="25"/>
  <c r="D40" i="29"/>
  <c r="D38" i="29"/>
  <c r="B31" i="30"/>
  <c r="C34" i="25"/>
  <c r="B34" i="25"/>
  <c r="B7" i="27"/>
  <c r="B31" i="29"/>
  <c r="B35" i="29" s="1"/>
  <c r="B38" i="29"/>
  <c r="E32" i="25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/>
  <c r="G12" i="27"/>
  <c r="G26" i="27" s="1"/>
  <c r="H26" i="27" s="1"/>
  <c r="G29" i="27"/>
  <c r="G30" i="27"/>
  <c r="H30" i="27" s="1"/>
  <c r="E29" i="30"/>
  <c r="E31" i="30" s="1"/>
  <c r="F29" i="30"/>
  <c r="F31" i="30" s="1"/>
  <c r="G29" i="30"/>
  <c r="D37" i="30" s="1"/>
  <c r="H29" i="30"/>
  <c r="D35" i="30" s="1"/>
  <c r="H31" i="30"/>
  <c r="G31" i="30" l="1"/>
  <c r="D36" i="30"/>
  <c r="H29" i="27"/>
  <c r="G8" i="29"/>
  <c r="G5" i="29" s="1"/>
  <c r="G24" i="29" s="1"/>
  <c r="L34" i="30" l="1"/>
  <c r="L31" i="30"/>
  <c r="L30" i="30"/>
  <c r="L36" i="30"/>
  <c r="G40" i="29"/>
  <c r="G38" i="29"/>
  <c r="L33" i="30"/>
  <c r="L3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[Threaded comment]
Your version of Excel allows you to read this threaded comment; however, any edits to it will get removed if the file is opened in a newer version of Excel. Learn more: https://go.microsoft.com/fwlink/?linkid=870924
Comment: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[Threaded comment]
Your version of Excel allows you to read this threaded comment; however, any edits to it will get removed if the file is opened in a newer version of Excel. Learn more: https://go.microsoft.com/fwlink/?linkid=870924
Comment:
    porcentajes salen de práctica dada por catedra</t>
      </text>
    </comment>
    <comment ref="D82" authorId="1" shapeId="0" xr:uid="{42141B42-B524-413F-9B65-A83336A63F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datos optenidos del  ejercicio 19- I4DT1 EJERCICIOS DE APLICADION
</t>
      </text>
    </comment>
    <comment ref="E87" authorId="2" shapeId="0" xr:uid="{F7BD38D8-FDBD-4B4D-941D-8F26CAD1CF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[Threaded comment]
Your version of Excel allows you to read this threaded comment; however, any edits to it will get removed if the file is opened in a newer version of Excel. Learn more: https://go.microsoft.com/fwlink/?linkid=870924
Comment:
    ACTIVO TOTAL=PASIVO+PATRIMONIO NETO</t>
      </text>
    </comment>
  </commentList>
</comments>
</file>

<file path=xl/sharedStrings.xml><?xml version="1.0" encoding="utf-8"?>
<sst xmlns="http://schemas.openxmlformats.org/spreadsheetml/2006/main" count="2027" uniqueCount="1123">
  <si>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</si>
  <si>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</si>
  <si>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</si>
  <si>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</si>
  <si>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</si>
  <si>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</si>
  <si>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</si>
  <si>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</si>
  <si>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</si>
  <si>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</si>
  <si>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</si>
  <si>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</si>
  <si>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</si>
  <si>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</si>
  <si>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</si>
  <si>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</si>
  <si>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</si>
  <si>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</si>
  <si>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</si>
  <si>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</si>
  <si>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</si>
  <si>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</si>
  <si>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</si>
  <si>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</si>
  <si>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</si>
  <si>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</si>
  <si>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</si>
  <si>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</si>
  <si>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</si>
  <si>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</si>
  <si>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</si>
  <si>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</si>
  <si>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</si>
  <si>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</si>
  <si>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</si>
  <si>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</si>
  <si>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</si>
  <si>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</si>
  <si>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</si>
  <si>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</si>
  <si>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</si>
  <si>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</si>
  <si>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</si>
  <si>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</si>
  <si>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</si>
  <si>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</si>
  <si>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</si>
  <si>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</si>
  <si>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</si>
  <si>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</si>
  <si>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</si>
  <si>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</si>
  <si>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</si>
  <si>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</si>
  <si>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</si>
  <si>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</si>
  <si>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</si>
  <si>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</si>
  <si>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</si>
  <si>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</si>
  <si>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</si>
  <si>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</si>
  <si>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</si>
  <si>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</si>
  <si>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</si>
  <si>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</si>
  <si>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</si>
  <si>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</si>
  <si>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</si>
  <si>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</si>
  <si>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</si>
  <si>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</si>
  <si>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</si>
  <si>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</si>
  <si>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</si>
  <si>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</si>
  <si>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</si>
  <si>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</si>
  <si>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</si>
  <si>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</si>
  <si>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</si>
  <si>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</si>
  <si>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</si>
  <si>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</si>
  <si>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</si>
  <si>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</si>
  <si>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</si>
  <si>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</si>
  <si>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</si>
  <si>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</si>
  <si>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</si>
  <si>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</si>
  <si>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</si>
  <si>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</si>
  <si>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</si>
  <si>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</si>
  <si>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</si>
  <si>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</si>
  <si>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</si>
  <si>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</si>
  <si>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</si>
  <si>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</si>
  <si>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</si>
  <si>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</si>
  <si>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</si>
  <si>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</si>
  <si>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</si>
  <si>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</si>
  <si>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</si>
  <si>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</si>
  <si>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</si>
  <si>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</si>
  <si>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</si>
  <si>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</si>
  <si>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</si>
  <si>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</si>
  <si>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</si>
  <si>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</si>
  <si>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</si>
  <si>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</si>
  <si>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</si>
  <si>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</si>
  <si>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</si>
  <si>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</si>
  <si>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</si>
  <si>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</si>
  <si>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</si>
  <si>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</si>
  <si>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</si>
  <si>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</si>
  <si>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</si>
  <si>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</si>
  <si>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</si>
  <si>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</si>
  <si>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</si>
  <si>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</si>
  <si>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</si>
  <si>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</si>
  <si>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</si>
  <si>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</si>
  <si>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</si>
  <si>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</si>
  <si>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</si>
  <si>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</si>
  <si>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</si>
  <si>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</si>
  <si>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</si>
  <si>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</si>
  <si>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</si>
  <si>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</si>
  <si>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</si>
  <si>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</si>
  <si>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</si>
  <si>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</si>
  <si>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</si>
  <si>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</si>
  <si>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</si>
  <si>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</si>
  <si>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</si>
  <si>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</si>
  <si>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</si>
  <si>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</si>
  <si>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</si>
  <si>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</si>
  <si>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</si>
  <si>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</si>
  <si>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</si>
  <si>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</si>
  <si>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</si>
  <si>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</si>
  <si>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</si>
  <si>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</si>
  <si>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</si>
  <si>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</si>
  <si>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</si>
  <si>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</si>
  <si>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</si>
  <si>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</si>
  <si>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</si>
  <si>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</si>
  <si>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</si>
  <si>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</si>
  <si>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</si>
  <si>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</si>
  <si>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</si>
  <si>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</si>
  <si>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</si>
  <si>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</si>
  <si>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</si>
  <si>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</si>
  <si>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</si>
  <si>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</si>
  <si>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</si>
  <si>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</si>
  <si>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</si>
  <si>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</si>
  <si>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</si>
  <si>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</si>
  <si>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</si>
  <si>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</si>
  <si>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</si>
  <si>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</si>
  <si>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</si>
  <si>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</si>
  <si>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</si>
  <si>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</si>
  <si>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</si>
  <si>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</si>
  <si>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</si>
  <si>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</si>
  <si>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</si>
  <si>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</si>
  <si>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</si>
  <si>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</si>
  <si>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</si>
  <si>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</si>
  <si>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</si>
  <si>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</si>
  <si>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</si>
  <si>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</si>
  <si>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</si>
  <si>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</si>
  <si>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</si>
  <si>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</si>
  <si>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</si>
  <si>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</si>
  <si>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</si>
  <si>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</si>
  <si>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</si>
  <si>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</si>
  <si>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</si>
  <si>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</si>
  <si>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</si>
  <si>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</si>
  <si>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</si>
  <si>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</si>
  <si>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</si>
  <si>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</si>
  <si>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</si>
  <si>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</si>
  <si>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</si>
  <si>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</si>
  <si>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</si>
  <si>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</si>
  <si>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</si>
  <si>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</si>
  <si>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</si>
  <si>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</si>
  <si>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</si>
  <si>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</si>
  <si>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</si>
  <si>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</si>
  <si>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</si>
  <si>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</si>
  <si>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</si>
  <si>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</si>
  <si>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</si>
  <si>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</si>
  <si>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</si>
  <si>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</si>
  <si>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</si>
  <si>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</si>
  <si>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</si>
  <si>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</si>
  <si>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</si>
  <si>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</si>
  <si>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</si>
  <si>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</si>
  <si>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</si>
  <si>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</si>
  <si>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</si>
  <si>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</si>
  <si>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</si>
  <si>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</si>
  <si>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</si>
  <si>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</si>
  <si>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</si>
  <si>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</si>
  <si>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</si>
  <si>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</si>
  <si>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</si>
  <si>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</si>
  <si>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</si>
  <si>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</si>
  <si>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</si>
  <si>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</si>
  <si>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</si>
  <si>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</si>
  <si>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</si>
  <si>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</si>
  <si>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</si>
  <si>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</si>
  <si>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</si>
  <si>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</si>
  <si>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</si>
  <si>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</si>
  <si>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</si>
  <si>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</si>
  <si>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</si>
  <si>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</si>
  <si>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</si>
  <si>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</si>
  <si>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</si>
  <si>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</si>
  <si>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</si>
  <si>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</si>
  <si>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</si>
  <si>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</si>
  <si>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</si>
  <si>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</si>
  <si>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</si>
  <si>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</si>
  <si>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</si>
  <si>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</si>
  <si>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</si>
  <si>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</si>
  <si>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</si>
  <si>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</si>
  <si>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</si>
  <si>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</si>
  <si>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</si>
  <si>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</si>
  <si>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</si>
  <si>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</si>
  <si>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</si>
  <si>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</si>
  <si>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</si>
  <si>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</si>
  <si>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</si>
  <si>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</si>
  <si>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</si>
  <si>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</si>
  <si>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</si>
  <si>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</si>
  <si>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</si>
  <si>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</si>
  <si>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</si>
  <si>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</si>
  <si>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</si>
  <si>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</si>
  <si>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</si>
  <si>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</si>
  <si>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</si>
  <si>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</si>
  <si>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</si>
  <si>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</si>
  <si>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</si>
  <si>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</si>
  <si>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</si>
  <si>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</si>
  <si>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</si>
  <si>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</si>
  <si>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</si>
  <si>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</si>
  <si>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</si>
  <si>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</si>
  <si>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</si>
  <si>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</si>
  <si>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</si>
  <si>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</si>
  <si>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</si>
  <si>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</si>
  <si>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</si>
  <si>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</si>
  <si>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</si>
  <si>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</si>
  <si>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</si>
  <si>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</si>
  <si>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</si>
  <si>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</si>
  <si>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</si>
  <si>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</si>
  <si>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</si>
  <si>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</si>
  <si>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</si>
  <si>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</si>
  <si>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</si>
  <si>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</si>
  <si>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</si>
  <si>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</si>
  <si>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</si>
  <si>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</si>
  <si>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</si>
  <si>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</si>
  <si>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</si>
  <si>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</si>
  <si>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</si>
  <si>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</si>
  <si>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</si>
  <si>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</si>
  <si>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</si>
  <si>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</si>
  <si>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</si>
  <si>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</si>
  <si>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</si>
  <si>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</si>
  <si>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</si>
  <si>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</si>
  <si>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</si>
  <si>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</si>
  <si>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</si>
  <si>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</si>
  <si>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</si>
  <si>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</si>
  <si>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</si>
  <si>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</si>
  <si>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</si>
  <si>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</si>
  <si>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</si>
  <si>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</si>
  <si>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</si>
  <si>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</si>
  <si>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</si>
  <si>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</si>
  <si>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</si>
  <si>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</si>
  <si>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</si>
  <si>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</si>
  <si>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</si>
  <si>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</si>
  <si>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</si>
  <si>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</si>
  <si>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</si>
  <si>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</si>
  <si>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</si>
  <si>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</si>
  <si>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</si>
  <si>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</si>
  <si>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</si>
  <si>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</si>
  <si>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</si>
  <si>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</si>
  <si>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</si>
  <si>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</si>
  <si>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</si>
  <si>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</si>
  <si>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</si>
  <si>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</si>
  <si>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</si>
  <si>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</si>
  <si>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</si>
  <si>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</si>
  <si>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</si>
  <si>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</si>
  <si>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</si>
  <si>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</si>
  <si>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</si>
  <si>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</si>
  <si>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</si>
  <si>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</si>
  <si>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</si>
  <si>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</si>
  <si>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</si>
  <si>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</si>
  <si>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</si>
  <si>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</si>
  <si>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</si>
  <si>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</si>
  <si>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</si>
  <si>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</si>
  <si>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</si>
  <si>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</si>
  <si>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</si>
  <si>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</si>
  <si>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</si>
  <si>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</si>
  <si>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</si>
  <si>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</si>
  <si>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</si>
  <si>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</si>
  <si>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</si>
  <si>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</si>
  <si>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</si>
  <si>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</si>
  <si>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</si>
  <si>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</si>
  <si>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</si>
  <si>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</si>
  <si>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</si>
  <si>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</si>
  <si>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</si>
  <si>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</si>
  <si>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</si>
  <si>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</si>
  <si>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</si>
  <si>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</si>
  <si>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</si>
  <si>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</si>
  <si>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</si>
  <si>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</si>
  <si>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Alquiler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</si>
  <si>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</si>
  <si>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</si>
  <si>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</si>
  <si>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</si>
  <si>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</si>
  <si>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</si>
  <si>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</si>
  <si>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</si>
  <si>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</si>
  <si>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</si>
  <si>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</si>
  <si>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</si>
  <si>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</si>
  <si>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</si>
  <si>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</si>
  <si>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</si>
  <si>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</si>
  <si>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</si>
  <si>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</si>
  <si>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</si>
  <si>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</si>
  <si>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alquiler</t>
  </si>
  <si>
    <t>usd</t>
  </si>
  <si>
    <t>Mensual</t>
  </si>
  <si>
    <t>Total por 5 años</t>
  </si>
  <si>
    <t>Condiciones para alquilar</t>
  </si>
  <si>
    <t>1 mes de adelanto</t>
  </si>
  <si>
    <t>1 mes de depósito</t>
  </si>
  <si>
    <t>Garantía</t>
  </si>
  <si>
    <t>Meses antes del momento 0</t>
  </si>
  <si>
    <t>Gasto en alquiler</t>
  </si>
  <si>
    <t>tot. cargos diferidos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</si>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</sst>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\ _€_-;\-* #,##0.00\ _€_-;_-* &quot;-&quot;??\ _€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[$$-2C0A]\ #,##0.00"/>
    <numFmt numFmtId="167" formatCode="0\ %"/>
    <numFmt numFmtId="168" formatCode="0.00\ %"/>
    <numFmt numFmtId="169" formatCode="_(\$* #,##0.00_);_(\$* \(#,##0.00\);_(\$* \-??_);_(@_)"/>
    <numFmt numFmtId="170" formatCode="0.0"/>
    <numFmt numFmtId="171" formatCode="_-* #,##0.00_-;\-* #,##0.00_-;_-* &quot;-&quot;??_-;_-@"/>
    <numFmt numFmtId="172" formatCode="_-&quot;$&quot;\ * #,##0.00_-;\-&quot;$&quot;\ * #,##0.00_-;_-&quot;$&quot;\ * &quot;-&quot;??_-;_-@"/>
    <numFmt numFmtId="173" formatCode="0.000"/>
    <numFmt numFmtId="174" formatCode="&quot;$&quot;#,##0"/>
    <numFmt numFmtId="175" formatCode="&quot;$&quot;#,##0.00"/>
    <numFmt numFmtId="176" formatCode="_-* #,##0.00\ _€_-;\-* #,##0.00\ _€_-;_-* &quot;-&quot;??\ _€_-;_-@"/>
    <numFmt numFmtId="177" formatCode="_(\$* #,##0.00_);_(\$* \(#,##0.00\);_(\$* \-??.0_);_(@_)"/>
    <numFmt numFmtId="178" formatCode="0.0%"/>
    <numFmt numFmtId="179" formatCode="0.0\ %"/>
    <numFmt numFmtId="180" formatCode="_(* #,##0.00_);_(* \(#,##0.00\);_(* \-??_);_(@_)"/>
    <numFmt numFmtId="181" formatCode="[$ $]#,##0.00"/>
    <numFmt numFmtId="182" formatCode="_-[$$-2C0A]\ * #,##0.00_-;\-[$$-2C0A]\ * #,##0.00_-;_-[$$-2C0A]\ * &quot;-&quot;??_-;_-@_-"/>
    <numFmt numFmtId="183" formatCode="&quot;$&quot;#,##0.00_);[Red]\(&quot;$&quot;#,##0.00\)"/>
    <numFmt numFmtId="184" formatCode="&quot;$&quot;\ #,##0.00"/>
    <numFmt numFmtId="185" formatCode="_-[$$-409]* #,##0.00_ ;_-[$$-409]* \-#,##0.00\ ;_-[$$-409]* &quot;-&quot;??_ ;_-@_ "/>
    <numFmt numFmtId="186" formatCode="[$$-340A]#,##0.00"/>
  </numFmts>
  <fonts count="99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Arial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84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7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8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6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9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1" fontId="4" fillId="0" borderId="0" xfId="0" applyNumberFormat="1" applyFont="1"/>
    <xf numFmtId="0" fontId="34" fillId="0" borderId="0" xfId="0" applyFont="1"/>
    <xf numFmtId="166" fontId="6" fillId="0" borderId="0" xfId="0" applyNumberFormat="1" applyFont="1"/>
    <xf numFmtId="0" fontId="35" fillId="0" borderId="0" xfId="0" applyFont="1"/>
    <xf numFmtId="170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3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4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4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74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5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9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7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7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1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3" fontId="27" fillId="0" borderId="103" xfId="0" applyNumberFormat="1" applyFont="1" applyBorder="1" applyAlignment="1">
      <alignment horizontal="left"/>
    </xf>
    <xf numFmtId="164" fontId="4" fillId="0" borderId="0" xfId="0" applyNumberFormat="1" applyFont="1"/>
    <xf numFmtId="166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165" fontId="5" fillId="0" borderId="0" xfId="0" applyNumberFormat="1" applyFont="1"/>
    <xf numFmtId="10" fontId="0" fillId="0" borderId="0" xfId="0" applyNumberFormat="1"/>
    <xf numFmtId="184" fontId="0" fillId="0" borderId="0" xfId="0" applyNumberFormat="1"/>
    <xf numFmtId="0" fontId="0" fillId="15" borderId="0" xfId="0" applyFill="1"/>
    <xf numFmtId="176" fontId="3" fillId="18" borderId="0" xfId="0" applyNumberFormat="1" applyFont="1" applyFill="1"/>
    <xf numFmtId="172" fontId="3" fillId="18" borderId="0" xfId="0" applyNumberFormat="1" applyFont="1" applyFill="1"/>
    <xf numFmtId="176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3" fontId="27" fillId="20" borderId="103" xfId="0" applyNumberFormat="1" applyFont="1" applyFill="1" applyBorder="1"/>
    <xf numFmtId="183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6" fontId="3" fillId="15" borderId="103" xfId="0" applyNumberFormat="1" applyFont="1" applyFill="1" applyBorder="1"/>
    <xf numFmtId="172" fontId="5" fillId="18" borderId="103" xfId="0" applyNumberFormat="1" applyFont="1" applyFill="1" applyBorder="1"/>
    <xf numFmtId="172" fontId="5" fillId="18" borderId="0" xfId="0" applyNumberFormat="1" applyFont="1" applyFill="1"/>
    <xf numFmtId="165" fontId="0" fillId="0" borderId="0" xfId="0" applyNumberFormat="1"/>
    <xf numFmtId="166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6" fontId="0" fillId="0" borderId="0" xfId="0" applyNumberFormat="1"/>
    <xf numFmtId="43" fontId="4" fillId="21" borderId="0" xfId="0" applyNumberFormat="1" applyFont="1" applyFill="1"/>
    <xf numFmtId="0" fontId="4" fillId="0" borderId="0" xfId="0" applyFont="1" applyAlignment="1">
      <alignment horizontal="left"/>
    </xf>
    <xf numFmtId="178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43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9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7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6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2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2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3" fontId="27" fillId="0" borderId="102" xfId="0" applyNumberFormat="1" applyFont="1" applyBorder="1" applyAlignment="1">
      <alignment horizontal="center"/>
    </xf>
    <xf numFmtId="183" fontId="27" fillId="0" borderId="71" xfId="0" applyNumberFormat="1" applyFont="1" applyBorder="1" applyAlignment="1">
      <alignment horizontal="center"/>
    </xf>
    <xf numFmtId="183" fontId="27" fillId="0" borderId="15" xfId="0" applyNumberFormat="1" applyFont="1" applyBorder="1" applyAlignment="1">
      <alignment horizontal="left"/>
    </xf>
    <xf numFmtId="183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3" fontId="27" fillId="0" borderId="64" xfId="0" applyNumberFormat="1" applyFont="1" applyBorder="1" applyAlignment="1">
      <alignment horizontal="center"/>
    </xf>
    <xf numFmtId="183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3" fontId="27" fillId="0" borderId="102" xfId="0" applyNumberFormat="1" applyFont="1" applyBorder="1" applyAlignment="1">
      <alignment horizontal="left"/>
    </xf>
    <xf numFmtId="183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164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4" fontId="27" fillId="0" borderId="67" xfId="0" applyNumberFormat="1" applyFont="1" applyBorder="1" applyAlignment="1">
      <alignment wrapText="1"/>
    </xf>
    <xf numFmtId="184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4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4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4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4" fontId="27" fillId="0" borderId="65" xfId="0" applyNumberFormat="1" applyFont="1" applyBorder="1" applyAlignment="1">
      <alignment wrapText="1"/>
    </xf>
    <xf numFmtId="184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4" fontId="3" fillId="0" borderId="2" xfId="0" applyNumberFormat="1" applyFont="1" applyBorder="1"/>
    <xf numFmtId="184" fontId="27" fillId="0" borderId="64" xfId="0" applyNumberFormat="1" applyFont="1" applyBorder="1" applyAlignment="1">
      <alignment horizontal="left" wrapText="1"/>
    </xf>
    <xf numFmtId="172" fontId="3" fillId="0" borderId="65" xfId="0" applyNumberFormat="1" applyFont="1" applyBorder="1"/>
    <xf numFmtId="172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2" fontId="3" fillId="0" borderId="103" xfId="0" applyNumberFormat="1" applyFont="1" applyBorder="1"/>
    <xf numFmtId="172" fontId="3" fillId="0" borderId="65" xfId="0" applyNumberFormat="1" applyFont="1" applyBorder="1" applyAlignment="1">
      <alignment horizontal="center" vertical="center"/>
    </xf>
    <xf numFmtId="172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2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2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2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2" fontId="3" fillId="0" borderId="67" xfId="0" applyNumberFormat="1" applyFont="1" applyBorder="1"/>
    <xf numFmtId="172" fontId="3" fillId="0" borderId="19" xfId="0" applyNumberFormat="1" applyFont="1" applyBorder="1"/>
    <xf numFmtId="0" fontId="0" fillId="0" borderId="20" xfId="0" applyBorder="1"/>
    <xf numFmtId="172" fontId="0" fillId="0" borderId="67" xfId="0" applyNumberFormat="1" applyBorder="1"/>
    <xf numFmtId="4" fontId="33" fillId="0" borderId="0" xfId="0" applyNumberFormat="1" applyFont="1"/>
    <xf numFmtId="166" fontId="3" fillId="0" borderId="17" xfId="0" applyNumberFormat="1" applyFont="1" applyBorder="1"/>
    <xf numFmtId="166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5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164" fontId="5" fillId="0" borderId="0" xfId="0" applyNumberFormat="1" applyFont="1"/>
    <xf numFmtId="173" fontId="0" fillId="0" borderId="0" xfId="0" applyNumberFormat="1"/>
    <xf numFmtId="165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3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70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6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9" fontId="4" fillId="0" borderId="74" xfId="0" applyNumberFormat="1" applyFont="1" applyBorder="1" applyAlignment="1">
      <alignment horizontal="center"/>
    </xf>
    <xf numFmtId="169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 applyAlignment="1">
      <alignment horizontal="center"/>
    </xf>
    <xf numFmtId="170" fontId="4" fillId="0" borderId="58" xfId="0" applyNumberFormat="1" applyFont="1" applyBorder="1" applyAlignment="1">
      <alignment horizontal="center"/>
    </xf>
    <xf numFmtId="170" fontId="4" fillId="0" borderId="61" xfId="0" applyNumberFormat="1" applyFont="1" applyBorder="1"/>
    <xf numFmtId="170" fontId="4" fillId="0" borderId="81" xfId="0" applyNumberFormat="1" applyFont="1" applyBorder="1" applyAlignment="1">
      <alignment horizontal="center"/>
    </xf>
    <xf numFmtId="170" fontId="4" fillId="0" borderId="78" xfId="0" applyNumberFormat="1" applyFont="1" applyBorder="1"/>
    <xf numFmtId="0" fontId="1" fillId="0" borderId="89" xfId="0" applyFont="1" applyBorder="1"/>
    <xf numFmtId="169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9" fontId="4" fillId="0" borderId="58" xfId="0" applyNumberFormat="1" applyFont="1" applyBorder="1"/>
    <xf numFmtId="164" fontId="64" fillId="0" borderId="93" xfId="0" applyNumberFormat="1" applyFont="1" applyBorder="1"/>
    <xf numFmtId="164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9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9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3" fontId="51" fillId="0" borderId="93" xfId="0" applyNumberFormat="1" applyFont="1" applyBorder="1"/>
    <xf numFmtId="164" fontId="51" fillId="0" borderId="112" xfId="0" applyNumberFormat="1" applyFont="1" applyBorder="1"/>
    <xf numFmtId="164" fontId="65" fillId="0" borderId="93" xfId="0" applyNumberFormat="1" applyFont="1" applyBorder="1"/>
    <xf numFmtId="0" fontId="65" fillId="0" borderId="93" xfId="0" applyFont="1" applyBorder="1"/>
    <xf numFmtId="164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164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9" fontId="4" fillId="0" borderId="76" xfId="0" applyNumberFormat="1" applyFont="1" applyBorder="1" applyAlignment="1">
      <alignment horizontal="center"/>
    </xf>
    <xf numFmtId="169" fontId="4" fillId="0" borderId="79" xfId="0" applyNumberFormat="1" applyFont="1" applyBorder="1"/>
    <xf numFmtId="177" fontId="4" fillId="0" borderId="58" xfId="0" applyNumberFormat="1" applyFont="1" applyBorder="1" applyAlignment="1">
      <alignment horizontal="center"/>
    </xf>
    <xf numFmtId="169" fontId="70" fillId="0" borderId="58" xfId="0" applyNumberFormat="1" applyFont="1" applyBorder="1" applyAlignment="1">
      <alignment horizontal="center"/>
    </xf>
    <xf numFmtId="169" fontId="71" fillId="0" borderId="0" xfId="0" applyNumberFormat="1" applyFont="1"/>
    <xf numFmtId="178" fontId="4" fillId="0" borderId="81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178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9" fontId="4" fillId="0" borderId="80" xfId="0" applyNumberFormat="1" applyFont="1" applyBorder="1" applyAlignment="1">
      <alignment horizontal="center"/>
    </xf>
    <xf numFmtId="169" fontId="4" fillId="0" borderId="74" xfId="0" applyNumberFormat="1" applyFont="1" applyBorder="1"/>
    <xf numFmtId="169" fontId="0" fillId="0" borderId="0" xfId="0" applyNumberFormat="1"/>
    <xf numFmtId="173" fontId="4" fillId="0" borderId="0" xfId="0" applyNumberFormat="1" applyFont="1" applyAlignment="1">
      <alignment horizontal="center"/>
    </xf>
    <xf numFmtId="169" fontId="4" fillId="0" borderId="61" xfId="0" applyNumberFormat="1" applyFont="1" applyBorder="1"/>
    <xf numFmtId="173" fontId="18" fillId="0" borderId="0" xfId="0" applyNumberFormat="1" applyFont="1" applyAlignment="1">
      <alignment horizontal="left"/>
    </xf>
    <xf numFmtId="169" fontId="4" fillId="0" borderId="81" xfId="0" applyNumberFormat="1" applyFont="1" applyBorder="1" applyAlignment="1">
      <alignment horizontal="center"/>
    </xf>
    <xf numFmtId="173" fontId="42" fillId="0" borderId="0" xfId="0" applyNumberFormat="1" applyFont="1" applyAlignment="1">
      <alignment horizontal="center"/>
    </xf>
    <xf numFmtId="168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8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9" fontId="4" fillId="0" borderId="59" xfId="0" applyNumberFormat="1" applyFont="1" applyBorder="1" applyAlignment="1">
      <alignment horizontal="center"/>
    </xf>
    <xf numFmtId="179" fontId="3" fillId="0" borderId="58" xfId="0" applyNumberFormat="1" applyFont="1" applyBorder="1" applyAlignment="1">
      <alignment horizontal="center"/>
    </xf>
    <xf numFmtId="179" fontId="3" fillId="0" borderId="54" xfId="0" applyNumberFormat="1" applyFont="1" applyBorder="1" applyAlignment="1">
      <alignment horizontal="center"/>
    </xf>
    <xf numFmtId="179" fontId="4" fillId="0" borderId="58" xfId="0" applyNumberFormat="1" applyFont="1" applyBorder="1" applyAlignment="1">
      <alignment horizontal="center"/>
    </xf>
    <xf numFmtId="179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5" fontId="4" fillId="0" borderId="58" xfId="0" applyNumberFormat="1" applyFont="1" applyBorder="1" applyAlignment="1">
      <alignment horizontal="right"/>
    </xf>
    <xf numFmtId="175" fontId="4" fillId="0" borderId="86" xfId="0" applyNumberFormat="1" applyFont="1" applyBorder="1" applyAlignment="1">
      <alignment horizontal="right"/>
    </xf>
    <xf numFmtId="180" fontId="4" fillId="0" borderId="58" xfId="0" applyNumberFormat="1" applyFont="1" applyBorder="1" applyAlignment="1">
      <alignment horizontal="right"/>
    </xf>
    <xf numFmtId="180" fontId="4" fillId="0" borderId="86" xfId="0" applyNumberFormat="1" applyFont="1" applyBorder="1" applyAlignment="1">
      <alignment horizontal="right"/>
    </xf>
    <xf numFmtId="169" fontId="4" fillId="0" borderId="58" xfId="0" applyNumberFormat="1" applyFont="1" applyBorder="1" applyAlignment="1">
      <alignment horizontal="right"/>
    </xf>
    <xf numFmtId="169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9" fontId="4" fillId="0" borderId="86" xfId="0" applyNumberFormat="1" applyFont="1" applyBorder="1" applyAlignment="1">
      <alignment horizontal="center"/>
    </xf>
    <xf numFmtId="169" fontId="1" fillId="0" borderId="58" xfId="0" applyNumberFormat="1" applyFont="1" applyBorder="1" applyAlignment="1">
      <alignment horizontal="center"/>
    </xf>
    <xf numFmtId="169" fontId="1" fillId="0" borderId="86" xfId="0" applyNumberFormat="1" applyFont="1" applyBorder="1" applyAlignment="1">
      <alignment horizontal="center"/>
    </xf>
    <xf numFmtId="167" fontId="4" fillId="0" borderId="58" xfId="0" applyNumberFormat="1" applyFont="1" applyBorder="1"/>
    <xf numFmtId="167" fontId="4" fillId="0" borderId="86" xfId="0" applyNumberFormat="1" applyFont="1" applyBorder="1"/>
    <xf numFmtId="166" fontId="4" fillId="0" borderId="58" xfId="0" applyNumberFormat="1" applyFont="1" applyBorder="1"/>
    <xf numFmtId="169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1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9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9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9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9" fontId="4" fillId="0" borderId="99" xfId="0" applyNumberFormat="1" applyFont="1" applyBorder="1" applyAlignment="1">
      <alignment horizontal="center"/>
    </xf>
    <xf numFmtId="169" fontId="4" fillId="0" borderId="100" xfId="0" applyNumberFormat="1" applyFont="1" applyBorder="1" applyAlignment="1">
      <alignment horizontal="center"/>
    </xf>
    <xf numFmtId="169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4" fontId="0" fillId="0" borderId="9" xfId="0" applyNumberFormat="1" applyBorder="1"/>
    <xf numFmtId="0" fontId="0" fillId="0" borderId="103" xfId="0" applyBorder="1" applyAlignment="1">
      <alignment horizontal="center"/>
    </xf>
    <xf numFmtId="164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4" fillId="21" borderId="88" xfId="0" applyFont="1" applyFill="1" applyBorder="1"/>
    <xf numFmtId="0" fontId="1" fillId="21" borderId="96" xfId="0" applyFont="1" applyFill="1" applyBorder="1"/>
    <xf numFmtId="169" fontId="4" fillId="21" borderId="58" xfId="0" applyNumberFormat="1" applyFont="1" applyFill="1" applyBorder="1" applyAlignment="1">
      <alignment horizontal="center"/>
    </xf>
    <xf numFmtId="0" fontId="55" fillId="0" borderId="0" xfId="3"/>
    <xf numFmtId="0" fontId="72" fillId="0" borderId="103" xfId="0" applyFont="1" applyBorder="1"/>
    <xf numFmtId="164" fontId="72" fillId="0" borderId="103" xfId="0" applyNumberFormat="1" applyFont="1" applyBorder="1" applyAlignment="1">
      <alignment horizontal="center"/>
    </xf>
    <xf numFmtId="0" fontId="72" fillId="0" borderId="0" xfId="0" applyFont="1"/>
    <xf numFmtId="164" fontId="72" fillId="0" borderId="0" xfId="0" applyNumberFormat="1" applyFont="1" applyAlignment="1">
      <alignment horizontal="center"/>
    </xf>
    <xf numFmtId="169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2" fontId="4" fillId="18" borderId="138" xfId="0" applyNumberFormat="1" applyFont="1" applyFill="1" applyBorder="1"/>
    <xf numFmtId="182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5" fontId="5" fillId="0" borderId="103" xfId="0" applyNumberFormat="1" applyFont="1" applyBorder="1"/>
    <xf numFmtId="169" fontId="4" fillId="21" borderId="81" xfId="0" applyNumberFormat="1" applyFont="1" applyFill="1" applyBorder="1" applyAlignment="1">
      <alignment horizontal="center"/>
    </xf>
    <xf numFmtId="169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4" xfId="0" applyFont="1" applyBorder="1"/>
    <xf numFmtId="0" fontId="51" fillId="0" borderId="149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2" fontId="51" fillId="0" borderId="58" xfId="0" applyNumberFormat="1" applyFont="1" applyBorder="1"/>
    <xf numFmtId="182" fontId="51" fillId="0" borderId="74" xfId="0" applyNumberFormat="1" applyFont="1" applyBorder="1"/>
    <xf numFmtId="182" fontId="51" fillId="0" borderId="93" xfId="0" applyNumberFormat="1" applyFont="1" applyBorder="1"/>
    <xf numFmtId="182" fontId="51" fillId="0" borderId="149" xfId="0" applyNumberFormat="1" applyFont="1" applyBorder="1"/>
    <xf numFmtId="182" fontId="51" fillId="0" borderId="79" xfId="0" applyNumberFormat="1" applyFont="1" applyBorder="1"/>
    <xf numFmtId="182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2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2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69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2" fontId="77" fillId="0" borderId="58" xfId="0" applyNumberFormat="1" applyFont="1" applyBorder="1"/>
    <xf numFmtId="182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2" fontId="68" fillId="0" borderId="58" xfId="0" applyNumberFormat="1" applyFont="1" applyBorder="1"/>
    <xf numFmtId="186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2" fontId="77" fillId="0" borderId="74" xfId="0" applyNumberFormat="1" applyFont="1" applyBorder="1"/>
    <xf numFmtId="182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2" fontId="71" fillId="0" borderId="9" xfId="0" applyNumberFormat="1" applyFont="1" applyBorder="1"/>
    <xf numFmtId="182" fontId="71" fillId="0" borderId="93" xfId="0" applyNumberFormat="1" applyFont="1" applyBorder="1"/>
    <xf numFmtId="182" fontId="71" fillId="0" borderId="79" xfId="0" applyNumberFormat="1" applyFont="1" applyBorder="1"/>
    <xf numFmtId="182" fontId="71" fillId="0" borderId="114" xfId="0" applyNumberFormat="1" applyFont="1" applyBorder="1"/>
    <xf numFmtId="182" fontId="71" fillId="0" borderId="148" xfId="0" applyNumberFormat="1" applyFont="1" applyBorder="1"/>
    <xf numFmtId="182" fontId="71" fillId="0" borderId="74" xfId="0" applyNumberFormat="1" applyFont="1" applyBorder="1"/>
    <xf numFmtId="182" fontId="51" fillId="0" borderId="187" xfId="0" applyNumberFormat="1" applyFont="1" applyBorder="1"/>
    <xf numFmtId="0" fontId="51" fillId="0" borderId="188" xfId="0" applyFont="1" applyBorder="1"/>
    <xf numFmtId="182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2" fontId="51" fillId="0" borderId="50" xfId="0" applyNumberFormat="1" applyFont="1" applyBorder="1"/>
    <xf numFmtId="182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70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70" fontId="0" fillId="26" borderId="134" xfId="0" applyNumberFormat="1" applyFill="1" applyBorder="1" applyAlignment="1">
      <alignment vertical="top" wrapText="1"/>
    </xf>
    <xf numFmtId="170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2" fontId="66" fillId="0" borderId="180" xfId="0" applyNumberFormat="1" applyFont="1" applyBorder="1" applyAlignment="1">
      <alignment readingOrder="1"/>
    </xf>
    <xf numFmtId="182" fontId="66" fillId="0" borderId="102" xfId="0" applyNumberFormat="1" applyFont="1" applyBorder="1" applyAlignment="1">
      <alignment readingOrder="1"/>
    </xf>
    <xf numFmtId="182" fontId="67" fillId="0" borderId="159" xfId="0" applyNumberFormat="1" applyFont="1" applyBorder="1" applyAlignment="1">
      <alignment readingOrder="1"/>
    </xf>
    <xf numFmtId="182" fontId="67" fillId="0" borderId="136" xfId="0" applyNumberFormat="1" applyFont="1" applyBorder="1" applyAlignment="1">
      <alignment readingOrder="1"/>
    </xf>
    <xf numFmtId="182" fontId="67" fillId="0" borderId="157" xfId="0" applyNumberFormat="1" applyFont="1" applyBorder="1" applyAlignment="1">
      <alignment readingOrder="1"/>
    </xf>
    <xf numFmtId="182" fontId="66" fillId="0" borderId="160" xfId="0" applyNumberFormat="1" applyFont="1" applyBorder="1" applyAlignment="1">
      <alignment readingOrder="1"/>
    </xf>
    <xf numFmtId="182" fontId="66" fillId="20" borderId="161" xfId="0" applyNumberFormat="1" applyFont="1" applyFill="1" applyBorder="1" applyAlignment="1">
      <alignment readingOrder="1"/>
    </xf>
    <xf numFmtId="182" fontId="67" fillId="0" borderId="162" xfId="0" applyNumberFormat="1" applyFont="1" applyBorder="1" applyAlignment="1">
      <alignment readingOrder="1"/>
    </xf>
    <xf numFmtId="182" fontId="78" fillId="0" borderId="183" xfId="0" applyNumberFormat="1" applyFont="1" applyBorder="1" applyAlignment="1">
      <alignment readingOrder="1"/>
    </xf>
    <xf numFmtId="182" fontId="78" fillId="0" borderId="162" xfId="0" applyNumberFormat="1" applyFont="1" applyBorder="1" applyAlignment="1">
      <alignment readingOrder="1"/>
    </xf>
    <xf numFmtId="166" fontId="67" fillId="0" borderId="102" xfId="0" applyNumberFormat="1" applyFont="1" applyBorder="1" applyAlignment="1">
      <alignment readingOrder="1"/>
    </xf>
    <xf numFmtId="166" fontId="66" fillId="0" borderId="102" xfId="0" applyNumberFormat="1" applyFont="1" applyBorder="1" applyAlignment="1">
      <alignment readingOrder="1"/>
    </xf>
    <xf numFmtId="166" fontId="78" fillId="0" borderId="163" xfId="0" applyNumberFormat="1" applyFont="1" applyBorder="1" applyAlignment="1">
      <alignment readingOrder="1"/>
    </xf>
    <xf numFmtId="182" fontId="78" fillId="0" borderId="163" xfId="0" applyNumberFormat="1" applyFont="1" applyBorder="1" applyAlignment="1">
      <alignment readingOrder="1"/>
    </xf>
    <xf numFmtId="166" fontId="78" fillId="0" borderId="161" xfId="0" applyNumberFormat="1" applyFont="1" applyBorder="1" applyAlignment="1">
      <alignment readingOrder="1"/>
    </xf>
    <xf numFmtId="182" fontId="78" fillId="0" borderId="160" xfId="0" applyNumberFormat="1" applyFont="1" applyBorder="1" applyAlignment="1">
      <alignment readingOrder="1"/>
    </xf>
    <xf numFmtId="182" fontId="66" fillId="0" borderId="159" xfId="0" applyNumberFormat="1" applyFont="1" applyBorder="1" applyAlignment="1">
      <alignment readingOrder="1"/>
    </xf>
    <xf numFmtId="182" fontId="67" fillId="0" borderId="156" xfId="0" applyNumberFormat="1" applyFont="1" applyBorder="1" applyAlignment="1">
      <alignment readingOrder="1"/>
    </xf>
    <xf numFmtId="182" fontId="66" fillId="0" borderId="156" xfId="0" applyNumberFormat="1" applyFont="1" applyBorder="1" applyAlignment="1">
      <alignment readingOrder="1"/>
    </xf>
    <xf numFmtId="182" fontId="78" fillId="0" borderId="161" xfId="0" applyNumberFormat="1" applyFont="1" applyBorder="1" applyAlignment="1">
      <alignment readingOrder="1"/>
    </xf>
    <xf numFmtId="182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2" fontId="0" fillId="0" borderId="0" xfId="0" applyNumberFormat="1"/>
    <xf numFmtId="182" fontId="63" fillId="0" borderId="64" xfId="0" applyNumberFormat="1" applyFont="1" applyBorder="1"/>
    <xf numFmtId="182" fontId="63" fillId="0" borderId="103" xfId="0" applyNumberFormat="1" applyFont="1" applyBorder="1"/>
    <xf numFmtId="182" fontId="63" fillId="0" borderId="0" xfId="0" applyNumberFormat="1" applyFont="1"/>
    <xf numFmtId="182" fontId="63" fillId="0" borderId="26" xfId="0" applyNumberFormat="1" applyFont="1" applyBorder="1"/>
    <xf numFmtId="182" fontId="51" fillId="0" borderId="103" xfId="0" applyNumberFormat="1" applyFont="1" applyBorder="1"/>
    <xf numFmtId="182" fontId="63" fillId="0" borderId="114" xfId="0" applyNumberFormat="1" applyFont="1" applyBorder="1"/>
    <xf numFmtId="182" fontId="63" fillId="0" borderId="140" xfId="0" applyNumberFormat="1" applyFont="1" applyBorder="1"/>
    <xf numFmtId="182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1" fontId="71" fillId="0" borderId="102" xfId="0" applyNumberFormat="1" applyFont="1" applyBorder="1" applyAlignment="1">
      <alignment horizontal="center"/>
    </xf>
    <xf numFmtId="169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1" fontId="68" fillId="27" borderId="102" xfId="0" applyNumberFormat="1" applyFont="1" applyFill="1" applyBorder="1" applyAlignment="1">
      <alignment horizontal="center"/>
    </xf>
    <xf numFmtId="169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5" fontId="51" fillId="0" borderId="79" xfId="0" applyNumberFormat="1" applyFont="1" applyBorder="1"/>
    <xf numFmtId="185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9" fontId="4" fillId="0" borderId="9" xfId="0" applyNumberFormat="1" applyFont="1" applyBorder="1" applyAlignment="1">
      <alignment horizontal="center"/>
    </xf>
    <xf numFmtId="182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5" fontId="71" fillId="0" borderId="112" xfId="0" applyNumberFormat="1" applyFont="1" applyBorder="1"/>
    <xf numFmtId="182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164" fontId="2" fillId="0" borderId="203" xfId="0" applyNumberFormat="1" applyFont="1" applyBorder="1"/>
    <xf numFmtId="164" fontId="2" fillId="0" borderId="204" xfId="0" applyNumberFormat="1" applyFont="1" applyBorder="1"/>
    <xf numFmtId="0" fontId="2" fillId="0" borderId="205" xfId="0" applyFont="1" applyBorder="1"/>
    <xf numFmtId="164" fontId="2" fillId="0" borderId="206" xfId="0" applyNumberFormat="1" applyFont="1" applyBorder="1"/>
    <xf numFmtId="164" fontId="65" fillId="0" borderId="103" xfId="0" applyNumberFormat="1" applyFont="1" applyBorder="1"/>
    <xf numFmtId="185" fontId="51" fillId="0" borderId="93" xfId="0" applyNumberFormat="1" applyFont="1" applyBorder="1"/>
    <xf numFmtId="185" fontId="51" fillId="0" borderId="112" xfId="0" applyNumberFormat="1" applyFont="1" applyBorder="1"/>
    <xf numFmtId="182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2" fontId="71" fillId="0" borderId="102" xfId="0" applyNumberFormat="1" applyFont="1" applyBorder="1"/>
    <xf numFmtId="182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2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2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2" fontId="66" fillId="15" borderId="180" xfId="0" applyNumberFormat="1" applyFont="1" applyFill="1" applyBorder="1" applyAlignment="1">
      <alignment readingOrder="1"/>
    </xf>
    <xf numFmtId="182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6" fontId="51" fillId="0" borderId="209" xfId="0" applyNumberFormat="1" applyFont="1" applyBorder="1"/>
    <xf numFmtId="10" fontId="51" fillId="0" borderId="210" xfId="0" applyNumberFormat="1" applyFont="1" applyBorder="1"/>
    <xf numFmtId="186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6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6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2" fontId="51" fillId="21" borderId="93" xfId="0" applyNumberFormat="1" applyFont="1" applyFill="1" applyBorder="1"/>
    <xf numFmtId="182" fontId="51" fillId="15" borderId="93" xfId="0" applyNumberFormat="1" applyFont="1" applyFill="1" applyBorder="1"/>
    <xf numFmtId="182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164" fontId="71" fillId="0" borderId="102" xfId="0" applyNumberFormat="1" applyFont="1" applyBorder="1"/>
    <xf numFmtId="0" fontId="62" fillId="9" borderId="102" xfId="0" applyFont="1" applyFill="1" applyBorder="1"/>
    <xf numFmtId="164" fontId="68" fillId="0" borderId="102" xfId="0" applyNumberFormat="1" applyFont="1" applyBorder="1"/>
    <xf numFmtId="182" fontId="51" fillId="18" borderId="93" xfId="0" applyNumberFormat="1" applyFont="1" applyFill="1" applyBorder="1"/>
    <xf numFmtId="182" fontId="51" fillId="18" borderId="112" xfId="0" applyNumberFormat="1" applyFont="1" applyFill="1" applyBorder="1"/>
    <xf numFmtId="182" fontId="63" fillId="0" borderId="150" xfId="0" applyNumberFormat="1" applyFont="1" applyBorder="1"/>
    <xf numFmtId="182" fontId="63" fillId="0" borderId="74" xfId="0" applyNumberFormat="1" applyFont="1" applyBorder="1"/>
    <xf numFmtId="182" fontId="63" fillId="18" borderId="93" xfId="0" applyNumberFormat="1" applyFont="1" applyFill="1" applyBorder="1"/>
    <xf numFmtId="182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5" fontId="51" fillId="18" borderId="93" xfId="0" applyNumberFormat="1" applyFont="1" applyFill="1" applyBorder="1"/>
    <xf numFmtId="182" fontId="51" fillId="18" borderId="114" xfId="0" applyNumberFormat="1" applyFont="1" applyFill="1" applyBorder="1"/>
    <xf numFmtId="169" fontId="4" fillId="31" borderId="58" xfId="0" applyNumberFormat="1" applyFont="1" applyFill="1" applyBorder="1" applyAlignment="1">
      <alignment horizontal="center"/>
    </xf>
    <xf numFmtId="169" fontId="4" fillId="31" borderId="61" xfId="0" applyNumberFormat="1" applyFont="1" applyFill="1" applyBorder="1" applyAlignment="1">
      <alignment horizontal="center"/>
    </xf>
    <xf numFmtId="0" fontId="4" fillId="31" borderId="88" xfId="0" applyFont="1" applyFill="1" applyBorder="1"/>
    <xf numFmtId="0" fontId="3" fillId="31" borderId="58" xfId="0" applyFont="1" applyFill="1" applyBorder="1"/>
    <xf numFmtId="164" fontId="3" fillId="31" borderId="95" xfId="0" applyNumberFormat="1" applyFont="1" applyFill="1" applyBorder="1"/>
    <xf numFmtId="0" fontId="4" fillId="20" borderId="88" xfId="0" applyFont="1" applyFill="1" applyBorder="1"/>
    <xf numFmtId="164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164" fontId="71" fillId="0" borderId="136" xfId="0" applyNumberFormat="1" applyFont="1" applyBorder="1"/>
    <xf numFmtId="169" fontId="3" fillId="0" borderId="58" xfId="0" applyNumberFormat="1" applyFont="1" applyBorder="1" applyAlignment="1">
      <alignment horizontal="right"/>
    </xf>
    <xf numFmtId="169" fontId="3" fillId="0" borderId="86" xfId="0" applyNumberFormat="1" applyFont="1" applyBorder="1" applyAlignment="1">
      <alignment horizontal="right"/>
    </xf>
    <xf numFmtId="182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2" fontId="51" fillId="20" borderId="95" xfId="0" applyNumberFormat="1" applyFont="1" applyFill="1" applyBorder="1"/>
    <xf numFmtId="0" fontId="96" fillId="0" borderId="56" xfId="0" applyFont="1" applyBorder="1"/>
    <xf numFmtId="182" fontId="64" fillId="18" borderId="93" xfId="0" applyNumberFormat="1" applyFont="1" applyFill="1" applyBorder="1"/>
    <xf numFmtId="182" fontId="64" fillId="18" borderId="112" xfId="0" applyNumberFormat="1" applyFont="1" applyFill="1" applyBorder="1"/>
    <xf numFmtId="182" fontId="71" fillId="18" borderId="58" xfId="0" applyNumberFormat="1" applyFont="1" applyFill="1" applyBorder="1"/>
    <xf numFmtId="182" fontId="71" fillId="18" borderId="74" xfId="0" applyNumberFormat="1" applyFont="1" applyFill="1" applyBorder="1"/>
    <xf numFmtId="0" fontId="96" fillId="0" borderId="113" xfId="0" applyFont="1" applyBorder="1"/>
    <xf numFmtId="182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5" fontId="0" fillId="0" borderId="0" xfId="0" applyNumberFormat="1"/>
    <xf numFmtId="9" fontId="51" fillId="0" borderId="103" xfId="0" applyNumberFormat="1" applyFont="1" applyBorder="1"/>
    <xf numFmtId="185" fontId="51" fillId="0" borderId="42" xfId="0" applyNumberFormat="1" applyFont="1" applyBorder="1"/>
    <xf numFmtId="0" fontId="66" fillId="0" borderId="137" xfId="0" applyFont="1" applyBorder="1" applyAlignment="1">
      <alignment readingOrder="1"/>
    </xf>
    <xf numFmtId="0" fontId="66" fillId="20" borderId="102" xfId="0" applyFont="1" applyFill="1" applyBorder="1" applyAlignment="1">
      <alignment readingOrder="1"/>
    </xf>
    <xf numFmtId="0" fontId="66" fillId="0" borderId="15" xfId="0" applyFont="1" applyBorder="1" applyAlignment="1">
      <alignment readingOrder="1"/>
    </xf>
    <xf numFmtId="0" fontId="78" fillId="0" borderId="15" xfId="0" applyFont="1" applyBorder="1" applyAlignment="1">
      <alignment readingOrder="1"/>
    </xf>
    <xf numFmtId="0" fontId="66" fillId="20" borderId="15" xfId="0" applyFont="1" applyFill="1" applyBorder="1" applyAlignment="1">
      <alignment readingOrder="1"/>
    </xf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2" fontId="3" fillId="0" borderId="65" xfId="0" applyNumberFormat="1" applyFont="1" applyBorder="1" applyAlignment="1">
      <alignment horizontal="center" vertical="center"/>
    </xf>
    <xf numFmtId="172" fontId="3" fillId="0" borderId="66" xfId="0" applyNumberFormat="1" applyFont="1" applyBorder="1" applyAlignment="1">
      <alignment horizontal="center" vertical="center"/>
    </xf>
    <xf numFmtId="172" fontId="3" fillId="0" borderId="67" xfId="0" applyNumberFormat="1" applyFont="1" applyBorder="1" applyAlignment="1">
      <alignment horizontal="center" vertical="center"/>
    </xf>
    <xf numFmtId="0" fontId="39" fillId="0" borderId="46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98" fillId="23" borderId="71" xfId="0" applyFont="1" applyFill="1" applyBorder="1" applyAlignment="1">
      <alignment readingOrder="1"/>
    </xf>
    <xf numFmtId="0" fontId="66" fillId="23" borderId="126" xfId="0" applyFont="1" applyFill="1" applyBorder="1" applyAlignment="1">
      <alignment readingOrder="1"/>
    </xf>
    <xf numFmtId="0" fontId="78" fillId="0" borderId="103" xfId="0" applyFont="1" applyBorder="1" applyAlignment="1">
      <alignment readingOrder="1"/>
    </xf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72" fillId="0" borderId="0" xfId="0" applyFont="1" applyAlignment="1">
      <alignment horizontal="center"/>
    </xf>
    <xf numFmtId="18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166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5" fillId="23" borderId="0" xfId="0" applyFont="1" applyFill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5" fillId="23" borderId="103" xfId="0" applyFont="1" applyFill="1" applyBorder="1" applyAlignment="1">
      <alignment readingOrder="1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68" fillId="27" borderId="111" xfId="0" applyFont="1" applyFill="1" applyBorder="1" applyAlignment="1">
      <alignment horizontal="center" wrapText="1"/>
    </xf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49" fillId="12" borderId="46" xfId="0" applyFont="1" applyFill="1" applyBorder="1" applyAlignment="1">
      <alignment horizontal="center"/>
    </xf>
    <xf numFmtId="0" fontId="2" fillId="22" borderId="2" xfId="0" applyFont="1" applyFill="1" applyBorder="1" applyAlignment="1"/>
    <xf numFmtId="0" fontId="2" fillId="22" borderId="3" xfId="0" applyFont="1" applyFill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0" fontId="0" fillId="0" borderId="0" xfId="0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2" fillId="0" borderId="37" xfId="0" applyFont="1" applyBorder="1" applyAlignment="1"/>
    <xf numFmtId="0" fontId="0" fillId="14" borderId="38" xfId="0" applyFill="1" applyBorder="1" applyAlignment="1"/>
    <xf numFmtId="0" fontId="0" fillId="14" borderId="39" xfId="0" applyFill="1" applyBorder="1" applyAlignment="1"/>
    <xf numFmtId="0" fontId="0" fillId="14" borderId="40" xfId="0" applyFill="1" applyBorder="1" applyAlignment="1"/>
    <xf numFmtId="0" fontId="2" fillId="0" borderId="39" xfId="0" applyFont="1" applyBorder="1" applyAlignment="1"/>
    <xf numFmtId="0" fontId="2" fillId="0" borderId="40" xfId="0" applyFont="1" applyBorder="1" applyAlignment="1"/>
    <xf numFmtId="0" fontId="2" fillId="22" borderId="44" xfId="0" applyFont="1" applyFill="1" applyBorder="1" applyAlignment="1"/>
    <xf numFmtId="0" fontId="2" fillId="22" borderId="45" xfId="0" applyFont="1" applyFill="1" applyBorder="1" applyAlignment="1"/>
    <xf numFmtId="0" fontId="2" fillId="22" borderId="5" xfId="0" applyFont="1" applyFill="1" applyBorder="1" applyAlignment="1"/>
    <xf numFmtId="0" fontId="2" fillId="22" borderId="6" xfId="0" applyFont="1" applyFill="1" applyBorder="1" applyAlignment="1"/>
    <xf numFmtId="0" fontId="2" fillId="0" borderId="72" xfId="0" applyFont="1" applyBorder="1" applyAlignment="1"/>
    <xf numFmtId="0" fontId="2" fillId="0" borderId="69" xfId="0" applyFont="1" applyBorder="1" applyAlignment="1"/>
    <xf numFmtId="0" fontId="2" fillId="0" borderId="50" xfId="0" applyFont="1" applyBorder="1" applyAlignment="1"/>
    <xf numFmtId="0" fontId="2" fillId="0" borderId="51" xfId="0" applyFont="1" applyBorder="1" applyAlignment="1"/>
    <xf numFmtId="0" fontId="2" fillId="0" borderId="60" xfId="0" applyFont="1" applyBorder="1" applyAlignment="1"/>
    <xf numFmtId="0" fontId="44" fillId="0" borderId="46" xfId="0" applyFont="1" applyBorder="1" applyAlignment="1"/>
    <xf numFmtId="0" fontId="77" fillId="0" borderId="15" xfId="0" applyFont="1" applyBorder="1" applyAlignment="1"/>
    <xf numFmtId="0" fontId="77" fillId="0" borderId="102" xfId="0" applyFont="1" applyBorder="1" applyAlignment="1"/>
    <xf numFmtId="0" fontId="84" fillId="25" borderId="27" xfId="0" applyFont="1" applyFill="1" applyBorder="1" applyAlignment="1"/>
    <xf numFmtId="0" fontId="84" fillId="25" borderId="29" xfId="0" applyFont="1" applyFill="1" applyBorder="1" applyAlignment="1"/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'E-Costos'!$D$167:$D$187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'E-Costos'!$E$166:$E$187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80628171.105477259</c:v>
                </c:pt>
                <c:pt idx="2">
                  <c:v>80628171.105477259</c:v>
                </c:pt>
                <c:pt idx="3">
                  <c:v>80628171.105477259</c:v>
                </c:pt>
                <c:pt idx="4">
                  <c:v>80628171.105477259</c:v>
                </c:pt>
                <c:pt idx="5">
                  <c:v>80628171.105477259</c:v>
                </c:pt>
                <c:pt idx="6">
                  <c:v>80628171.105477259</c:v>
                </c:pt>
                <c:pt idx="7">
                  <c:v>80628171.105477259</c:v>
                </c:pt>
                <c:pt idx="8">
                  <c:v>80628171.105477259</c:v>
                </c:pt>
                <c:pt idx="9">
                  <c:v>80628171.105477259</c:v>
                </c:pt>
                <c:pt idx="10">
                  <c:v>80628171.105477259</c:v>
                </c:pt>
                <c:pt idx="11">
                  <c:v>80628171.105477259</c:v>
                </c:pt>
                <c:pt idx="12">
                  <c:v>80628171.105477259</c:v>
                </c:pt>
                <c:pt idx="13">
                  <c:v>80628171.105477259</c:v>
                </c:pt>
                <c:pt idx="14">
                  <c:v>80628171.105477259</c:v>
                </c:pt>
                <c:pt idx="15">
                  <c:v>80628171.105477259</c:v>
                </c:pt>
                <c:pt idx="16">
                  <c:v>80628171.105477259</c:v>
                </c:pt>
                <c:pt idx="17">
                  <c:v>80628171.105477259</c:v>
                </c:pt>
                <c:pt idx="18">
                  <c:v>80628171.105477259</c:v>
                </c:pt>
                <c:pt idx="19">
                  <c:v>80628171.105477259</c:v>
                </c:pt>
                <c:pt idx="20">
                  <c:v>80628171.105477259</c:v>
                </c:pt>
                <c:pt idx="21">
                  <c:v>80628171.105477259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'E-Costos'!$F$166:$F$187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65196904.330103934</c:v>
                </c:pt>
                <c:pt idx="3">
                  <c:v>130393808.66020787</c:v>
                </c:pt>
                <c:pt idx="4">
                  <c:v>195590712.9903118</c:v>
                </c:pt>
                <c:pt idx="5">
                  <c:v>260787617.32041574</c:v>
                </c:pt>
                <c:pt idx="6">
                  <c:v>325984521.65051967</c:v>
                </c:pt>
                <c:pt idx="7">
                  <c:v>391181425.9806236</c:v>
                </c:pt>
                <c:pt idx="8">
                  <c:v>456378330.31072754</c:v>
                </c:pt>
                <c:pt idx="9">
                  <c:v>521575234.64083147</c:v>
                </c:pt>
                <c:pt idx="10">
                  <c:v>586772138.97093546</c:v>
                </c:pt>
                <c:pt idx="11">
                  <c:v>651969043.30103934</c:v>
                </c:pt>
                <c:pt idx="12">
                  <c:v>717165947.63114333</c:v>
                </c:pt>
                <c:pt idx="13">
                  <c:v>782362851.96124721</c:v>
                </c:pt>
                <c:pt idx="14">
                  <c:v>847559756.2913512</c:v>
                </c:pt>
                <c:pt idx="15">
                  <c:v>912756660.62145507</c:v>
                </c:pt>
                <c:pt idx="16">
                  <c:v>977953564.95155907</c:v>
                </c:pt>
                <c:pt idx="17">
                  <c:v>1043150469.2816629</c:v>
                </c:pt>
                <c:pt idx="18">
                  <c:v>1108347373.6117668</c:v>
                </c:pt>
                <c:pt idx="19">
                  <c:v>1173544277.9418709</c:v>
                </c:pt>
                <c:pt idx="20">
                  <c:v>1238741182.2719748</c:v>
                </c:pt>
                <c:pt idx="21">
                  <c:v>1303938086.6020787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'E-Costos'!$C$167:$C$187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'E-Costos'!$G$166:$G$187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80628171.105477259</c:v>
                </c:pt>
                <c:pt idx="2">
                  <c:v>145825075.43558121</c:v>
                </c:pt>
                <c:pt idx="3">
                  <c:v>211021979.76568514</c:v>
                </c:pt>
                <c:pt idx="4">
                  <c:v>276218884.09578907</c:v>
                </c:pt>
                <c:pt idx="5">
                  <c:v>341415788.42589301</c:v>
                </c:pt>
                <c:pt idx="6">
                  <c:v>406612692.75599694</c:v>
                </c:pt>
                <c:pt idx="7">
                  <c:v>471809597.08610088</c:v>
                </c:pt>
                <c:pt idx="8">
                  <c:v>537006501.41620481</c:v>
                </c:pt>
                <c:pt idx="9">
                  <c:v>602203405.74630868</c:v>
                </c:pt>
                <c:pt idx="10">
                  <c:v>667400310.07641268</c:v>
                </c:pt>
                <c:pt idx="11">
                  <c:v>732597214.40651655</c:v>
                </c:pt>
                <c:pt idx="12">
                  <c:v>797794118.73662055</c:v>
                </c:pt>
                <c:pt idx="13">
                  <c:v>862991023.06672442</c:v>
                </c:pt>
                <c:pt idx="14">
                  <c:v>928187927.39682841</c:v>
                </c:pt>
                <c:pt idx="15">
                  <c:v>993384831.72693229</c:v>
                </c:pt>
                <c:pt idx="16">
                  <c:v>1058581736.0570363</c:v>
                </c:pt>
                <c:pt idx="17">
                  <c:v>1123778640.3871403</c:v>
                </c:pt>
                <c:pt idx="18">
                  <c:v>1188975544.7172441</c:v>
                </c:pt>
                <c:pt idx="19">
                  <c:v>1254172449.0473483</c:v>
                </c:pt>
                <c:pt idx="20">
                  <c:v>1319369353.3774521</c:v>
                </c:pt>
                <c:pt idx="21">
                  <c:v>1384566257.707556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'E-Costos'!$D$192:$D$212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'E-Costos'!$E$191:$E$212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97509462.060477257</c:v>
                </c:pt>
                <c:pt idx="2">
                  <c:v>97509462.060477257</c:v>
                </c:pt>
                <c:pt idx="3">
                  <c:v>97509462.060477257</c:v>
                </c:pt>
                <c:pt idx="4">
                  <c:v>97509462.060477257</c:v>
                </c:pt>
                <c:pt idx="5">
                  <c:v>97509462.060477257</c:v>
                </c:pt>
                <c:pt idx="6">
                  <c:v>97509462.060477257</c:v>
                </c:pt>
                <c:pt idx="7">
                  <c:v>97509462.060477257</c:v>
                </c:pt>
                <c:pt idx="8">
                  <c:v>97509462.060477257</c:v>
                </c:pt>
                <c:pt idx="9">
                  <c:v>97509462.060477257</c:v>
                </c:pt>
                <c:pt idx="10">
                  <c:v>97509462.060477257</c:v>
                </c:pt>
                <c:pt idx="11">
                  <c:v>97509462.060477257</c:v>
                </c:pt>
                <c:pt idx="12">
                  <c:v>97509462.060477257</c:v>
                </c:pt>
                <c:pt idx="13">
                  <c:v>97509462.060477257</c:v>
                </c:pt>
                <c:pt idx="14">
                  <c:v>97509462.060477257</c:v>
                </c:pt>
                <c:pt idx="15">
                  <c:v>97509462.060477257</c:v>
                </c:pt>
                <c:pt idx="16">
                  <c:v>97509462.060477257</c:v>
                </c:pt>
                <c:pt idx="17">
                  <c:v>97509462.060477257</c:v>
                </c:pt>
                <c:pt idx="18">
                  <c:v>97509462.060477257</c:v>
                </c:pt>
                <c:pt idx="19">
                  <c:v>97509462.060477257</c:v>
                </c:pt>
                <c:pt idx="20">
                  <c:v>97509462.060477257</c:v>
                </c:pt>
                <c:pt idx="21">
                  <c:v>97509462.060477257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'E-Costos'!$F$191:$F$212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168566796.05807105</c:v>
                </c:pt>
                <c:pt idx="3">
                  <c:v>337133592.11614209</c:v>
                </c:pt>
                <c:pt idx="4">
                  <c:v>505700388.17421311</c:v>
                </c:pt>
                <c:pt idx="5">
                  <c:v>674267184.23228419</c:v>
                </c:pt>
                <c:pt idx="6">
                  <c:v>842833980.29035521</c:v>
                </c:pt>
                <c:pt idx="7">
                  <c:v>1011400776.3484262</c:v>
                </c:pt>
                <c:pt idx="8">
                  <c:v>1179967572.4064972</c:v>
                </c:pt>
                <c:pt idx="9">
                  <c:v>1348534368.4645684</c:v>
                </c:pt>
                <c:pt idx="10">
                  <c:v>1517101164.5226395</c:v>
                </c:pt>
                <c:pt idx="11">
                  <c:v>1685667960.5807104</c:v>
                </c:pt>
                <c:pt idx="12">
                  <c:v>1854234756.6387815</c:v>
                </c:pt>
                <c:pt idx="13">
                  <c:v>2022801552.6968524</c:v>
                </c:pt>
                <c:pt idx="14">
                  <c:v>2191368348.7549238</c:v>
                </c:pt>
                <c:pt idx="15">
                  <c:v>2359935144.8129945</c:v>
                </c:pt>
                <c:pt idx="16">
                  <c:v>2528501940.8710656</c:v>
                </c:pt>
                <c:pt idx="17">
                  <c:v>2697068736.9291368</c:v>
                </c:pt>
                <c:pt idx="18">
                  <c:v>2865635532.9872074</c:v>
                </c:pt>
                <c:pt idx="19">
                  <c:v>3034202329.045279</c:v>
                </c:pt>
                <c:pt idx="20">
                  <c:v>3202769125.1033497</c:v>
                </c:pt>
                <c:pt idx="21">
                  <c:v>3371335921.1614208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'E-Costos'!$C$192:$C$212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'E-Costos'!$G$191:$G$212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97509462.060477257</c:v>
                </c:pt>
                <c:pt idx="2">
                  <c:v>266076258.1185483</c:v>
                </c:pt>
                <c:pt idx="3">
                  <c:v>434643054.17661935</c:v>
                </c:pt>
                <c:pt idx="4">
                  <c:v>603209850.23469043</c:v>
                </c:pt>
                <c:pt idx="5">
                  <c:v>771776646.29276145</c:v>
                </c:pt>
                <c:pt idx="6">
                  <c:v>940343442.35083246</c:v>
                </c:pt>
                <c:pt idx="7">
                  <c:v>1108910238.4089036</c:v>
                </c:pt>
                <c:pt idx="8">
                  <c:v>1277477034.4669745</c:v>
                </c:pt>
                <c:pt idx="9">
                  <c:v>1446043830.5250456</c:v>
                </c:pt>
                <c:pt idx="10">
                  <c:v>1614610626.5831168</c:v>
                </c:pt>
                <c:pt idx="11">
                  <c:v>1783177422.6411877</c:v>
                </c:pt>
                <c:pt idx="12">
                  <c:v>1951744218.6992588</c:v>
                </c:pt>
                <c:pt idx="13">
                  <c:v>2120311014.7573297</c:v>
                </c:pt>
                <c:pt idx="14">
                  <c:v>2288877810.8154011</c:v>
                </c:pt>
                <c:pt idx="15">
                  <c:v>2457444606.8734717</c:v>
                </c:pt>
                <c:pt idx="16">
                  <c:v>2626011402.9315429</c:v>
                </c:pt>
                <c:pt idx="17">
                  <c:v>2794578198.989614</c:v>
                </c:pt>
                <c:pt idx="18">
                  <c:v>2963144995.0476847</c:v>
                </c:pt>
                <c:pt idx="19">
                  <c:v>3131711791.1057563</c:v>
                </c:pt>
                <c:pt idx="20">
                  <c:v>3300278587.1638269</c:v>
                </c:pt>
                <c:pt idx="21">
                  <c:v>3468845383.2218981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85738707.514415264</c:v>
                </c:pt>
                <c:pt idx="1">
                  <c:v>85738707.514415264</c:v>
                </c:pt>
                <c:pt idx="2">
                  <c:v>85738707.514415264</c:v>
                </c:pt>
                <c:pt idx="3">
                  <c:v>85738707.514415264</c:v>
                </c:pt>
                <c:pt idx="4">
                  <c:v>85738707.514415264</c:v>
                </c:pt>
                <c:pt idx="5">
                  <c:v>85738707.514415264</c:v>
                </c:pt>
                <c:pt idx="6">
                  <c:v>85738707.514415264</c:v>
                </c:pt>
                <c:pt idx="7">
                  <c:v>85738707.514415264</c:v>
                </c:pt>
                <c:pt idx="8">
                  <c:v>85738707.514415264</c:v>
                </c:pt>
                <c:pt idx="9">
                  <c:v>85738707.514415264</c:v>
                </c:pt>
                <c:pt idx="10">
                  <c:v>85738707.514415264</c:v>
                </c:pt>
                <c:pt idx="11">
                  <c:v>85738707.514415264</c:v>
                </c:pt>
                <c:pt idx="12">
                  <c:v>85738707.514415264</c:v>
                </c:pt>
                <c:pt idx="13">
                  <c:v>85738707.514415264</c:v>
                </c:pt>
                <c:pt idx="14">
                  <c:v>85738707.514415264</c:v>
                </c:pt>
                <c:pt idx="15">
                  <c:v>85738707.514415264</c:v>
                </c:pt>
                <c:pt idx="16">
                  <c:v>85738707.514415264</c:v>
                </c:pt>
                <c:pt idx="17">
                  <c:v>85738707.514415264</c:v>
                </c:pt>
                <c:pt idx="18">
                  <c:v>85738707.514415264</c:v>
                </c:pt>
                <c:pt idx="19">
                  <c:v>85738707.514415264</c:v>
                </c:pt>
                <c:pt idx="20">
                  <c:v>85738707.514415264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65196904.330103934</c:v>
                </c:pt>
                <c:pt idx="2">
                  <c:v>130393808.66020787</c:v>
                </c:pt>
                <c:pt idx="3">
                  <c:v>195590712.9903118</c:v>
                </c:pt>
                <c:pt idx="4">
                  <c:v>260787617.32041574</c:v>
                </c:pt>
                <c:pt idx="5">
                  <c:v>325984521.65051967</c:v>
                </c:pt>
                <c:pt idx="6">
                  <c:v>391181425.9806236</c:v>
                </c:pt>
                <c:pt idx="7">
                  <c:v>456378330.31072754</c:v>
                </c:pt>
                <c:pt idx="8">
                  <c:v>521575234.64083147</c:v>
                </c:pt>
                <c:pt idx="9">
                  <c:v>586772138.97093546</c:v>
                </c:pt>
                <c:pt idx="10">
                  <c:v>651969043.30103934</c:v>
                </c:pt>
                <c:pt idx="11">
                  <c:v>717165947.63114333</c:v>
                </c:pt>
                <c:pt idx="12">
                  <c:v>782362851.96124721</c:v>
                </c:pt>
                <c:pt idx="13">
                  <c:v>847559756.2913512</c:v>
                </c:pt>
                <c:pt idx="14">
                  <c:v>912756660.62145507</c:v>
                </c:pt>
                <c:pt idx="15">
                  <c:v>977953564.95155907</c:v>
                </c:pt>
                <c:pt idx="16">
                  <c:v>1043150469.2816629</c:v>
                </c:pt>
                <c:pt idx="17">
                  <c:v>1108347373.6117668</c:v>
                </c:pt>
                <c:pt idx="18">
                  <c:v>1173544277.9418709</c:v>
                </c:pt>
                <c:pt idx="19">
                  <c:v>1238741182.2719748</c:v>
                </c:pt>
                <c:pt idx="20">
                  <c:v>1303938086.6020787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85738707.514415264</c:v>
                </c:pt>
                <c:pt idx="1">
                  <c:v>150935611.8445192</c:v>
                </c:pt>
                <c:pt idx="2">
                  <c:v>216132516.17462313</c:v>
                </c:pt>
                <c:pt idx="3">
                  <c:v>281329420.50472707</c:v>
                </c:pt>
                <c:pt idx="4">
                  <c:v>346526324.834831</c:v>
                </c:pt>
                <c:pt idx="5">
                  <c:v>411723229.16493493</c:v>
                </c:pt>
                <c:pt idx="6">
                  <c:v>476920133.49503887</c:v>
                </c:pt>
                <c:pt idx="7">
                  <c:v>542117037.82514286</c:v>
                </c:pt>
                <c:pt idx="8">
                  <c:v>607313942.15524673</c:v>
                </c:pt>
                <c:pt idx="9">
                  <c:v>672510846.48535073</c:v>
                </c:pt>
                <c:pt idx="10">
                  <c:v>737707750.8154546</c:v>
                </c:pt>
                <c:pt idx="11">
                  <c:v>802904655.1455586</c:v>
                </c:pt>
                <c:pt idx="12">
                  <c:v>868101559.47566247</c:v>
                </c:pt>
                <c:pt idx="13">
                  <c:v>933298463.80576646</c:v>
                </c:pt>
                <c:pt idx="14">
                  <c:v>998495368.13587034</c:v>
                </c:pt>
                <c:pt idx="15">
                  <c:v>1063692272.4659743</c:v>
                </c:pt>
                <c:pt idx="16">
                  <c:v>1128889176.7960782</c:v>
                </c:pt>
                <c:pt idx="17">
                  <c:v>1194086081.1261821</c:v>
                </c:pt>
                <c:pt idx="18">
                  <c:v>1259282985.4562862</c:v>
                </c:pt>
                <c:pt idx="19">
                  <c:v>1324479889.7863901</c:v>
                </c:pt>
                <c:pt idx="20">
                  <c:v>1389676794.1164939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208358740.14047724</c:v>
                </c:pt>
                <c:pt idx="1">
                  <c:v>208358740.14047724</c:v>
                </c:pt>
                <c:pt idx="2">
                  <c:v>208358740.14047724</c:v>
                </c:pt>
                <c:pt idx="3">
                  <c:v>208358740.14047724</c:v>
                </c:pt>
                <c:pt idx="4">
                  <c:v>208358740.14047724</c:v>
                </c:pt>
                <c:pt idx="5">
                  <c:v>208358740.14047724</c:v>
                </c:pt>
                <c:pt idx="6">
                  <c:v>208358740.14047724</c:v>
                </c:pt>
                <c:pt idx="7">
                  <c:v>208358740.14047724</c:v>
                </c:pt>
                <c:pt idx="8">
                  <c:v>208358740.14047724</c:v>
                </c:pt>
                <c:pt idx="9">
                  <c:v>208358740.14047724</c:v>
                </c:pt>
                <c:pt idx="10">
                  <c:v>208358740.14047724</c:v>
                </c:pt>
                <c:pt idx="11">
                  <c:v>208358740.14047724</c:v>
                </c:pt>
                <c:pt idx="12">
                  <c:v>208358740.14047724</c:v>
                </c:pt>
                <c:pt idx="13">
                  <c:v>208358740.14047724</c:v>
                </c:pt>
                <c:pt idx="14">
                  <c:v>208358740.14047724</c:v>
                </c:pt>
                <c:pt idx="15">
                  <c:v>208358740.14047724</c:v>
                </c:pt>
                <c:pt idx="16">
                  <c:v>208358740.14047724</c:v>
                </c:pt>
                <c:pt idx="17">
                  <c:v>208358740.14047724</c:v>
                </c:pt>
                <c:pt idx="18">
                  <c:v>208358740.14047724</c:v>
                </c:pt>
                <c:pt idx="19">
                  <c:v>208358740.14047724</c:v>
                </c:pt>
                <c:pt idx="20">
                  <c:v>208358740.14047724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60784997.637353927</c:v>
                </c:pt>
                <c:pt idx="2">
                  <c:v>121569995.27470785</c:v>
                </c:pt>
                <c:pt idx="3">
                  <c:v>182354992.91206175</c:v>
                </c:pt>
                <c:pt idx="4">
                  <c:v>243139990.54941571</c:v>
                </c:pt>
                <c:pt idx="5">
                  <c:v>303924988.1867696</c:v>
                </c:pt>
                <c:pt idx="6">
                  <c:v>364709985.8241235</c:v>
                </c:pt>
                <c:pt idx="7">
                  <c:v>425494983.4614774</c:v>
                </c:pt>
                <c:pt idx="8">
                  <c:v>486279981.09883142</c:v>
                </c:pt>
                <c:pt idx="9">
                  <c:v>547064978.73618531</c:v>
                </c:pt>
                <c:pt idx="10">
                  <c:v>607849976.37353921</c:v>
                </c:pt>
                <c:pt idx="11">
                  <c:v>668634974.01089323</c:v>
                </c:pt>
                <c:pt idx="12">
                  <c:v>729419971.648247</c:v>
                </c:pt>
                <c:pt idx="13">
                  <c:v>790204969.28560102</c:v>
                </c:pt>
                <c:pt idx="14">
                  <c:v>850989966.9229548</c:v>
                </c:pt>
                <c:pt idx="15">
                  <c:v>911774964.56030881</c:v>
                </c:pt>
                <c:pt idx="16">
                  <c:v>972559962.19766283</c:v>
                </c:pt>
                <c:pt idx="17">
                  <c:v>1033344959.8350166</c:v>
                </c:pt>
                <c:pt idx="18">
                  <c:v>1094129957.4723706</c:v>
                </c:pt>
                <c:pt idx="19">
                  <c:v>1154914955.1097245</c:v>
                </c:pt>
                <c:pt idx="20">
                  <c:v>1215699952.7470784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208358740.14047724</c:v>
                </c:pt>
                <c:pt idx="1">
                  <c:v>269143737.7778312</c:v>
                </c:pt>
                <c:pt idx="2">
                  <c:v>329928735.41518509</c:v>
                </c:pt>
                <c:pt idx="3">
                  <c:v>390713733.05253899</c:v>
                </c:pt>
                <c:pt idx="4">
                  <c:v>451498730.68989295</c:v>
                </c:pt>
                <c:pt idx="5">
                  <c:v>512283728.32724684</c:v>
                </c:pt>
                <c:pt idx="6">
                  <c:v>573068725.9646008</c:v>
                </c:pt>
                <c:pt idx="7">
                  <c:v>633853723.6019547</c:v>
                </c:pt>
                <c:pt idx="8">
                  <c:v>694638721.2393086</c:v>
                </c:pt>
                <c:pt idx="9">
                  <c:v>755423718.87666249</c:v>
                </c:pt>
                <c:pt idx="10">
                  <c:v>816208716.51401639</c:v>
                </c:pt>
                <c:pt idx="11">
                  <c:v>876993714.15137053</c:v>
                </c:pt>
                <c:pt idx="12">
                  <c:v>937778711.78872418</c:v>
                </c:pt>
                <c:pt idx="13">
                  <c:v>998563709.42607832</c:v>
                </c:pt>
                <c:pt idx="14">
                  <c:v>1059348707.063432</c:v>
                </c:pt>
                <c:pt idx="15">
                  <c:v>1120133704.7007861</c:v>
                </c:pt>
                <c:pt idx="16">
                  <c:v>1180918702.33814</c:v>
                </c:pt>
                <c:pt idx="17">
                  <c:v>1241703699.9754939</c:v>
                </c:pt>
                <c:pt idx="18">
                  <c:v>1302488697.6128478</c:v>
                </c:pt>
                <c:pt idx="19">
                  <c:v>1363273695.2502017</c:v>
                </c:pt>
                <c:pt idx="20">
                  <c:v>1424058692.8875556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165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190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workbookViewId="0">
      <selection activeCell="L13" sqref="L13"/>
    </sheetView>
  </sheetViews>
  <sheetFormatPr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56" t="s">
        <v>0</v>
      </c>
      <c r="C2" s="1053"/>
      <c r="D2" s="1053"/>
      <c r="E2" s="1053"/>
      <c r="F2" s="1053"/>
      <c r="G2" s="1054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3">
        <f>2.5</f>
        <v>2.5</v>
      </c>
      <c r="L4" s="273">
        <f>2.5</f>
        <v>2.5</v>
      </c>
      <c r="M4" s="273">
        <f>2.5</f>
        <v>2.5</v>
      </c>
      <c r="N4" s="273">
        <f>2.5</f>
        <v>2.5</v>
      </c>
      <c r="O4" s="273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3">
        <f>2.5</f>
        <v>2.5</v>
      </c>
      <c r="D6" s="273">
        <f>2.5</f>
        <v>2.5</v>
      </c>
      <c r="E6" s="273">
        <f>2.5</f>
        <v>2.5</v>
      </c>
      <c r="F6" s="273">
        <f>2.5</f>
        <v>2.5</v>
      </c>
      <c r="G6" s="273">
        <f>2.5</f>
        <v>2.5</v>
      </c>
      <c r="J6" s="258" t="s">
        <v>11</v>
      </c>
      <c r="K6" s="271">
        <v>1050</v>
      </c>
      <c r="L6" s="271">
        <v>1050</v>
      </c>
      <c r="M6" s="271">
        <v>1050</v>
      </c>
      <c r="N6" s="271">
        <v>1050</v>
      </c>
      <c r="O6" s="272">
        <v>1050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4">
        <f>K6*K3*1000</f>
        <v>1417500000</v>
      </c>
      <c r="L7" s="274">
        <f>L6*L3*1000</f>
        <v>1984500000</v>
      </c>
      <c r="M7" s="274">
        <f>M6*M3*1000</f>
        <v>1984500000</v>
      </c>
      <c r="N7" s="274">
        <f>N6*N3*1000</f>
        <v>1984500000</v>
      </c>
      <c r="O7" s="274">
        <f>O6*O3*1000</f>
        <v>1984500000</v>
      </c>
    </row>
    <row r="8" spans="2:27" ht="12.75" customHeight="1">
      <c r="B8" s="258" t="s">
        <v>11</v>
      </c>
      <c r="C8" s="271">
        <v>1050</v>
      </c>
      <c r="D8" s="271">
        <v>1050</v>
      </c>
      <c r="E8" s="271">
        <v>1050</v>
      </c>
      <c r="F8" s="271">
        <v>1050</v>
      </c>
      <c r="G8" s="272">
        <v>1050</v>
      </c>
      <c r="K8" s="232">
        <f>K7/K5</f>
        <v>2625</v>
      </c>
      <c r="L8" s="232">
        <f>L7/L5</f>
        <v>2625</v>
      </c>
      <c r="M8" s="232">
        <f>M7/M5</f>
        <v>2625</v>
      </c>
      <c r="N8" s="232">
        <f>N7/N5</f>
        <v>2625</v>
      </c>
      <c r="O8" s="232">
        <f>O7/O5</f>
        <v>2625</v>
      </c>
    </row>
    <row r="9" spans="2:27" ht="12.75" customHeight="1">
      <c r="B9" s="259" t="s">
        <v>12</v>
      </c>
      <c r="C9" s="274">
        <f>C8*2.5*C7</f>
        <v>1417500000</v>
      </c>
      <c r="D9" s="274">
        <f>D8*2.5*D7</f>
        <v>1984500000</v>
      </c>
      <c r="E9" s="274">
        <f>E8*2.5*E7</f>
        <v>1984500000</v>
      </c>
      <c r="F9" s="274">
        <f>F8*2.5*F7</f>
        <v>1984500000</v>
      </c>
      <c r="G9" s="274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57" t="s">
        <v>13</v>
      </c>
      <c r="K10" s="958"/>
      <c r="L10" s="958"/>
      <c r="M10" s="958"/>
      <c r="N10" s="959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56" t="s">
        <v>18</v>
      </c>
      <c r="C12" s="1053"/>
      <c r="D12" s="1053"/>
      <c r="E12" s="1053"/>
      <c r="F12" s="1053"/>
      <c r="G12" s="1054"/>
      <c r="J12" s="278" t="s">
        <v>19</v>
      </c>
      <c r="K12" s="279">
        <v>0</v>
      </c>
      <c r="L12" s="280">
        <f>1598*1000</f>
        <v>1598000</v>
      </c>
      <c r="M12" s="281">
        <f>1000*L3</f>
        <v>1890000</v>
      </c>
      <c r="N12" s="282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3" t="s">
        <v>23</v>
      </c>
      <c r="K13" s="279">
        <v>0</v>
      </c>
      <c r="L13" s="280">
        <f>37.058824*1000</f>
        <v>37058.824000000001</v>
      </c>
      <c r="M13" s="284">
        <f>1000*37.0588235</f>
        <v>37058.823500000006</v>
      </c>
      <c r="N13" s="282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3" t="s">
        <v>25</v>
      </c>
      <c r="K14" s="279">
        <v>0</v>
      </c>
      <c r="L14" s="588">
        <f>1617*1000</f>
        <v>1617000</v>
      </c>
      <c r="M14" s="285">
        <f>1000*1890</f>
        <v>1890000</v>
      </c>
      <c r="N14" s="282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6" t="s">
        <v>28</v>
      </c>
      <c r="K15" s="279">
        <v>0</v>
      </c>
      <c r="L15" s="280">
        <v>0</v>
      </c>
      <c r="M15" s="284">
        <v>0</v>
      </c>
      <c r="N15" s="282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5">
        <v>149</v>
      </c>
      <c r="D16" s="3" t="s">
        <v>27</v>
      </c>
      <c r="E16" s="3"/>
      <c r="F16" s="3"/>
      <c r="G16" s="11"/>
      <c r="J16" s="286" t="s">
        <v>30</v>
      </c>
      <c r="K16" s="279">
        <v>0</v>
      </c>
      <c r="L16" s="280">
        <f>1000*42</f>
        <v>42000</v>
      </c>
      <c r="M16" s="284">
        <f>1000*42</f>
        <v>42000</v>
      </c>
      <c r="N16" s="282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6">
        <f>AVERAGE(C15:C16)</f>
        <v>145</v>
      </c>
      <c r="D17" s="8" t="s">
        <v>27</v>
      </c>
      <c r="E17" s="8"/>
      <c r="F17" s="8"/>
      <c r="G17" s="9"/>
      <c r="J17" s="286" t="s">
        <v>33</v>
      </c>
      <c r="K17" s="279">
        <v>0</v>
      </c>
      <c r="L17" s="279">
        <f>1000*1659</f>
        <v>1659000</v>
      </c>
      <c r="M17" s="279">
        <f>1000*1890</f>
        <v>1890000</v>
      </c>
      <c r="N17" s="282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6" t="s">
        <v>34</v>
      </c>
      <c r="K18" s="279">
        <v>0</v>
      </c>
      <c r="L18" s="279">
        <f>1000*165</f>
        <v>165000</v>
      </c>
      <c r="M18" s="279">
        <f>1000*165</f>
        <v>165000</v>
      </c>
      <c r="N18" s="282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7"/>
      <c r="E19" s="263"/>
      <c r="F19" s="263"/>
      <c r="G19" s="264"/>
      <c r="J19" s="286" t="s">
        <v>36</v>
      </c>
      <c r="K19" s="572">
        <v>1616.5531900000001</v>
      </c>
      <c r="L19" s="279">
        <f>1000*208</f>
        <v>208000</v>
      </c>
      <c r="M19" s="279">
        <f>1000*1682</f>
        <v>1682000</v>
      </c>
      <c r="N19" s="282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6" t="s">
        <v>38</v>
      </c>
      <c r="K20" s="279">
        <f>ROUNDUP(K19/C6,0)</f>
        <v>647</v>
      </c>
      <c r="L20" s="279"/>
      <c r="M20" s="279"/>
      <c r="N20" s="282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60" t="s">
        <v>40</v>
      </c>
      <c r="L21" s="961"/>
      <c r="M21" s="961"/>
      <c r="N21" s="962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8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3" t="s">
        <v>23</v>
      </c>
      <c r="L24" s="184">
        <f t="shared" ref="L24:M30" si="0">L13/4</f>
        <v>9264.7060000000001</v>
      </c>
      <c r="M24" s="185">
        <f t="shared" si="0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3" t="s">
        <v>25</v>
      </c>
      <c r="L25" s="184">
        <f t="shared" si="0"/>
        <v>404250</v>
      </c>
      <c r="M25" s="185">
        <f t="shared" si="0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6" t="s">
        <v>28</v>
      </c>
      <c r="L26" s="184">
        <f t="shared" si="0"/>
        <v>0</v>
      </c>
      <c r="M26" s="185">
        <f t="shared" si="0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6" t="s">
        <v>30</v>
      </c>
      <c r="L27" s="184">
        <f t="shared" si="0"/>
        <v>10500</v>
      </c>
      <c r="M27" s="185">
        <f t="shared" si="0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6" t="s">
        <v>33</v>
      </c>
      <c r="L28" s="184">
        <f>L17/4</f>
        <v>414750</v>
      </c>
      <c r="M28" s="185">
        <f t="shared" si="0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6" t="s">
        <v>34</v>
      </c>
      <c r="L29" s="184">
        <f t="shared" si="0"/>
        <v>41250</v>
      </c>
      <c r="M29" s="185">
        <f t="shared" si="0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6" t="s">
        <v>36</v>
      </c>
      <c r="L30" s="184">
        <f t="shared" si="0"/>
        <v>52000</v>
      </c>
      <c r="M30" s="185">
        <f t="shared" si="0"/>
        <v>420500</v>
      </c>
      <c r="N30" s="186" t="s">
        <v>45</v>
      </c>
      <c r="P30" s="180"/>
    </row>
    <row r="31" spans="2:27" ht="12.75" customHeight="1">
      <c r="B31" s="954" t="s">
        <v>54</v>
      </c>
      <c r="C31" s="955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workbookViewId="0">
      <selection activeCell="J9" sqref="J9"/>
    </sheetView>
  </sheetViews>
  <sheetFormatPr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79" t="s">
        <v>609</v>
      </c>
      <c r="I1" s="1075"/>
      <c r="J1" s="101">
        <v>30</v>
      </c>
      <c r="K1" s="3" t="s">
        <v>610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611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5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612</v>
      </c>
      <c r="B5" s="438"/>
      <c r="C5" s="438"/>
      <c r="D5" s="438"/>
      <c r="E5" s="438"/>
      <c r="F5" s="438"/>
      <c r="G5" s="439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613</v>
      </c>
      <c r="B6" s="441">
        <f>C6*B41</f>
        <v>2268000</v>
      </c>
      <c r="C6" s="441">
        <f>'E-Costos'!C115*$B$40</f>
        <v>28350000</v>
      </c>
      <c r="D6" s="441">
        <f>'E-Costos'!D115*$B$40</f>
        <v>39690000</v>
      </c>
      <c r="E6" s="441">
        <f>'E-Costos'!E115*$B$40</f>
        <v>39690000</v>
      </c>
      <c r="F6" s="441">
        <f>'E-Costos'!F115*$B$40</f>
        <v>39690000</v>
      </c>
      <c r="G6" s="441">
        <f>'E-Costos'!G115*$B$40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614</v>
      </c>
      <c r="B7" s="441">
        <v>0</v>
      </c>
      <c r="C7" s="441">
        <f>'E-Costos'!C115*'E-InvAT'!J1/365</f>
        <v>116506849.3150685</v>
      </c>
      <c r="D7" s="441">
        <f>'E-Costos'!D115*'E-InvAT'!J1/365</f>
        <v>163109589.04109588</v>
      </c>
      <c r="E7" s="441">
        <f>'E-Costos'!E115*'E-InvAT'!J1/365</f>
        <v>163109589.04109588</v>
      </c>
      <c r="F7" s="441">
        <f>'E-Costos'!F115*'E-InvAT'!J1/365</f>
        <v>163109589.04109588</v>
      </c>
      <c r="G7" s="441">
        <f>'E-Costos'!G115*'E-InvAT'!J1/365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40"/>
      <c r="B8" s="441"/>
      <c r="C8" s="441"/>
      <c r="D8" s="441"/>
      <c r="E8" s="441"/>
      <c r="F8" s="441"/>
      <c r="G8" s="44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7" t="s">
        <v>615</v>
      </c>
      <c r="B9" s="441">
        <f>SUM(B10:B13)</f>
        <v>959473.54645999998</v>
      </c>
      <c r="C9" s="441">
        <f>SUM(C10:C13)</f>
        <v>55294810.721755765</v>
      </c>
      <c r="D9" s="441">
        <f>SUM(D10:D13)</f>
        <v>54608276.754817523</v>
      </c>
      <c r="E9" s="441">
        <f>SUM(E10:E13)</f>
        <v>54607848.637369618</v>
      </c>
      <c r="F9" s="441">
        <f t="shared" ref="F9:G9" si="0">SUM(F10:F13)</f>
        <v>54607848.637369618</v>
      </c>
      <c r="G9" s="441">
        <f t="shared" si="0"/>
        <v>54607848.637369618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40" t="s">
        <v>616</v>
      </c>
      <c r="B10" s="441">
        <f>'CA Inv AT'!C10</f>
        <v>378273.44646000001</v>
      </c>
      <c r="C10" s="441">
        <f>'InfoInicial-CálcAux'!L18*'CA COSTOS'!D129</f>
        <v>38610000</v>
      </c>
      <c r="D10" s="441">
        <f>'InfoInicial-CálcAux'!M18*'CA COSTOS'!D129</f>
        <v>38610000</v>
      </c>
      <c r="E10" s="441">
        <f t="shared" ref="E10:G10" si="1">D10</f>
        <v>38610000</v>
      </c>
      <c r="F10" s="441">
        <f t="shared" si="1"/>
        <v>38610000</v>
      </c>
      <c r="G10" s="442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617</v>
      </c>
      <c r="B11" s="441">
        <f>('CA COSTOS'!H9-'CA COSTOS'!H7)*'InfoInicial-CálcAux'!K20</f>
        <v>581200.1</v>
      </c>
      <c r="C11" s="441">
        <f>'CA COSTOS'!K90</f>
        <v>1552095.6661843751</v>
      </c>
      <c r="D11" s="441">
        <f>C11</f>
        <v>1552095.6661843751</v>
      </c>
      <c r="E11" s="441">
        <f t="shared" ref="E11" si="2">D11</f>
        <v>1552095.6661843751</v>
      </c>
      <c r="F11" s="441">
        <f>E11</f>
        <v>1552095.6661843751</v>
      </c>
      <c r="G11" s="442">
        <f>F11</f>
        <v>1552095.6661843751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618</v>
      </c>
      <c r="B12" s="441">
        <v>0</v>
      </c>
      <c r="C12" s="565">
        <f>'E-Costos'!C46</f>
        <v>13764328.938449906</v>
      </c>
      <c r="D12" s="441">
        <f>'E-Costos'!D46</f>
        <v>13295048.929780245</v>
      </c>
      <c r="E12" s="441">
        <f>'E-Costos'!E46</f>
        <v>13295048.929780245</v>
      </c>
      <c r="F12" s="441">
        <f>'E-Costos'!F46</f>
        <v>13295048.929780245</v>
      </c>
      <c r="G12" s="441">
        <f>'E-Costos'!G46</f>
        <v>13295048.929780245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3" t="s">
        <v>619</v>
      </c>
      <c r="B13" s="924">
        <v>0</v>
      </c>
      <c r="C13" s="925">
        <f>'E-Costos'!C132+B13</f>
        <v>1368386.117121489</v>
      </c>
      <c r="D13" s="925">
        <f>'E-Costos'!D132+C13</f>
        <v>1151132.1588529081</v>
      </c>
      <c r="E13" s="925">
        <f>'E-Costos'!E132+D13</f>
        <v>1150704.0414049989</v>
      </c>
      <c r="F13" s="925">
        <f>'E-Costos'!F132+E13</f>
        <v>1150704.0414049989</v>
      </c>
      <c r="G13" s="925">
        <f>'E-Costos'!G132+F13</f>
        <v>1150704.0414049989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/>
      <c r="B14" s="441"/>
      <c r="C14" s="441">
        <f>C13-'E-Costos'!C10</f>
        <v>-23937664.88850002</v>
      </c>
      <c r="D14" s="441">
        <f>D13-'E-Costos'!D10</f>
        <v>-24154918.846768599</v>
      </c>
      <c r="E14" s="441">
        <f>E13-'E-Costos'!E10</f>
        <v>-24155346.964216508</v>
      </c>
      <c r="F14" s="441">
        <f>F13-'E-Costos'!F10</f>
        <v>-24155346.964216508</v>
      </c>
      <c r="G14" s="441">
        <f>G13-'E-Costos'!G10</f>
        <v>-24155346.964216508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7" t="s">
        <v>620</v>
      </c>
      <c r="B15" s="441">
        <f>B9+B6+B7</f>
        <v>3227473.5464599999</v>
      </c>
      <c r="C15" s="441">
        <f>C9+C6+C7</f>
        <v>200151660.03682429</v>
      </c>
      <c r="D15" s="441">
        <f>D9+D6+D7</f>
        <v>257407865.7959134</v>
      </c>
      <c r="E15" s="441">
        <f>E9+E6+E7</f>
        <v>257407437.67846549</v>
      </c>
      <c r="F15" s="441">
        <f t="shared" ref="F15:G15" si="3">F9+F6+F7</f>
        <v>257407437.67846549</v>
      </c>
      <c r="G15" s="441">
        <f t="shared" si="3"/>
        <v>257407437.67846549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7" t="s">
        <v>621</v>
      </c>
      <c r="B16" s="441"/>
      <c r="C16" s="441"/>
      <c r="D16" s="441"/>
      <c r="E16" s="441"/>
      <c r="F16" s="441"/>
      <c r="G16" s="4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622</v>
      </c>
      <c r="B17" s="441">
        <v>0</v>
      </c>
      <c r="C17" s="441">
        <f>'E-Costos'!C37</f>
        <v>2441540.8715268783</v>
      </c>
      <c r="D17" s="441">
        <f>'E-Costos'!D37</f>
        <v>2088873.7445059293</v>
      </c>
      <c r="E17" s="441">
        <f>'E-Costos'!E37</f>
        <v>2088873.7445059293</v>
      </c>
      <c r="F17" s="441">
        <f>'E-Costos'!F37</f>
        <v>2088873.7445059293</v>
      </c>
      <c r="G17" s="442">
        <f>'E-Costos'!G37</f>
        <v>2088873.7445059293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40" t="s">
        <v>623</v>
      </c>
      <c r="B18" s="441">
        <v>0</v>
      </c>
      <c r="C18" s="441">
        <f>(('E-Costos'!C10-'E-Costos'!C37)/'InfoInicial-CálcAux'!L14)*'InfoInicial-CálcAux'!L13</f>
        <v>524014.75380682084</v>
      </c>
      <c r="D18" s="441">
        <f>(('E-Costos'!D10-'E-Costos'!D37)/'InfoInicial-CálcAux'!M14)*'InfoInicial-CálcAux'!M13</f>
        <v>455238.76946449507</v>
      </c>
      <c r="E18" s="441">
        <f>(('E-Costos'!E10-'E-Costos'!E37)/'InfoInicial-CálcAux'!M14)*'InfoInicial-CálcAux'!M13</f>
        <v>455238.76946449507</v>
      </c>
      <c r="F18" s="441">
        <f>(('E-Costos'!F10-'E-Costos'!F37)/'InfoInicial-CálcAux'!M14)*'InfoInicial-CálcAux'!M13</f>
        <v>455238.76946449507</v>
      </c>
      <c r="G18" s="442">
        <f>(('E-Costos'!G10-'E-Costos'!G37)/'InfoInicial-CálcAux'!M14)*'InfoInicial-CálcAux'!M13</f>
        <v>455238.76946449507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 t="s">
        <v>624</v>
      </c>
      <c r="B19" s="441">
        <v>0</v>
      </c>
      <c r="C19" s="441">
        <f>C7*'E-Costos'!C148</f>
        <v>3872733.4389022202</v>
      </c>
      <c r="D19" s="441">
        <f>D7*'E-Costos'!D148</f>
        <v>32151817.312259052</v>
      </c>
      <c r="E19" s="441">
        <f>E7*'E-Costos'!E148</f>
        <v>32185906.434397426</v>
      </c>
      <c r="F19" s="441">
        <f>F7*'E-Costos'!F148</f>
        <v>32185927.705383502</v>
      </c>
      <c r="G19" s="441">
        <f>G7*'E-Costos'!G148</f>
        <v>32185927.705383502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40" t="s">
        <v>625</v>
      </c>
      <c r="B20" s="441">
        <v>0</v>
      </c>
      <c r="C20" s="441">
        <f>('E-Costos'!C152-C17-C18)/365*J1</f>
        <v>1732207.6298635667</v>
      </c>
      <c r="D20" s="441">
        <f>('E-Costos'!D152-D17-D18)/365*J1</f>
        <v>1766846.7897016441</v>
      </c>
      <c r="E20" s="441">
        <f>('E-Costos'!E152-E17-E18)/365*J1</f>
        <v>1766846.7897016441</v>
      </c>
      <c r="F20" s="441">
        <f>('E-Costos'!F152-F17-F18)/365*J1</f>
        <v>1766846.7897016441</v>
      </c>
      <c r="G20" s="441">
        <f>('E-Costos'!G152-G17-G18)/365*J1</f>
        <v>1766846.7897016441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/>
      <c r="B21" s="441"/>
      <c r="C21" s="441"/>
      <c r="D21" s="441"/>
      <c r="E21" s="441"/>
      <c r="F21" s="441"/>
      <c r="G21" s="4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7" t="s">
        <v>626</v>
      </c>
      <c r="B22" s="441">
        <f>B15-SUM(B17:B20)</f>
        <v>3227473.5464599999</v>
      </c>
      <c r="C22" s="441">
        <f>C15-SUM(C17:C20)</f>
        <v>191581163.3427248</v>
      </c>
      <c r="D22" s="441">
        <f>D15-SUM(D17:D20)</f>
        <v>220945089.17998227</v>
      </c>
      <c r="E22" s="441">
        <f t="shared" ref="E22:G22" si="4">E15-SUM(E17:E20)</f>
        <v>220910571.94039601</v>
      </c>
      <c r="F22" s="441">
        <f>F15-SUM(F17:F20)</f>
        <v>220910550.66940993</v>
      </c>
      <c r="G22" s="441">
        <f t="shared" si="4"/>
        <v>220910550.66940993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0"/>
      <c r="B23" s="441"/>
      <c r="C23" s="441"/>
      <c r="D23" s="441"/>
      <c r="E23" s="441"/>
      <c r="F23" s="441"/>
      <c r="G23" s="4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 t="s">
        <v>627</v>
      </c>
      <c r="B24" s="441">
        <f>B15</f>
        <v>3227473.5464599999</v>
      </c>
      <c r="C24" s="441">
        <f>C15-B15</f>
        <v>196924186.49036428</v>
      </c>
      <c r="D24" s="441">
        <f>D15-C15</f>
        <v>57256205.759089112</v>
      </c>
      <c r="E24" s="441">
        <f>E15-D15</f>
        <v>-428.11744791269302</v>
      </c>
      <c r="F24" s="441">
        <f t="shared" ref="F24" si="5">F15-E15</f>
        <v>0</v>
      </c>
      <c r="G24" s="442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7" t="s">
        <v>628</v>
      </c>
      <c r="B25" s="441">
        <f>B22</f>
        <v>3227473.5464599999</v>
      </c>
      <c r="C25" s="441">
        <f>C22-B22</f>
        <v>188353689.7962648</v>
      </c>
      <c r="D25" s="441">
        <f>D22-C22</f>
        <v>29363925.837257475</v>
      </c>
      <c r="E25" s="441">
        <f>E22-D22</f>
        <v>-34517.239586263895</v>
      </c>
      <c r="F25" s="441">
        <f>F22-E22</f>
        <v>-21.270986080169678</v>
      </c>
      <c r="G25" s="442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40"/>
      <c r="B26" s="441"/>
      <c r="C26" s="441"/>
      <c r="D26" s="441"/>
      <c r="E26" s="441"/>
      <c r="F26" s="441"/>
      <c r="G26" s="4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7" t="s">
        <v>629</v>
      </c>
      <c r="B27" s="441"/>
      <c r="C27" s="441"/>
      <c r="D27" s="441"/>
      <c r="E27" s="441"/>
      <c r="F27" s="441"/>
      <c r="G27" s="4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40" t="s">
        <v>630</v>
      </c>
      <c r="B28" s="441">
        <v>0</v>
      </c>
      <c r="C28" s="441">
        <f>(C7*0.21)-(B7*0.21)</f>
        <v>24466438.356164385</v>
      </c>
      <c r="D28" s="441">
        <f>(D7*0.21)-(C7*0.21)</f>
        <v>9786575.3424657471</v>
      </c>
      <c r="E28" s="441">
        <f t="shared" ref="E28:G28" si="6">(E7*0.21)-(D7*0.21)</f>
        <v>0</v>
      </c>
      <c r="F28" s="441">
        <f t="shared" si="6"/>
        <v>0</v>
      </c>
      <c r="G28" s="442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40" t="s">
        <v>631</v>
      </c>
      <c r="B29" s="4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40" t="s">
        <v>632</v>
      </c>
      <c r="B30" s="441">
        <f>InfoInicial!$B$3*B10</f>
        <v>79437.423756599994</v>
      </c>
      <c r="C30" s="441">
        <f>InfoInicial!$B$3*(C10-B10)</f>
        <v>8028662.5762433996</v>
      </c>
      <c r="D30" s="441">
        <f>InfoInicial!$B$3*(D10-C10)</f>
        <v>0</v>
      </c>
      <c r="E30" s="441">
        <f>InfoInicial!$B$3*(E10-D10)</f>
        <v>0</v>
      </c>
      <c r="F30" s="441">
        <f>InfoInicial!$B$3*(F10-E10)</f>
        <v>0</v>
      </c>
      <c r="G30" s="441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40" t="s">
        <v>633</v>
      </c>
      <c r="B31" s="441">
        <v>0</v>
      </c>
      <c r="C31" s="441">
        <f>(C11-B11)*InfoInicial!$B$3</f>
        <v>203888.06889871878</v>
      </c>
      <c r="D31" s="441">
        <f>(D11-C11)*InfoInicial!$B$3</f>
        <v>0</v>
      </c>
      <c r="E31" s="441">
        <f>(E11-D11)*InfoInicial!$B$3</f>
        <v>0</v>
      </c>
      <c r="F31" s="441">
        <f>(F11-E11)*InfoInicial!$B$3</f>
        <v>0</v>
      </c>
      <c r="G31" s="441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40" t="s">
        <v>634</v>
      </c>
      <c r="B32" s="441">
        <v>0</v>
      </c>
      <c r="C32" s="441">
        <f>0.21*('E-Costos'!C34+'E-Costos'!C39+'E-Costos'!C40)</f>
        <v>2219413.8813047796</v>
      </c>
      <c r="D32" s="441">
        <f>(D12-C12)*InfoInicial!B3</f>
        <v>-98548.801820628883</v>
      </c>
      <c r="E32" s="441">
        <f t="shared" ref="E32:G32" si="7">(E12*0.21)-(D12*0.21)</f>
        <v>0</v>
      </c>
      <c r="F32" s="441">
        <f t="shared" si="7"/>
        <v>0</v>
      </c>
      <c r="G32" s="442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6" t="s">
        <v>635</v>
      </c>
      <c r="B33" s="441">
        <v>0</v>
      </c>
      <c r="C33" s="441">
        <f>0.21*('CA COSTOS'!D165+'CA COSTOS'!D170+'CA COSTOS'!D171)</f>
        <v>5623286.1086045885</v>
      </c>
      <c r="D33" s="441">
        <f>(0.21*('CA COSTOS'!E165+'CA COSTOS'!E170+'CA COSTOS'!E171)-'E-InvAT'!C33)</f>
        <v>-947434.04139923863</v>
      </c>
      <c r="E33" s="443">
        <f>(0.21*('CA COSTOS'!F165+'CA COSTOS'!F170+'CA COSTOS'!F171)-(0.21*('CA COSTOS'!E165+'CA COSTOS'!E170+'CA COSTOS'!E171)))</f>
        <v>0</v>
      </c>
      <c r="F33" s="443">
        <f>(0.21*('CA COSTOS'!G165+'CA COSTOS'!G170+'CA COSTOS'!G171)-(0.21*('CA COSTOS'!F165+'CA COSTOS'!F170+'CA COSTOS'!F171)))</f>
        <v>0</v>
      </c>
      <c r="G33" s="444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7" t="s">
        <v>636</v>
      </c>
      <c r="B34" s="441">
        <f>SUM(B28:B33)</f>
        <v>79437.423756599994</v>
      </c>
      <c r="C34" s="441">
        <f>SUM(C28:C33)</f>
        <v>40541688.99121587</v>
      </c>
      <c r="D34" s="441">
        <f>SUM(D28:D33)</f>
        <v>8740592.4992458802</v>
      </c>
      <c r="E34" s="445">
        <f>SUM(E28:E33)</f>
        <v>0</v>
      </c>
      <c r="F34" s="445">
        <f t="shared" ref="F34:G34" si="8">SUM(F28:F33)</f>
        <v>0</v>
      </c>
      <c r="G34" s="445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40"/>
      <c r="B35" s="445"/>
      <c r="C35" s="445"/>
      <c r="D35" s="445"/>
      <c r="E35" s="445"/>
      <c r="F35" s="445"/>
      <c r="G35" s="4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7" t="s">
        <v>637</v>
      </c>
      <c r="B36" s="448">
        <f>B34+B25</f>
        <v>3306910.9702165998</v>
      </c>
      <c r="C36" s="448">
        <f>C34+C25</f>
        <v>228895378.78748065</v>
      </c>
      <c r="D36" s="448">
        <f>D34+D25</f>
        <v>38104518.336503357</v>
      </c>
      <c r="E36" s="448">
        <f t="shared" ref="E36:G36" si="9">E34+E25</f>
        <v>-34517.239586263895</v>
      </c>
      <c r="F36" s="448">
        <f t="shared" si="9"/>
        <v>-21.270986080169678</v>
      </c>
      <c r="G36" s="448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'E-Costos'!C132</f>
        <v>1368386.117121489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7" t="s">
        <v>638</v>
      </c>
      <c r="B40" s="902">
        <v>0.02</v>
      </c>
      <c r="C40" s="901" t="s">
        <v>639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7" t="s">
        <v>640</v>
      </c>
      <c r="B41" s="903">
        <v>0.08</v>
      </c>
      <c r="C41" s="901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workbookViewId="0">
      <selection activeCell="F37" sqref="F37"/>
    </sheetView>
  </sheetViews>
  <sheetFormatPr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641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5"/>
      <c r="B3" s="536" t="s">
        <v>642</v>
      </c>
      <c r="C3" s="536"/>
      <c r="D3" s="536"/>
      <c r="E3" s="536"/>
      <c r="F3" s="536"/>
      <c r="G3" s="53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8" t="s">
        <v>643</v>
      </c>
      <c r="B5" s="539"/>
      <c r="C5" s="438"/>
      <c r="D5" s="438"/>
      <c r="E5" s="438"/>
      <c r="F5" s="438"/>
      <c r="G5" s="4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40" t="s">
        <v>644</v>
      </c>
      <c r="B6" s="541"/>
      <c r="C6" s="441">
        <f>'E-Costos'!C7*InfoInicial!$B$3</f>
        <v>253068480</v>
      </c>
      <c r="D6" s="441">
        <f>'E-Costos'!D7*InfoInicial!$B$3</f>
        <v>235488708</v>
      </c>
      <c r="E6" s="441">
        <f>'E-Costos'!E7*InfoInicial!$B$3</f>
        <v>235488708</v>
      </c>
      <c r="F6" s="441">
        <f>'E-Costos'!F7*InfoInicial!$B$3</f>
        <v>235488708</v>
      </c>
      <c r="G6" s="441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40" t="s">
        <v>527</v>
      </c>
      <c r="B7" s="541"/>
      <c r="C7" s="441">
        <f>'E-Costos'!C12*InfoInicial!$B$3</f>
        <v>3757479.8929061629</v>
      </c>
      <c r="D7" s="441">
        <f>'E-Costos'!D12*InfoInicial!$B$3</f>
        <v>3520152.9709061626</v>
      </c>
      <c r="E7" s="441">
        <f>'E-Costos'!E12*InfoInicial!$B$3</f>
        <v>3520152.9709061626</v>
      </c>
      <c r="F7" s="441">
        <f>'E-Costos'!F12*InfoInicial!$B$3</f>
        <v>3520152.9709061626</v>
      </c>
      <c r="G7" s="441">
        <f>'E-Costos'!G12*InfoInicial!$B$3</f>
        <v>3520152.9709061626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40" t="s">
        <v>322</v>
      </c>
      <c r="B8" s="541"/>
      <c r="C8" s="441">
        <f>'E-Costos'!C13*InfoInicial!$B$3</f>
        <v>1659637.2683726104</v>
      </c>
      <c r="D8" s="441">
        <f>'E-Costos'!D13*InfoInicial!$B$3</f>
        <v>1659637.2683726104</v>
      </c>
      <c r="E8" s="441">
        <f>'E-Costos'!E13*InfoInicial!$B$3</f>
        <v>1659637.2683726104</v>
      </c>
      <c r="F8" s="441">
        <f>'E-Costos'!F13*InfoInicial!$B$3</f>
        <v>1659637.2683726104</v>
      </c>
      <c r="G8" s="441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40" t="s">
        <v>528</v>
      </c>
      <c r="B9" s="541"/>
      <c r="C9" s="441">
        <f>'E-Costos'!C14*0.21</f>
        <v>0</v>
      </c>
      <c r="D9" s="441">
        <f>'E-Costos'!D14*0.21</f>
        <v>0</v>
      </c>
      <c r="E9" s="441">
        <f>'E-Costos'!E14*0.21</f>
        <v>0</v>
      </c>
      <c r="F9" s="441">
        <f>'E-Costos'!F14*0.21</f>
        <v>0</v>
      </c>
      <c r="G9" s="441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40" t="s">
        <v>645</v>
      </c>
      <c r="B10" s="541"/>
      <c r="C10" s="441"/>
      <c r="D10" s="441"/>
      <c r="E10" s="441"/>
      <c r="F10" s="441"/>
      <c r="G10" s="4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40" t="s">
        <v>646</v>
      </c>
      <c r="B11" s="541"/>
      <c r="C11" s="441"/>
      <c r="D11" s="441"/>
      <c r="E11" s="441"/>
      <c r="F11" s="441"/>
      <c r="G11" s="4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2" t="s">
        <v>509</v>
      </c>
      <c r="B12" s="541"/>
      <c r="C12" s="441">
        <f>SUM(C6:C11)</f>
        <v>258485597.16127878</v>
      </c>
      <c r="D12" s="441">
        <f t="shared" ref="C12:G12" si="0">SUM(D6:D11)</f>
        <v>240668498.23927879</v>
      </c>
      <c r="E12" s="441">
        <f t="shared" si="0"/>
        <v>240668498.23927879</v>
      </c>
      <c r="F12" s="441">
        <f t="shared" si="0"/>
        <v>240668498.23927879</v>
      </c>
      <c r="G12" s="441">
        <f t="shared" si="0"/>
        <v>240668498.23927879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40" t="s">
        <v>647</v>
      </c>
      <c r="B13" s="541"/>
      <c r="C13" s="441">
        <f>('E-Costos'!H46-'E-Costos'!H35)*InfoInicial!B3</f>
        <v>11203531.635832371</v>
      </c>
      <c r="D13" s="441"/>
      <c r="E13" s="441"/>
      <c r="F13" s="441"/>
      <c r="G13" s="4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40" t="s">
        <v>648</v>
      </c>
      <c r="B14" s="541"/>
      <c r="C14" s="441"/>
      <c r="D14" s="441"/>
      <c r="E14" s="441"/>
      <c r="F14" s="441"/>
      <c r="G14" s="4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40" t="s">
        <v>649</v>
      </c>
      <c r="B15" s="541"/>
      <c r="C15" s="441">
        <f>'E-InvAT'!C32</f>
        <v>2219413.8813047796</v>
      </c>
      <c r="D15" s="441">
        <f>'E-InvAT'!D32</f>
        <v>-98548.801820628883</v>
      </c>
      <c r="E15" s="441">
        <f>'E-InvAT'!E32</f>
        <v>0</v>
      </c>
      <c r="F15" s="441">
        <f>'E-InvAT'!F32</f>
        <v>0</v>
      </c>
      <c r="G15" s="441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40" t="s">
        <v>650</v>
      </c>
      <c r="B16" s="541"/>
      <c r="C16" s="441">
        <f>'E-InvAT'!C33</f>
        <v>5623286.1086045885</v>
      </c>
      <c r="D16" s="441">
        <f>'E-InvAT'!D33</f>
        <v>-947434.04139923863</v>
      </c>
      <c r="E16" s="441">
        <f>'E-InvAT'!E33</f>
        <v>0</v>
      </c>
      <c r="F16" s="441">
        <f>'E-InvAT'!F33</f>
        <v>0</v>
      </c>
      <c r="G16" s="441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2" t="s">
        <v>651</v>
      </c>
      <c r="B17" s="541"/>
      <c r="C17" s="441">
        <f>C12-SUM(C13:C16)</f>
        <v>239439365.53553703</v>
      </c>
      <c r="D17" s="441">
        <f t="shared" ref="D17:G17" si="1">D12-SUM(D13:D16)</f>
        <v>241714481.08249867</v>
      </c>
      <c r="E17" s="441">
        <f t="shared" si="1"/>
        <v>240668498.23927879</v>
      </c>
      <c r="F17" s="441">
        <f t="shared" si="1"/>
        <v>240668498.23927879</v>
      </c>
      <c r="G17" s="441">
        <f t="shared" si="1"/>
        <v>240668498.23927879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2" t="s">
        <v>652</v>
      </c>
      <c r="B18" s="541"/>
      <c r="C18" s="441">
        <f>SUM('E-Costos'!C67:C70)*InfoInicial!$B$3</f>
        <v>295767.54789640522</v>
      </c>
      <c r="D18" s="441">
        <f>SUM('E-Costos'!D67:D70)*InfoInicial!$B$3</f>
        <v>282582.71889640519</v>
      </c>
      <c r="E18" s="441">
        <f>SUM('E-Costos'!E67:E70)*InfoInicial!$B$3</f>
        <v>282582.71889640519</v>
      </c>
      <c r="F18" s="441">
        <f>SUM('E-Costos'!F67:F70)*InfoInicial!$B$3</f>
        <v>282582.71889640519</v>
      </c>
      <c r="G18" s="441">
        <f>SUM('E-Costos'!G67:G70)*InfoInicial!$B$3</f>
        <v>282582.71889640519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2" t="s">
        <v>653</v>
      </c>
      <c r="B19" s="541"/>
      <c r="C19" s="441">
        <f>SUM('E-Costos'!C88:C92)*InfoInicial!$B$3</f>
        <v>1062988.9829392312</v>
      </c>
      <c r="D19" s="441">
        <f>SUM('E-Costos'!D88:D92)*InfoInicial!$B$3</f>
        <v>1049804.1539392313</v>
      </c>
      <c r="E19" s="441">
        <f>SUM('E-Costos'!E88:E92)*InfoInicial!$B$3</f>
        <v>1049804.1539392313</v>
      </c>
      <c r="F19" s="441">
        <f>SUM('E-Costos'!F88:F92)*InfoInicial!$B$3</f>
        <v>1049804.1539392313</v>
      </c>
      <c r="G19" s="441">
        <f>SUM('E-Costos'!G88:G92)*InfoInicial!$B$3</f>
        <v>1049804.1539392313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2"/>
      <c r="B20" s="541"/>
      <c r="C20" s="441"/>
      <c r="D20" s="441"/>
      <c r="E20" s="441"/>
      <c r="F20" s="441"/>
      <c r="G20" s="4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40" t="s">
        <v>654</v>
      </c>
      <c r="B21" s="541"/>
      <c r="C21" s="441">
        <f>SUM(C17:C19)</f>
        <v>240798122.06637269</v>
      </c>
      <c r="D21" s="441">
        <f t="shared" ref="D21:G21" si="2">SUM(D17:D19)</f>
        <v>243046867.95533431</v>
      </c>
      <c r="E21" s="441">
        <f t="shared" si="2"/>
        <v>242000885.11211443</v>
      </c>
      <c r="F21" s="441">
        <f t="shared" si="2"/>
        <v>242000885.11211443</v>
      </c>
      <c r="G21" s="441">
        <f t="shared" si="2"/>
        <v>242000885.11211443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40" t="s">
        <v>655</v>
      </c>
      <c r="B22" s="541"/>
      <c r="C22" s="441">
        <f>'E-Costos'!C115*InfoInicial!$B$3</f>
        <v>297675000</v>
      </c>
      <c r="D22" s="441">
        <f>'E-Costos'!D115*InfoInicial!$B$3</f>
        <v>416745000</v>
      </c>
      <c r="E22" s="441">
        <f>'E-Costos'!E115*InfoInicial!$B$3</f>
        <v>416745000</v>
      </c>
      <c r="F22" s="441">
        <f>'E-Costos'!F115*InfoInicial!$B$3</f>
        <v>416745000</v>
      </c>
      <c r="G22" s="441">
        <f>'E-Costos'!G115*InfoInicial!$B$3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2" t="s">
        <v>656</v>
      </c>
      <c r="B23" s="541"/>
      <c r="C23" s="441">
        <f>IF(C21&lt;0,C22+C21,C22-C21)</f>
        <v>56876877.933627307</v>
      </c>
      <c r="D23" s="441">
        <f t="shared" ref="C23:G23" si="3">IF(D21&lt;0,D22+D21,D22-D21)</f>
        <v>173698132.04466569</v>
      </c>
      <c r="E23" s="441">
        <f t="shared" si="3"/>
        <v>174744114.88788557</v>
      </c>
      <c r="F23" s="441">
        <f t="shared" si="3"/>
        <v>174744114.88788557</v>
      </c>
      <c r="G23" s="441">
        <f t="shared" si="3"/>
        <v>174744114.88788557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40"/>
      <c r="B24" s="541"/>
      <c r="C24" s="441"/>
      <c r="D24" s="441"/>
      <c r="E24" s="441"/>
      <c r="F24" s="441"/>
      <c r="G24" s="4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3" t="s">
        <v>657</v>
      </c>
      <c r="B25" s="541"/>
      <c r="C25" s="441">
        <f t="shared" ref="C25:D25" si="4">B27</f>
        <v>20669340.893819101</v>
      </c>
      <c r="D25" s="441">
        <f t="shared" si="4"/>
        <v>16517120.366813287</v>
      </c>
      <c r="E25" s="441">
        <f>D27</f>
        <v>0</v>
      </c>
      <c r="F25" s="441">
        <f>E27</f>
        <v>0</v>
      </c>
      <c r="G25" s="441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3" t="s">
        <v>658</v>
      </c>
      <c r="B26" s="541">
        <f>'E-Cal Inv.'!B23+'E-Cal Inv.'!C23</f>
        <v>20669340.893819101</v>
      </c>
      <c r="C26" s="441">
        <f>'E-Cal Inv.'!D23</f>
        <v>52724657.406621493</v>
      </c>
      <c r="D26" s="441">
        <f>'E-Cal Inv.'!E23</f>
        <v>12112306.262795007</v>
      </c>
      <c r="E26" s="441">
        <f>'E-Cal Inv.'!F23</f>
        <v>-89.90466406093212</v>
      </c>
      <c r="F26" s="441">
        <f>'E-Cal Inv.'!G23</f>
        <v>0</v>
      </c>
      <c r="G26" s="441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2" t="s">
        <v>659</v>
      </c>
      <c r="B27" s="541">
        <f>B26-B23</f>
        <v>20669340.893819101</v>
      </c>
      <c r="C27" s="441">
        <f>IF(C26+C25-C23&lt;0,0,C26+C25-C23)</f>
        <v>16517120.366813287</v>
      </c>
      <c r="D27" s="441">
        <f>IF(D26+D25-D23&lt;0,0,D26+D25-D23)</f>
        <v>0</v>
      </c>
      <c r="E27" s="441">
        <f t="shared" ref="D27:E27" si="5">IF(E26+E25-E23&lt;0,0,E26+E25-E23)</f>
        <v>0</v>
      </c>
      <c r="F27" s="441">
        <f>IF(F26+F25-F23&lt;0,0,F26+F25-F23)</f>
        <v>0</v>
      </c>
      <c r="G27" s="441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2" t="s">
        <v>660</v>
      </c>
      <c r="B28" s="541"/>
      <c r="C28" s="441">
        <f>B27-C27+C26</f>
        <v>56876877.933627307</v>
      </c>
      <c r="D28" s="441">
        <f t="shared" ref="D28:E28" si="7">C27-D27+D26</f>
        <v>28629426.629608296</v>
      </c>
      <c r="E28" s="441">
        <f t="shared" si="7"/>
        <v>-89.90466406093212</v>
      </c>
      <c r="F28" s="441">
        <f>E27-F27+F26</f>
        <v>0</v>
      </c>
      <c r="G28" s="441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40"/>
      <c r="B29" s="5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4" t="s">
        <v>661</v>
      </c>
      <c r="B30" s="544"/>
      <c r="C30" s="448">
        <f>C23-C28</f>
        <v>0</v>
      </c>
      <c r="D30" s="448">
        <f t="shared" ref="D30:G30" si="9">D23-D28</f>
        <v>145068705.41505739</v>
      </c>
      <c r="E30" s="448">
        <f t="shared" si="9"/>
        <v>174744204.79254964</v>
      </c>
      <c r="F30" s="448">
        <f t="shared" si="9"/>
        <v>174744114.88788557</v>
      </c>
      <c r="G30" s="448">
        <f t="shared" si="9"/>
        <v>174744114.88788557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topLeftCell="C1" workbookViewId="0">
      <selection activeCell="K12" sqref="K12"/>
    </sheetView>
  </sheetViews>
  <sheetFormatPr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662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663</v>
      </c>
      <c r="C4" s="104" t="s">
        <v>664</v>
      </c>
      <c r="D4" s="435" t="s">
        <v>2</v>
      </c>
      <c r="E4" s="435" t="s">
        <v>3</v>
      </c>
      <c r="F4" s="435" t="s">
        <v>4</v>
      </c>
      <c r="G4" s="435" t="s">
        <v>5</v>
      </c>
      <c r="H4" s="545" t="s">
        <v>6</v>
      </c>
      <c r="I4" s="436" t="s">
        <v>607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665</v>
      </c>
      <c r="B5" s="438"/>
      <c r="C5" s="438"/>
      <c r="D5" s="438"/>
      <c r="E5" s="438"/>
      <c r="F5" s="438"/>
      <c r="G5" s="438"/>
      <c r="H5" s="546"/>
      <c r="I5" s="4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666</v>
      </c>
      <c r="B6" s="441">
        <f>'E-Inv AF y Am'!B21</f>
        <v>61141048.631250001</v>
      </c>
      <c r="C6" s="441">
        <v>0</v>
      </c>
      <c r="D6" s="441">
        <v>0</v>
      </c>
      <c r="E6" s="441">
        <v>0</v>
      </c>
      <c r="F6" s="441">
        <v>0</v>
      </c>
      <c r="G6" s="441">
        <v>0</v>
      </c>
      <c r="H6" s="547">
        <v>0</v>
      </c>
      <c r="I6" s="442">
        <f t="shared" ref="I6:I7" si="0">SUM(B6:H6)</f>
        <v>61141048.631250001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667</v>
      </c>
      <c r="B7" s="441">
        <f>0</f>
        <v>0</v>
      </c>
      <c r="C7" s="441">
        <f>'E-Inv AF y Am'!B34</f>
        <v>34056910.649999999</v>
      </c>
      <c r="D7" s="441">
        <f>'E-Inv AF y Am'!C34</f>
        <v>57111166.309357546</v>
      </c>
      <c r="E7" s="441">
        <v>0</v>
      </c>
      <c r="F7" s="441">
        <v>0</v>
      </c>
      <c r="G7" s="441">
        <v>0</v>
      </c>
      <c r="H7" s="547">
        <v>0</v>
      </c>
      <c r="I7" s="442">
        <f t="shared" si="0"/>
        <v>91168076.959357545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7" t="s">
        <v>668</v>
      </c>
      <c r="B8" s="441">
        <f>SUM(B6:B7)</f>
        <v>61141048.631250001</v>
      </c>
      <c r="C8" s="441">
        <f>SUM(C6:C7)</f>
        <v>34056910.649999999</v>
      </c>
      <c r="D8" s="441">
        <f>SUM(D6:D7)</f>
        <v>57111166.309357546</v>
      </c>
      <c r="E8" s="441">
        <f t="shared" ref="E8:H8" si="1">SUM(E6:E7)</f>
        <v>0</v>
      </c>
      <c r="F8" s="441">
        <f t="shared" si="1"/>
        <v>0</v>
      </c>
      <c r="G8" s="441">
        <f t="shared" si="1"/>
        <v>0</v>
      </c>
      <c r="H8" s="441">
        <f t="shared" si="1"/>
        <v>0</v>
      </c>
      <c r="I8" s="442">
        <f>SUM(B8:H8)</f>
        <v>152309125.59060755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40"/>
      <c r="B9" s="441"/>
      <c r="C9" s="441"/>
      <c r="D9" s="441"/>
      <c r="E9" s="441"/>
      <c r="F9" s="441"/>
      <c r="G9" s="441"/>
      <c r="H9" s="547"/>
      <c r="I9" s="44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7" t="s">
        <v>669</v>
      </c>
      <c r="B10" s="441"/>
      <c r="C10" s="441"/>
      <c r="D10" s="441"/>
      <c r="E10" s="441"/>
      <c r="F10" s="441"/>
      <c r="G10" s="441"/>
      <c r="H10" s="547"/>
      <c r="I10" s="44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670</v>
      </c>
      <c r="B11" s="441"/>
      <c r="C11" s="441">
        <f>'E-InvAT'!B6</f>
        <v>2268000</v>
      </c>
      <c r="D11" s="441">
        <f>'E-InvAT'!C6-'E-InvAT'!B6</f>
        <v>26082000</v>
      </c>
      <c r="E11" s="441">
        <f>'E-InvAT'!D6-'E-InvAT'!C6</f>
        <v>11340000</v>
      </c>
      <c r="F11" s="441">
        <f>'E-InvAT'!E6-'E-InvAT'!D6</f>
        <v>0</v>
      </c>
      <c r="G11" s="441">
        <f>'E-InvAT'!F6-'E-InvAT'!E6</f>
        <v>0</v>
      </c>
      <c r="H11" s="547">
        <f>'E-InvAT'!G6-'E-InvAT'!F6</f>
        <v>0</v>
      </c>
      <c r="I11" s="442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671</v>
      </c>
      <c r="B12" s="441"/>
      <c r="C12" s="441"/>
      <c r="D12" s="921">
        <f>'E-InvAT'!C7</f>
        <v>116506849.3150685</v>
      </c>
      <c r="E12" s="921">
        <f>'E-InvAT'!D7-'E-InvAT'!C7</f>
        <v>46602739.726027384</v>
      </c>
      <c r="F12" s="921">
        <f>'E-InvAT'!E7-'E-InvAT'!D7</f>
        <v>0</v>
      </c>
      <c r="G12" s="921">
        <f>'E-InvAT'!F7-'E-InvAT'!E7</f>
        <v>0</v>
      </c>
      <c r="H12" s="921">
        <f>'E-InvAT'!G7-'E-InvAT'!F7</f>
        <v>0</v>
      </c>
      <c r="I12" s="922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40" t="s">
        <v>672</v>
      </c>
      <c r="B13" s="441"/>
      <c r="C13" s="441"/>
      <c r="D13" s="441"/>
      <c r="E13" s="441"/>
      <c r="F13" s="441"/>
      <c r="G13" s="441"/>
      <c r="H13" s="547"/>
      <c r="I13" s="44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 t="s">
        <v>673</v>
      </c>
      <c r="B14" s="441"/>
      <c r="C14" s="441">
        <f>'E-InvAT'!B10</f>
        <v>378273.44646000001</v>
      </c>
      <c r="D14" s="441">
        <f>'E-InvAT'!C10-'E-InvAT'!B10</f>
        <v>38231726.553539999</v>
      </c>
      <c r="E14" s="441">
        <f>'E-InvAT'!D10-'E-InvAT'!C10</f>
        <v>0</v>
      </c>
      <c r="F14" s="441">
        <f>'E-InvAT'!E10-'E-InvAT'!D10</f>
        <v>0</v>
      </c>
      <c r="G14" s="441">
        <f>'E-InvAT'!F10-'E-InvAT'!E10</f>
        <v>0</v>
      </c>
      <c r="H14" s="547">
        <f>'E-InvAT'!G10-'E-InvAT'!F10</f>
        <v>0</v>
      </c>
      <c r="I14" s="442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40" t="s">
        <v>674</v>
      </c>
      <c r="B15" s="441"/>
      <c r="C15" s="441">
        <f>'E-InvAT'!B11</f>
        <v>581200.1</v>
      </c>
      <c r="D15" s="441">
        <f>'E-InvAT'!C11-'E-InvAT'!B11</f>
        <v>970895.56618437509</v>
      </c>
      <c r="E15" s="441">
        <f>'E-InvAT'!D11-'E-InvAT'!C11</f>
        <v>0</v>
      </c>
      <c r="F15" s="441">
        <f>'E-InvAT'!E11-'E-InvAT'!D11</f>
        <v>0</v>
      </c>
      <c r="G15" s="441">
        <f>'E-InvAT'!F11-'E-InvAT'!E11</f>
        <v>0</v>
      </c>
      <c r="H15" s="547">
        <f>'E-InvAT'!G11-'E-InvAT'!F11</f>
        <v>0</v>
      </c>
      <c r="I15" s="442">
        <f t="shared" si="2"/>
        <v>1552095.6661843751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63" t="s">
        <v>675</v>
      </c>
      <c r="B16" s="441"/>
      <c r="C16" s="441"/>
      <c r="D16" s="921">
        <f>'E-Costos'!C47</f>
        <v>11322788.066923028</v>
      </c>
      <c r="E16" s="921">
        <f>'E-Costos'!D47-'E-Costos'!C47</f>
        <v>-116612.88164871186</v>
      </c>
      <c r="F16" s="921">
        <f>'E-Costos'!E47-'E-Costos'!D47</f>
        <v>0</v>
      </c>
      <c r="G16" s="921">
        <f>'E-Costos'!F47-'E-Costos'!E47</f>
        <v>0</v>
      </c>
      <c r="H16" s="921">
        <f>'E-Costos'!G47-'E-Costos'!F47</f>
        <v>0</v>
      </c>
      <c r="I16" s="922">
        <f t="shared" si="2"/>
        <v>11206175.185274316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676</v>
      </c>
      <c r="B17" s="441"/>
      <c r="C17" s="441"/>
      <c r="D17" s="441">
        <f>'E-InvAT'!C13-'E-InvAT'!C18</f>
        <v>844371.36331466818</v>
      </c>
      <c r="E17" s="441">
        <f>('E-InvAT'!D13-'E-InvAT'!D18)-('E-InvAT'!C13-'E-InvAT'!C18)</f>
        <v>-148477.97392625525</v>
      </c>
      <c r="F17" s="441">
        <f>('E-InvAT'!E13-'E-InvAT'!E18)-('E-InvAT'!D13-'E-InvAT'!D18)</f>
        <v>-428.11744790920056</v>
      </c>
      <c r="G17" s="441">
        <f>('E-InvAT'!F13-'E-InvAT'!F18)-('E-InvAT'!E13-'E-InvAT'!E18)</f>
        <v>0</v>
      </c>
      <c r="H17" s="441">
        <f>('E-InvAT'!G13-'E-InvAT'!G18)-('E-InvAT'!F13-'E-InvAT'!F18)</f>
        <v>0</v>
      </c>
      <c r="I17" s="442">
        <f t="shared" si="2"/>
        <v>695465.27194050374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7" t="s">
        <v>677</v>
      </c>
      <c r="B18" s="441"/>
      <c r="C18" s="441">
        <f>SUM(C11:C17)</f>
        <v>3227473.5464600003</v>
      </c>
      <c r="D18" s="441">
        <f>SUM(D11:D17)</f>
        <v>193958630.86503053</v>
      </c>
      <c r="E18" s="441">
        <f>SUM(E11:E17)</f>
        <v>57677648.870452419</v>
      </c>
      <c r="F18" s="441">
        <f t="shared" ref="E18:H18" si="3">SUM(F11:F17)</f>
        <v>-428.11744790920056</v>
      </c>
      <c r="G18" s="441">
        <f t="shared" si="3"/>
        <v>0</v>
      </c>
      <c r="H18" s="441">
        <f t="shared" si="3"/>
        <v>0</v>
      </c>
      <c r="I18" s="442">
        <f t="shared" si="2"/>
        <v>254863325.16449505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/>
      <c r="B19" s="441"/>
      <c r="C19" s="441"/>
      <c r="D19" s="441"/>
      <c r="E19" s="441"/>
      <c r="F19" s="441"/>
      <c r="G19" s="441"/>
      <c r="H19" s="547"/>
      <c r="I19" s="44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7" t="s">
        <v>678</v>
      </c>
      <c r="B20" s="441"/>
      <c r="C20" s="441"/>
      <c r="D20" s="441"/>
      <c r="E20" s="441"/>
      <c r="F20" s="441"/>
      <c r="G20" s="441"/>
      <c r="H20" s="547"/>
      <c r="I20" s="44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 t="s">
        <v>679</v>
      </c>
      <c r="B21" s="441">
        <f>B8*InfoInicial!B3</f>
        <v>12839620.2125625</v>
      </c>
      <c r="C21" s="441">
        <f>C8*InfoInicial!B3</f>
        <v>7151951.2364999996</v>
      </c>
      <c r="D21" s="441">
        <f>D8*InfoInicial!B3</f>
        <v>11993344.924965084</v>
      </c>
      <c r="E21" s="441">
        <f>E8*InfoInicial!B3</f>
        <v>0</v>
      </c>
      <c r="F21" s="441">
        <f>F8*InfoInicial!B3</f>
        <v>0</v>
      </c>
      <c r="G21" s="441">
        <f t="shared" ref="C21:H21" si="4">0.21*G8</f>
        <v>0</v>
      </c>
      <c r="H21" s="441">
        <f t="shared" si="4"/>
        <v>0</v>
      </c>
      <c r="I21" s="442">
        <f>SUM(B21:H21)</f>
        <v>31984916.374027584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40" t="s">
        <v>680</v>
      </c>
      <c r="C22" s="441">
        <f>C18*InfoInicial!B3</f>
        <v>677769.44475660007</v>
      </c>
      <c r="D22" s="441">
        <f>D18*InfoInicial!B3</f>
        <v>40731312.48165641</v>
      </c>
      <c r="E22" s="441">
        <f>E18*InfoInicial!B3</f>
        <v>12112306.262795007</v>
      </c>
      <c r="F22" s="441">
        <f>F18*InfoInicial!B3</f>
        <v>-89.90466406093212</v>
      </c>
      <c r="G22" s="441">
        <f>G18*InfoInicial!B3</f>
        <v>0</v>
      </c>
      <c r="H22" s="441">
        <f>H18*InfoInicial!B3</f>
        <v>0</v>
      </c>
      <c r="I22" s="442">
        <f>SUM(C22:H22)</f>
        <v>53521298.284543954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7" t="s">
        <v>681</v>
      </c>
      <c r="B23" s="441">
        <f>SUM(B21:B22)</f>
        <v>12839620.2125625</v>
      </c>
      <c r="C23" s="441">
        <f>SUM(C21:C22)</f>
        <v>7829720.6812565997</v>
      </c>
      <c r="D23" s="441">
        <f>SUM(D21:D22)</f>
        <v>52724657.406621493</v>
      </c>
      <c r="E23" s="441">
        <f t="shared" ref="E23:H23" si="5">SUM(E21:E22)</f>
        <v>12112306.262795007</v>
      </c>
      <c r="F23" s="441">
        <f t="shared" si="5"/>
        <v>-89.90466406093212</v>
      </c>
      <c r="G23" s="441">
        <f t="shared" si="5"/>
        <v>0</v>
      </c>
      <c r="H23" s="441">
        <f t="shared" si="5"/>
        <v>0</v>
      </c>
      <c r="I23" s="442">
        <f>SUM(B23:H23)</f>
        <v>85506214.658571541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/>
      <c r="B24" s="441"/>
      <c r="C24" s="441"/>
      <c r="D24" s="441"/>
      <c r="E24" s="441"/>
      <c r="F24" s="441"/>
      <c r="G24" s="441"/>
      <c r="H24" s="547"/>
      <c r="I24" s="4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7" t="s">
        <v>682</v>
      </c>
      <c r="B25" s="448">
        <f>B8+B18+B23</f>
        <v>73980668.843812495</v>
      </c>
      <c r="C25" s="448">
        <f>C8+C18+C23</f>
        <v>45114104.877716601</v>
      </c>
      <c r="D25" s="448">
        <f>D8+D18+D23</f>
        <v>303794454.58100957</v>
      </c>
      <c r="E25" s="448">
        <f t="shared" ref="E25:H25" si="6">E8+E18+E23</f>
        <v>69789955.13324742</v>
      </c>
      <c r="F25" s="448">
        <f t="shared" si="6"/>
        <v>-518.02211197013264</v>
      </c>
      <c r="G25" s="448">
        <f t="shared" si="6"/>
        <v>0</v>
      </c>
      <c r="H25" s="448">
        <f t="shared" si="6"/>
        <v>0</v>
      </c>
      <c r="I25" s="548">
        <f>SUM(B25:H25)</f>
        <v>492678665.41367412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I14" sqref="I14"/>
    </sheetView>
  </sheetViews>
  <sheetFormatPr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683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684</v>
      </c>
      <c r="B3" s="104" t="s">
        <v>685</v>
      </c>
      <c r="C3" s="104" t="s">
        <v>686</v>
      </c>
      <c r="D3" s="104" t="s">
        <v>687</v>
      </c>
      <c r="E3" s="104" t="s">
        <v>61</v>
      </c>
      <c r="F3" s="104" t="s">
        <v>688</v>
      </c>
      <c r="G3" s="104" t="s">
        <v>689</v>
      </c>
      <c r="H3" s="104" t="s">
        <v>690</v>
      </c>
      <c r="I3" s="104" t="s">
        <v>295</v>
      </c>
      <c r="J3" s="104" t="s">
        <v>691</v>
      </c>
      <c r="K3" s="104" t="s">
        <v>692</v>
      </c>
      <c r="L3" s="105" t="s">
        <v>693</v>
      </c>
      <c r="M3" s="106" t="s">
        <v>694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9">
        <f>'E-Inv AF y Am'!B36</f>
        <v>95197959.28125</v>
      </c>
      <c r="C4" s="438">
        <f>'E-Cal Inv.'!C18</f>
        <v>3227473.5464600003</v>
      </c>
      <c r="D4" s="438">
        <f>'E-Cal Inv.'!B23+'E-Cal Inv.'!C23</f>
        <v>20669340.893819101</v>
      </c>
      <c r="E4" s="438">
        <v>0</v>
      </c>
      <c r="F4" s="438">
        <v>0</v>
      </c>
      <c r="G4" s="438">
        <f>SUM(B4:F4)</f>
        <v>119094773.7215291</v>
      </c>
      <c r="H4" s="438">
        <v>0</v>
      </c>
      <c r="I4" s="438">
        <v>0</v>
      </c>
      <c r="J4" s="438">
        <v>0</v>
      </c>
      <c r="K4" s="438">
        <f t="shared" ref="K4:K8" si="0">SUM(H4:J4)</f>
        <v>0</v>
      </c>
      <c r="L4" s="546">
        <f t="shared" ref="L4:L9" si="1">K4-G4</f>
        <v>-119094773.7215291</v>
      </c>
      <c r="M4" s="439">
        <f>L4</f>
        <v>-119094773.7215291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1">
        <f>'E-Cal Inv.'!D8</f>
        <v>57111166.309357546</v>
      </c>
      <c r="C5" s="438">
        <f>'E-Cal Inv.'!D18</f>
        <v>193958630.86503053</v>
      </c>
      <c r="D5" s="441">
        <f>'E-Cal Inv.'!D23</f>
        <v>52724657.406621493</v>
      </c>
      <c r="E5" s="441">
        <f>'E-Costos'!C144</f>
        <v>5456208.4016515976</v>
      </c>
      <c r="F5" s="441">
        <f>'E-Costos'!C145</f>
        <v>25371369.067679927</v>
      </c>
      <c r="G5" s="438">
        <f>SUM(B5:F5)</f>
        <v>334622032.05034113</v>
      </c>
      <c r="H5" s="441">
        <f>'E-Costos'!C143</f>
        <v>77945834.309308529</v>
      </c>
      <c r="I5" s="441">
        <f>'E-Inv AF y Am'!D58</f>
        <v>25306051.005621508</v>
      </c>
      <c r="J5" s="441">
        <f>'E-IVA '!C28</f>
        <v>56876877.933627307</v>
      </c>
      <c r="K5" s="438">
        <f>SUM(H5:J5)</f>
        <v>160128763.24855733</v>
      </c>
      <c r="L5" s="546">
        <f t="shared" si="1"/>
        <v>-174493268.8017838</v>
      </c>
      <c r="M5" s="442">
        <f>M4+L5</f>
        <v>-293588042.52331293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1">
        <v>0</v>
      </c>
      <c r="C6" s="438">
        <f>'E-Cal Inv.'!E18</f>
        <v>57677648.870452419</v>
      </c>
      <c r="D6" s="441">
        <f>'E-Cal Inv.'!E23</f>
        <v>12112306.262795007</v>
      </c>
      <c r="E6" s="441">
        <f>'E-Costos'!D144</f>
        <v>45297983.585785426</v>
      </c>
      <c r="F6" s="441">
        <f>'E-Costos'!D145</f>
        <v>210635623.67390221</v>
      </c>
      <c r="G6" s="438">
        <f>SUM(B6:F6)</f>
        <v>325723562.39293504</v>
      </c>
      <c r="H6" s="441">
        <f>'E-Costos'!D143</f>
        <v>647114051.22550607</v>
      </c>
      <c r="I6" s="441">
        <f>'E-Inv AF y Am'!D58</f>
        <v>25306051.005621508</v>
      </c>
      <c r="J6" s="441">
        <f>'E-IVA '!D28</f>
        <v>28629426.629608296</v>
      </c>
      <c r="K6" s="438">
        <f t="shared" si="0"/>
        <v>701049528.86073589</v>
      </c>
      <c r="L6" s="546">
        <f t="shared" si="1"/>
        <v>375325966.46780086</v>
      </c>
      <c r="M6" s="442">
        <f t="shared" ref="M6:M8" si="2">M5+L6</f>
        <v>81737923.944487929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1">
        <v>0</v>
      </c>
      <c r="C7" s="438">
        <f>'E-Cal Inv.'!F18</f>
        <v>-428.11744790920056</v>
      </c>
      <c r="D7" s="441">
        <f>'E-Cal Inv.'!F23</f>
        <v>-89.90466406093212</v>
      </c>
      <c r="E7" s="441">
        <f>'E-Costos'!E144</f>
        <v>45346010.995249756</v>
      </c>
      <c r="F7" s="441">
        <f>'E-Costos'!E145</f>
        <v>210858951.12791133</v>
      </c>
      <c r="G7" s="438">
        <f>SUM(B7:F7)</f>
        <v>256204444.10104913</v>
      </c>
      <c r="H7" s="441">
        <f>'E-Costos'!E143</f>
        <v>647800157.07499647</v>
      </c>
      <c r="I7" s="441">
        <f>'E-Inv AF y Am'!D58</f>
        <v>25306051.005621508</v>
      </c>
      <c r="J7" s="441">
        <f>'E-IVA '!E28</f>
        <v>-89.90466406093212</v>
      </c>
      <c r="K7" s="438">
        <f>SUM(H7:J7)</f>
        <v>673106118.17595398</v>
      </c>
      <c r="L7" s="546">
        <f t="shared" si="1"/>
        <v>416901674.07490486</v>
      </c>
      <c r="M7" s="442">
        <f t="shared" si="2"/>
        <v>498639598.01939279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1">
        <v>0</v>
      </c>
      <c r="C8" s="438">
        <f>'E-Cal Inv.'!G18</f>
        <v>0</v>
      </c>
      <c r="D8" s="441">
        <f>'E-Cal Inv.'!G23</f>
        <v>0</v>
      </c>
      <c r="E8" s="441">
        <f>'E-Costos'!F144</f>
        <v>45346040.963471107</v>
      </c>
      <c r="F8" s="441">
        <f>'E-Costos'!F145</f>
        <v>210859090.48014063</v>
      </c>
      <c r="G8" s="438">
        <f t="shared" ref="G8" si="3">SUM(B8:F8)</f>
        <v>256205131.44361174</v>
      </c>
      <c r="H8" s="441">
        <f>'E-Costos'!F143</f>
        <v>647800585.19244432</v>
      </c>
      <c r="I8" s="441">
        <f>'E-Inv AF y Am'!E58</f>
        <v>25306051.005621508</v>
      </c>
      <c r="J8" s="441">
        <f>'E-IVA '!F28</f>
        <v>0</v>
      </c>
      <c r="K8" s="438">
        <f t="shared" si="0"/>
        <v>673106636.19806588</v>
      </c>
      <c r="L8" s="546">
        <f t="shared" si="1"/>
        <v>416901504.75445414</v>
      </c>
      <c r="M8" s="442">
        <f t="shared" si="2"/>
        <v>915541102.77384686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1">
        <f>-'E-Inv AF y Am'!G58</f>
        <v>-25778870.5625</v>
      </c>
      <c r="C9" s="441">
        <f>'E-Cal Inv.'!H18-'E-Cal Inv.'!I18</f>
        <v>-254863325.16449505</v>
      </c>
      <c r="D9" s="441">
        <f>'E-Cal Inv.'!H23</f>
        <v>0</v>
      </c>
      <c r="E9" s="441">
        <f>'E-Costos'!G144</f>
        <v>45346040.963471107</v>
      </c>
      <c r="F9" s="441">
        <f>'E-Costos'!G145</f>
        <v>210859090.48014063</v>
      </c>
      <c r="G9" s="438">
        <f>SUM(B9:F9)</f>
        <v>-24437064.28338331</v>
      </c>
      <c r="H9" s="441">
        <f>'E-Costos'!G143</f>
        <v>647800585.19244432</v>
      </c>
      <c r="I9" s="441">
        <f>'E-Inv AF y Am'!E58</f>
        <v>25306051.005621508</v>
      </c>
      <c r="J9" s="441">
        <f>'E-IVA '!G28</f>
        <v>0</v>
      </c>
      <c r="K9" s="438">
        <f>SUM(H9:J9)</f>
        <v>673106636.19806588</v>
      </c>
      <c r="L9" s="546">
        <f t="shared" si="1"/>
        <v>697543700.48144913</v>
      </c>
      <c r="M9" s="442">
        <f>M8+L9</f>
        <v>1613084803.255296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1"/>
      <c r="C10" s="441"/>
      <c r="D10" s="441"/>
      <c r="E10" s="441"/>
      <c r="F10" s="441"/>
      <c r="G10" s="441"/>
      <c r="H10" s="441"/>
      <c r="I10" s="441"/>
      <c r="J10" s="441"/>
      <c r="K10" s="441"/>
      <c r="L10" s="547"/>
      <c r="M10" s="4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695</v>
      </c>
      <c r="B11" s="544">
        <f>B4+B5+B9</f>
        <v>126530255.02810755</v>
      </c>
      <c r="C11" s="448">
        <f>SUM(C4:C10)</f>
        <v>0</v>
      </c>
      <c r="D11" s="448">
        <f t="shared" ref="D11:L11" si="4">SUM(D4:D9)</f>
        <v>85506214.658571541</v>
      </c>
      <c r="E11" s="448">
        <f>SUM(E4:E9)</f>
        <v>186792284.90962902</v>
      </c>
      <c r="F11" s="448">
        <f>SUM(F4:F9)</f>
        <v>868584124.82977486</v>
      </c>
      <c r="G11" s="448">
        <f>SUM(G4:G9)</f>
        <v>1267412879.4260826</v>
      </c>
      <c r="H11" s="448">
        <f>SUM(H4:H9)</f>
        <v>2668461212.9946995</v>
      </c>
      <c r="I11" s="448">
        <f>SUM(I4:I9)</f>
        <v>126530255.02810754</v>
      </c>
      <c r="J11" s="448">
        <f t="shared" si="4"/>
        <v>85506214.658571556</v>
      </c>
      <c r="K11" s="448">
        <f>SUM(K4:K9)</f>
        <v>2880497682.6813788</v>
      </c>
      <c r="L11" s="448">
        <f t="shared" si="4"/>
        <v>1613084803.255296</v>
      </c>
      <c r="M11" s="44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696</v>
      </c>
      <c r="D13" s="245">
        <f>L11</f>
        <v>1613084803.255296</v>
      </c>
      <c r="E13" s="3"/>
      <c r="F13" s="3"/>
      <c r="G13" s="3"/>
      <c r="H13" s="233">
        <f>H11-E11-F11</f>
        <v>1613084803.2552958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697</v>
      </c>
      <c r="D14" s="246">
        <f>2+(-M5/L6)</f>
        <v>2.7822215054457198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698</v>
      </c>
      <c r="D15" s="247">
        <f>IRR(L4:L9)</f>
        <v>0.94971595446092461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06" t="s">
        <v>699</v>
      </c>
      <c r="M16" s="105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06" t="s">
        <v>700</v>
      </c>
      <c r="M17" s="1056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701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702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703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3" t="s">
        <v>704</v>
      </c>
      <c r="B2" s="694"/>
      <c r="C2" s="694"/>
      <c r="D2" s="694"/>
      <c r="E2" s="694"/>
      <c r="F2" s="694"/>
      <c r="G2" s="694"/>
      <c r="H2" s="694"/>
      <c r="I2" s="694"/>
    </row>
    <row r="3" spans="1:10">
      <c r="E3" s="159"/>
      <c r="G3" s="159"/>
    </row>
    <row r="4" spans="1:10">
      <c r="A4" s="632" t="s">
        <v>705</v>
      </c>
      <c r="B4" s="632"/>
      <c r="C4" s="652"/>
      <c r="D4" s="652"/>
      <c r="E4" s="651">
        <f>InfoInicial!B38</f>
        <v>60</v>
      </c>
      <c r="F4" s="652" t="s">
        <v>706</v>
      </c>
      <c r="G4" s="653">
        <f>InfoInicial!B39</f>
        <v>0.5</v>
      </c>
      <c r="H4" s="652" t="s">
        <v>707</v>
      </c>
    </row>
    <row r="5" spans="1:10">
      <c r="A5" s="632" t="s">
        <v>708</v>
      </c>
      <c r="B5" s="652"/>
      <c r="C5" s="653">
        <f>InfoInicial!B40</f>
        <v>0.6</v>
      </c>
      <c r="D5" s="652" t="s">
        <v>99</v>
      </c>
      <c r="E5" s="652"/>
      <c r="F5" s="632"/>
      <c r="G5" s="652"/>
      <c r="H5" s="632"/>
    </row>
    <row r="6" spans="1:10">
      <c r="A6" s="632"/>
      <c r="B6" s="632"/>
      <c r="C6" s="652"/>
      <c r="D6" s="632"/>
      <c r="E6" s="652"/>
      <c r="F6" s="632"/>
      <c r="G6" s="632"/>
      <c r="H6" s="632"/>
    </row>
    <row r="7" spans="1:10">
      <c r="A7" s="632" t="s">
        <v>709</v>
      </c>
      <c r="B7" s="652"/>
      <c r="C7" s="632"/>
      <c r="D7" s="652"/>
      <c r="E7" s="710">
        <v>0.4</v>
      </c>
      <c r="F7" s="654"/>
      <c r="G7" s="632" t="s">
        <v>710</v>
      </c>
      <c r="H7" s="652" t="s">
        <v>711</v>
      </c>
      <c r="I7" s="655">
        <v>0.3</v>
      </c>
    </row>
    <row r="8" spans="1:10">
      <c r="A8" t="s">
        <v>712</v>
      </c>
      <c r="C8" s="652"/>
      <c r="D8" s="632"/>
      <c r="E8" s="710">
        <v>0.6</v>
      </c>
      <c r="G8" s="632" t="s">
        <v>710</v>
      </c>
      <c r="H8" s="632" t="s">
        <v>711</v>
      </c>
      <c r="I8" s="655">
        <v>0.25</v>
      </c>
    </row>
    <row r="9" spans="1:10">
      <c r="A9" s="633"/>
      <c r="B9" s="633"/>
      <c r="C9" s="633"/>
      <c r="D9" s="633"/>
      <c r="E9" s="633"/>
      <c r="F9" s="633"/>
      <c r="G9" s="632"/>
      <c r="H9" s="632"/>
    </row>
    <row r="11" spans="1:10">
      <c r="A11" s="736"/>
      <c r="B11" s="841"/>
      <c r="C11" s="736"/>
      <c r="D11" s="860"/>
      <c r="E11" s="634"/>
      <c r="F11" s="634"/>
      <c r="G11" s="634"/>
      <c r="H11" s="634"/>
      <c r="I11" s="634"/>
      <c r="J11" s="634"/>
    </row>
    <row r="12" spans="1:10">
      <c r="A12" s="861" t="s">
        <v>713</v>
      </c>
      <c r="B12" s="862" t="s">
        <v>2</v>
      </c>
      <c r="C12" s="863"/>
      <c r="D12" s="863"/>
      <c r="E12" s="863"/>
      <c r="F12" s="634"/>
      <c r="G12" s="634"/>
      <c r="H12" s="634"/>
      <c r="I12" s="634"/>
      <c r="J12" s="634"/>
    </row>
    <row r="13" spans="1:10">
      <c r="A13" s="864" t="s">
        <v>714</v>
      </c>
      <c r="B13" s="793">
        <f>'E-InvAT'!B10</f>
        <v>378273.44646000001</v>
      </c>
      <c r="C13" s="863"/>
      <c r="D13" s="863"/>
      <c r="E13" s="863"/>
      <c r="F13" s="634"/>
      <c r="G13" s="634"/>
      <c r="H13" s="634"/>
      <c r="I13" s="634"/>
      <c r="J13" s="634"/>
    </row>
    <row r="14" spans="1:10">
      <c r="A14" s="864" t="s">
        <v>715</v>
      </c>
      <c r="B14" s="793">
        <f>'E-InvAT'!B11</f>
        <v>581200.1</v>
      </c>
      <c r="C14" s="863"/>
      <c r="D14" s="863"/>
      <c r="E14" s="863"/>
      <c r="F14" s="634"/>
      <c r="G14" s="634"/>
      <c r="H14" s="634"/>
      <c r="I14" s="634"/>
      <c r="J14" s="634"/>
    </row>
    <row r="15" spans="1:10">
      <c r="A15" s="864" t="s">
        <v>188</v>
      </c>
      <c r="B15" s="793">
        <f>SUM(B13:B14)</f>
        <v>959473.54645999998</v>
      </c>
      <c r="C15" s="863"/>
      <c r="D15" s="863"/>
      <c r="E15" s="863"/>
      <c r="F15" s="634"/>
      <c r="G15" s="634"/>
      <c r="H15" s="634"/>
      <c r="I15" s="634"/>
      <c r="J15" s="634"/>
    </row>
    <row r="16" spans="1:10">
      <c r="A16" s="864" t="s">
        <v>716</v>
      </c>
      <c r="B16" s="793">
        <f>B15*InfoInicial!B39</f>
        <v>479736.77322999999</v>
      </c>
      <c r="C16" s="863"/>
      <c r="D16" s="863"/>
      <c r="E16" s="863"/>
      <c r="F16" s="634"/>
      <c r="G16" s="634"/>
      <c r="H16" s="634"/>
      <c r="I16" s="634"/>
      <c r="J16" s="634"/>
    </row>
    <row r="17" spans="1:10">
      <c r="A17" s="864" t="s">
        <v>717</v>
      </c>
      <c r="B17" s="793">
        <f>B16*InfoInicial!B40</f>
        <v>287842.06393800001</v>
      </c>
      <c r="C17" s="863"/>
      <c r="D17" s="863"/>
      <c r="E17" s="863"/>
      <c r="F17" s="634"/>
      <c r="G17" s="634"/>
      <c r="H17" s="634"/>
      <c r="I17" s="634"/>
      <c r="J17" s="634"/>
    </row>
    <row r="18" spans="1:10">
      <c r="A18" s="863"/>
      <c r="B18" s="863"/>
      <c r="C18" s="863"/>
      <c r="D18" s="863"/>
      <c r="E18" s="863"/>
      <c r="F18" s="634"/>
      <c r="G18" s="634"/>
      <c r="H18" s="634"/>
      <c r="I18" s="634"/>
      <c r="J18" s="634"/>
    </row>
    <row r="19" spans="1:10">
      <c r="A19" s="861" t="s">
        <v>718</v>
      </c>
      <c r="B19" s="862" t="s">
        <v>719</v>
      </c>
      <c r="C19" s="862" t="s">
        <v>720</v>
      </c>
      <c r="D19" s="862" t="s">
        <v>721</v>
      </c>
      <c r="E19" s="862" t="s">
        <v>722</v>
      </c>
      <c r="F19" s="634"/>
      <c r="G19" s="634"/>
      <c r="H19" s="634"/>
      <c r="I19" s="634"/>
      <c r="J19" s="634"/>
    </row>
    <row r="20" spans="1:10">
      <c r="A20" s="866" t="s">
        <v>723</v>
      </c>
      <c r="B20" s="869">
        <f>$B$15</f>
        <v>959473.54645999998</v>
      </c>
      <c r="C20" s="869">
        <f>$B$16</f>
        <v>479736.77322999999</v>
      </c>
      <c r="D20" s="865" t="s">
        <v>724</v>
      </c>
      <c r="E20" s="869">
        <f>$B$17/12*2</f>
        <v>47973.677323000004</v>
      </c>
      <c r="F20" s="634"/>
      <c r="G20" s="634"/>
      <c r="H20" s="634"/>
      <c r="I20" s="634"/>
      <c r="J20" s="634"/>
    </row>
    <row r="21" spans="1:10">
      <c r="A21" s="866" t="s">
        <v>725</v>
      </c>
      <c r="B21" s="869">
        <f t="shared" ref="B21:B31" si="0">$B$15</f>
        <v>959473.54645999998</v>
      </c>
      <c r="C21" s="869">
        <f t="shared" ref="C21:C31" si="1">$B$16</f>
        <v>479736.77322999999</v>
      </c>
      <c r="D21" s="865" t="s">
        <v>726</v>
      </c>
      <c r="E21" s="869">
        <f t="shared" ref="E21:E31" si="2">$B$17/12*2</f>
        <v>47973.677323000004</v>
      </c>
      <c r="F21" s="634"/>
      <c r="G21" s="634"/>
      <c r="H21" s="634"/>
      <c r="I21" s="634"/>
      <c r="J21" s="634"/>
    </row>
    <row r="22" spans="1:10">
      <c r="A22" s="866" t="s">
        <v>727</v>
      </c>
      <c r="B22" s="869">
        <f t="shared" si="0"/>
        <v>959473.54645999998</v>
      </c>
      <c r="C22" s="869">
        <f t="shared" si="1"/>
        <v>479736.77322999999</v>
      </c>
      <c r="D22" s="865" t="s">
        <v>728</v>
      </c>
      <c r="E22" s="869">
        <f>$B$17/12*2</f>
        <v>47973.677323000004</v>
      </c>
      <c r="F22" s="634"/>
      <c r="G22" s="634"/>
      <c r="H22" s="634"/>
      <c r="I22" s="634"/>
      <c r="J22" s="634"/>
    </row>
    <row r="23" spans="1:10">
      <c r="A23" s="866" t="s">
        <v>726</v>
      </c>
      <c r="B23" s="869">
        <f t="shared" si="0"/>
        <v>959473.54645999998</v>
      </c>
      <c r="C23" s="869">
        <f t="shared" si="1"/>
        <v>479736.77322999999</v>
      </c>
      <c r="D23" s="865" t="s">
        <v>729</v>
      </c>
      <c r="E23" s="869">
        <f t="shared" si="2"/>
        <v>47973.677323000004</v>
      </c>
      <c r="F23" s="634"/>
      <c r="G23" s="634"/>
      <c r="H23" s="634"/>
      <c r="I23" s="634"/>
      <c r="J23" s="634"/>
    </row>
    <row r="24" spans="1:10">
      <c r="A24" s="866" t="s">
        <v>728</v>
      </c>
      <c r="B24" s="869">
        <f t="shared" si="0"/>
        <v>959473.54645999998</v>
      </c>
      <c r="C24" s="869">
        <f t="shared" si="1"/>
        <v>479736.77322999999</v>
      </c>
      <c r="D24" s="865" t="s">
        <v>730</v>
      </c>
      <c r="E24" s="869">
        <f t="shared" si="2"/>
        <v>47973.677323000004</v>
      </c>
      <c r="F24" s="634"/>
      <c r="G24" s="634"/>
      <c r="H24" s="634"/>
      <c r="I24" s="634"/>
      <c r="J24" s="634"/>
    </row>
    <row r="25" spans="1:10">
      <c r="A25" s="866" t="s">
        <v>729</v>
      </c>
      <c r="B25" s="869">
        <f t="shared" si="0"/>
        <v>959473.54645999998</v>
      </c>
      <c r="C25" s="869">
        <f t="shared" si="1"/>
        <v>479736.77322999999</v>
      </c>
      <c r="D25" s="865" t="s">
        <v>731</v>
      </c>
      <c r="E25" s="869">
        <f t="shared" si="2"/>
        <v>47973.677323000004</v>
      </c>
      <c r="F25" s="634"/>
      <c r="G25" s="634"/>
      <c r="H25" s="634"/>
      <c r="I25" s="634"/>
      <c r="J25" s="634"/>
    </row>
    <row r="26" spans="1:10">
      <c r="A26" s="866" t="s">
        <v>730</v>
      </c>
      <c r="B26" s="869">
        <f t="shared" si="0"/>
        <v>959473.54645999998</v>
      </c>
      <c r="C26" s="869">
        <f t="shared" si="1"/>
        <v>479736.77322999999</v>
      </c>
      <c r="D26" s="865" t="s">
        <v>732</v>
      </c>
      <c r="E26" s="869">
        <f t="shared" si="2"/>
        <v>47973.677323000004</v>
      </c>
      <c r="F26" s="634"/>
      <c r="G26" s="634"/>
      <c r="H26" s="634"/>
      <c r="I26" s="634"/>
      <c r="J26" s="634"/>
    </row>
    <row r="27" spans="1:10">
      <c r="A27" s="866" t="s">
        <v>731</v>
      </c>
      <c r="B27" s="869">
        <f t="shared" si="0"/>
        <v>959473.54645999998</v>
      </c>
      <c r="C27" s="869">
        <f t="shared" si="1"/>
        <v>479736.77322999999</v>
      </c>
      <c r="D27" s="865" t="s">
        <v>733</v>
      </c>
      <c r="E27" s="869">
        <f t="shared" si="2"/>
        <v>47973.677323000004</v>
      </c>
      <c r="F27" s="634"/>
      <c r="G27" s="634"/>
      <c r="H27" s="634"/>
      <c r="I27" s="634"/>
      <c r="J27" s="634"/>
    </row>
    <row r="28" spans="1:10">
      <c r="A28" s="866" t="s">
        <v>732</v>
      </c>
      <c r="B28" s="869">
        <f t="shared" si="0"/>
        <v>959473.54645999998</v>
      </c>
      <c r="C28" s="869">
        <f t="shared" si="1"/>
        <v>479736.77322999999</v>
      </c>
      <c r="D28" s="865" t="s">
        <v>734</v>
      </c>
      <c r="E28" s="869">
        <f t="shared" si="2"/>
        <v>47973.677323000004</v>
      </c>
      <c r="F28" s="634"/>
      <c r="G28" s="634"/>
      <c r="H28" s="634"/>
      <c r="I28" s="634"/>
      <c r="J28" s="634"/>
    </row>
    <row r="29" spans="1:10">
      <c r="A29" s="866" t="s">
        <v>733</v>
      </c>
      <c r="B29" s="869">
        <f t="shared" si="0"/>
        <v>959473.54645999998</v>
      </c>
      <c r="C29" s="869">
        <f t="shared" si="1"/>
        <v>479736.77322999999</v>
      </c>
      <c r="D29" s="865" t="s">
        <v>735</v>
      </c>
      <c r="E29" s="869">
        <f t="shared" si="2"/>
        <v>47973.677323000004</v>
      </c>
      <c r="F29" s="634"/>
      <c r="G29" s="634"/>
      <c r="H29" s="634"/>
      <c r="I29" s="634"/>
      <c r="J29" s="634"/>
    </row>
    <row r="30" spans="1:10">
      <c r="A30" s="866" t="s">
        <v>734</v>
      </c>
      <c r="B30" s="869">
        <f t="shared" si="0"/>
        <v>959473.54645999998</v>
      </c>
      <c r="C30" s="869">
        <f t="shared" si="1"/>
        <v>479736.77322999999</v>
      </c>
      <c r="D30" s="865" t="s">
        <v>736</v>
      </c>
      <c r="E30" s="869">
        <f t="shared" si="2"/>
        <v>47973.677323000004</v>
      </c>
      <c r="F30" s="634"/>
      <c r="G30" s="634"/>
      <c r="H30" s="634"/>
      <c r="I30" s="634"/>
      <c r="J30" s="634"/>
    </row>
    <row r="31" spans="1:10">
      <c r="A31" s="866" t="s">
        <v>735</v>
      </c>
      <c r="B31" s="869">
        <f t="shared" si="0"/>
        <v>959473.54645999998</v>
      </c>
      <c r="C31" s="869">
        <f t="shared" si="1"/>
        <v>479736.77322999999</v>
      </c>
      <c r="D31" s="865" t="s">
        <v>737</v>
      </c>
      <c r="E31" s="869">
        <f t="shared" si="2"/>
        <v>47973.677323000004</v>
      </c>
      <c r="F31" s="634"/>
      <c r="G31" s="634"/>
      <c r="H31" s="634"/>
      <c r="I31" s="634"/>
      <c r="J31" s="634"/>
    </row>
    <row r="32" spans="1:10">
      <c r="A32" s="863"/>
      <c r="B32" s="863"/>
      <c r="C32" s="863"/>
      <c r="D32" s="863"/>
      <c r="E32" s="863"/>
      <c r="F32" s="634"/>
      <c r="G32" s="634"/>
      <c r="H32" s="634"/>
      <c r="I32" s="634"/>
      <c r="J32" s="634"/>
    </row>
    <row r="33" spans="1:11">
      <c r="A33" s="863"/>
      <c r="B33" s="863"/>
      <c r="C33" s="628"/>
      <c r="D33" s="705" t="s">
        <v>337</v>
      </c>
      <c r="E33" s="870">
        <f>SUM(E20:E29)</f>
        <v>479736.77322999993</v>
      </c>
      <c r="F33" s="634"/>
      <c r="G33" s="634"/>
      <c r="H33" s="634"/>
      <c r="I33" s="634"/>
      <c r="J33" s="634"/>
    </row>
    <row r="34" spans="1:11">
      <c r="A34" s="863"/>
      <c r="B34" s="863"/>
      <c r="C34" s="628"/>
      <c r="D34" s="628"/>
      <c r="E34" s="628"/>
      <c r="F34" s="634"/>
      <c r="G34" s="634"/>
      <c r="H34" s="634"/>
      <c r="I34" s="634"/>
      <c r="J34" s="634"/>
    </row>
    <row r="35" spans="1:11">
      <c r="A35" s="863"/>
      <c r="B35" s="863"/>
      <c r="C35" s="705" t="s">
        <v>738</v>
      </c>
      <c r="D35" s="867"/>
      <c r="E35" s="870">
        <f>E33/InfoInicial!B40</f>
        <v>799561.28871666663</v>
      </c>
      <c r="F35" s="634"/>
      <c r="G35" s="634"/>
      <c r="H35" s="634"/>
      <c r="I35" s="634"/>
      <c r="J35" s="634"/>
    </row>
    <row r="36" spans="1:11">
      <c r="A36" s="736"/>
      <c r="B36" s="841"/>
      <c r="C36" s="736"/>
      <c r="D36" s="860"/>
      <c r="E36" s="634"/>
      <c r="F36" s="634"/>
      <c r="G36" s="634"/>
      <c r="H36" s="634"/>
      <c r="I36" s="634"/>
      <c r="J36" s="634"/>
    </row>
    <row r="40" spans="1:11" ht="15.75">
      <c r="A40" s="693" t="s">
        <v>739</v>
      </c>
      <c r="B40" s="694"/>
      <c r="C40" s="694"/>
      <c r="D40" s="694"/>
      <c r="E40" s="694"/>
      <c r="F40" s="694"/>
      <c r="G40" s="694"/>
      <c r="H40" s="694"/>
      <c r="I40" s="694"/>
    </row>
    <row r="41" spans="1:11" ht="15.75">
      <c r="A41" s="693"/>
      <c r="B41" s="694"/>
      <c r="C41" s="694"/>
      <c r="D41" s="694"/>
      <c r="E41" s="694"/>
      <c r="F41" s="694"/>
      <c r="G41" s="694"/>
      <c r="H41" s="694"/>
      <c r="I41" s="694"/>
    </row>
    <row r="42" spans="1:11" ht="18">
      <c r="A42" s="878" t="s">
        <v>740</v>
      </c>
      <c r="B42" s="879"/>
      <c r="C42" s="879"/>
    </row>
    <row r="44" spans="1:11">
      <c r="A44" s="1031" t="s">
        <v>741</v>
      </c>
      <c r="B44" s="1032"/>
      <c r="C44" s="1032"/>
      <c r="D44" s="1032"/>
      <c r="E44" s="1032"/>
      <c r="F44" s="1032"/>
      <c r="G44" s="1033"/>
    </row>
    <row r="45" spans="1:11">
      <c r="A45" s="664" t="s">
        <v>742</v>
      </c>
      <c r="B45" s="634"/>
      <c r="C45" s="634"/>
      <c r="D45" s="634"/>
      <c r="E45" s="634"/>
      <c r="F45" s="634"/>
      <c r="G45" s="665"/>
      <c r="I45" s="1009" t="s">
        <v>743</v>
      </c>
      <c r="J45" s="1009"/>
      <c r="K45" s="566" t="s">
        <v>744</v>
      </c>
    </row>
    <row r="46" spans="1:11">
      <c r="A46" s="664" t="s">
        <v>745</v>
      </c>
      <c r="B46" s="634" t="s">
        <v>746</v>
      </c>
      <c r="C46" s="666">
        <v>0.4</v>
      </c>
      <c r="D46" s="634" t="s">
        <v>747</v>
      </c>
      <c r="E46" s="634"/>
      <c r="F46" s="637"/>
      <c r="G46" s="665"/>
    </row>
    <row r="47" spans="1:11">
      <c r="A47" s="664" t="s">
        <v>748</v>
      </c>
      <c r="B47" s="667"/>
      <c r="C47" s="668">
        <f>'E-Inv AF y Am'!B8</f>
        <v>0</v>
      </c>
      <c r="D47" s="634"/>
      <c r="E47" s="641" t="s">
        <v>749</v>
      </c>
      <c r="F47" s="669">
        <f>C47*C46</f>
        <v>0</v>
      </c>
      <c r="G47" s="665"/>
    </row>
    <row r="48" spans="1:11" ht="14.25">
      <c r="A48" s="664" t="s">
        <v>750</v>
      </c>
      <c r="B48" s="634"/>
      <c r="C48" s="670">
        <v>8</v>
      </c>
      <c r="D48" s="671" t="s">
        <v>751</v>
      </c>
      <c r="E48" s="634"/>
      <c r="F48" s="634"/>
      <c r="G48" s="634"/>
    </row>
    <row r="49" spans="1:15">
      <c r="A49" s="664" t="s">
        <v>752</v>
      </c>
      <c r="B49" s="634"/>
      <c r="C49" s="672">
        <v>0.3</v>
      </c>
      <c r="D49" s="634" t="s">
        <v>753</v>
      </c>
      <c r="E49" s="634"/>
      <c r="F49" s="634"/>
      <c r="G49" s="665"/>
    </row>
    <row r="50" spans="1:15">
      <c r="A50" s="664" t="s">
        <v>754</v>
      </c>
      <c r="B50" s="634"/>
      <c r="C50" s="632" t="s">
        <v>755</v>
      </c>
      <c r="D50" s="634"/>
      <c r="E50" s="634"/>
      <c r="F50" s="634"/>
      <c r="G50" s="634"/>
    </row>
    <row r="51" spans="1:15">
      <c r="A51" s="673" t="s">
        <v>756</v>
      </c>
      <c r="B51" s="637"/>
      <c r="C51" s="674">
        <v>0.03</v>
      </c>
      <c r="D51" s="637" t="s">
        <v>757</v>
      </c>
      <c r="E51" s="637"/>
      <c r="F51" s="637"/>
      <c r="G51" s="675"/>
    </row>
    <row r="53" spans="1:15">
      <c r="A53" s="1019" t="s">
        <v>758</v>
      </c>
      <c r="B53" s="1020"/>
      <c r="C53" s="1021"/>
      <c r="D53" s="1022" t="s">
        <v>759</v>
      </c>
      <c r="E53" s="1024" t="s">
        <v>760</v>
      </c>
      <c r="F53" s="1010" t="s">
        <v>761</v>
      </c>
      <c r="G53" s="1010" t="s">
        <v>762</v>
      </c>
      <c r="H53" s="1010" t="s">
        <v>763</v>
      </c>
      <c r="I53" s="1010" t="s">
        <v>764</v>
      </c>
      <c r="J53" s="1012" t="s">
        <v>765</v>
      </c>
    </row>
    <row r="54" spans="1:15">
      <c r="A54" s="676" t="s">
        <v>766</v>
      </c>
      <c r="B54" s="677" t="s">
        <v>767</v>
      </c>
      <c r="C54" s="678" t="s">
        <v>768</v>
      </c>
      <c r="D54" s="1023"/>
      <c r="E54" s="1025"/>
      <c r="F54" s="1011"/>
      <c r="G54" s="1011"/>
      <c r="H54" s="1011"/>
      <c r="I54" s="1011"/>
      <c r="J54" s="1013"/>
    </row>
    <row r="55" spans="1:15">
      <c r="A55" s="635">
        <v>1</v>
      </c>
      <c r="B55" s="668">
        <v>5</v>
      </c>
      <c r="C55" s="679">
        <v>-1</v>
      </c>
      <c r="D55" s="796">
        <f>F47/3</f>
        <v>0</v>
      </c>
      <c r="E55" s="796"/>
      <c r="F55" s="796"/>
      <c r="G55" s="796"/>
      <c r="H55" s="796"/>
      <c r="I55" s="796">
        <f>$C$51*$D$55</f>
        <v>0</v>
      </c>
      <c r="J55" s="795"/>
      <c r="M55" s="1007" t="s">
        <v>769</v>
      </c>
      <c r="N55" s="1007"/>
      <c r="O55" s="1007"/>
    </row>
    <row r="56" spans="1:15">
      <c r="A56" s="635">
        <v>1</v>
      </c>
      <c r="B56" s="668">
        <v>8</v>
      </c>
      <c r="C56" s="789">
        <v>-1</v>
      </c>
      <c r="D56" s="796">
        <f>D55*2</f>
        <v>0</v>
      </c>
      <c r="E56" s="796"/>
      <c r="F56" s="796">
        <f>C49/2*D55</f>
        <v>0</v>
      </c>
      <c r="G56" s="796"/>
      <c r="H56" s="796"/>
      <c r="I56" s="796">
        <f t="shared" ref="I56:I57" si="3">$C$51*$D$55</f>
        <v>0</v>
      </c>
      <c r="J56" s="797"/>
      <c r="M56" s="1009"/>
      <c r="N56" s="1009"/>
      <c r="O56" s="1009"/>
    </row>
    <row r="57" spans="1:15">
      <c r="A57" s="635">
        <v>1</v>
      </c>
      <c r="B57" s="668">
        <v>11</v>
      </c>
      <c r="C57" s="789">
        <v>-1</v>
      </c>
      <c r="D57" s="796">
        <f>F47</f>
        <v>0</v>
      </c>
      <c r="E57" s="796"/>
      <c r="F57" s="796">
        <f>C49/2*D56</f>
        <v>0</v>
      </c>
      <c r="G57" s="796"/>
      <c r="H57" s="796"/>
      <c r="I57" s="796">
        <f t="shared" si="3"/>
        <v>0</v>
      </c>
      <c r="J57" s="797"/>
      <c r="M57" s="1009"/>
      <c r="N57" s="1009"/>
      <c r="O57" s="1009"/>
    </row>
    <row r="58" spans="1:15">
      <c r="A58" s="635">
        <v>31</v>
      </c>
      <c r="B58" s="668">
        <v>12</v>
      </c>
      <c r="C58" s="682">
        <v>-1</v>
      </c>
      <c r="D58" s="796">
        <f>F47</f>
        <v>0</v>
      </c>
      <c r="E58" s="796"/>
      <c r="F58" s="796">
        <f>F57</f>
        <v>0</v>
      </c>
      <c r="G58" s="796"/>
      <c r="H58" s="796"/>
      <c r="I58" s="796"/>
      <c r="J58" s="800"/>
      <c r="M58" s="1007" t="s">
        <v>770</v>
      </c>
      <c r="N58" s="1007"/>
      <c r="O58" s="1007"/>
    </row>
    <row r="59" spans="1:15">
      <c r="A59" s="684"/>
      <c r="B59" s="685"/>
      <c r="C59" s="790" t="s">
        <v>771</v>
      </c>
      <c r="D59" s="791"/>
      <c r="E59" s="792"/>
      <c r="F59" s="801">
        <f>SUM(F56:F58)</f>
        <v>0</v>
      </c>
      <c r="G59" s="801"/>
      <c r="H59" s="801">
        <f>F59</f>
        <v>0</v>
      </c>
      <c r="I59" s="801">
        <f>SUM(I55:I57)</f>
        <v>0</v>
      </c>
      <c r="J59" s="802">
        <f>I59+H59</f>
        <v>0</v>
      </c>
      <c r="M59" s="1017">
        <f>F47/C48</f>
        <v>0</v>
      </c>
      <c r="N59" s="1017"/>
      <c r="O59" s="1017"/>
    </row>
    <row r="60" spans="1:15">
      <c r="A60" s="635">
        <v>1</v>
      </c>
      <c r="B60" s="668">
        <v>1</v>
      </c>
      <c r="C60" s="679">
        <v>1</v>
      </c>
      <c r="D60" s="793">
        <f>D58</f>
        <v>0</v>
      </c>
      <c r="E60" s="803"/>
      <c r="F60" s="804"/>
      <c r="G60" s="680"/>
      <c r="H60" s="680"/>
      <c r="I60" s="680"/>
      <c r="J60" s="681"/>
      <c r="M60" s="1017"/>
      <c r="N60" s="1017"/>
      <c r="O60" s="1017"/>
    </row>
    <row r="61" spans="1:15">
      <c r="A61" s="635">
        <v>30</v>
      </c>
      <c r="B61" s="668">
        <v>6</v>
      </c>
      <c r="C61" s="679">
        <v>1</v>
      </c>
      <c r="D61" s="793">
        <f>D58-E61</f>
        <v>0</v>
      </c>
      <c r="E61" s="804"/>
      <c r="F61" s="794">
        <f>$C$49*D60</f>
        <v>0</v>
      </c>
      <c r="G61" s="643"/>
      <c r="H61" s="643"/>
      <c r="I61" s="680"/>
      <c r="J61" s="809">
        <f>F61+E61</f>
        <v>0</v>
      </c>
    </row>
    <row r="62" spans="1:15">
      <c r="A62" s="635">
        <v>31</v>
      </c>
      <c r="B62" s="668">
        <v>12</v>
      </c>
      <c r="C62" s="679">
        <v>1</v>
      </c>
      <c r="D62" s="793">
        <f>D61-E61</f>
        <v>0</v>
      </c>
      <c r="E62" s="804">
        <f t="shared" ref="E62:E69" si="4">$M$59</f>
        <v>0</v>
      </c>
      <c r="F62" s="794">
        <f>$C$49*D61</f>
        <v>0</v>
      </c>
      <c r="G62" s="807">
        <f>E60+E61</f>
        <v>0</v>
      </c>
      <c r="H62" s="808">
        <f>F61+F62</f>
        <v>0</v>
      </c>
      <c r="I62" s="680"/>
      <c r="J62" s="809">
        <f>F62+E62</f>
        <v>0</v>
      </c>
    </row>
    <row r="63" spans="1:15">
      <c r="A63" s="635">
        <v>30</v>
      </c>
      <c r="B63" s="668">
        <v>6</v>
      </c>
      <c r="C63" s="679">
        <v>2</v>
      </c>
      <c r="D63" s="793">
        <f>D62-E62</f>
        <v>0</v>
      </c>
      <c r="E63" s="804">
        <f t="shared" si="4"/>
        <v>0</v>
      </c>
      <c r="F63" s="794">
        <f>$C$49*D62</f>
        <v>0</v>
      </c>
      <c r="G63" s="643"/>
      <c r="H63" s="643"/>
      <c r="I63" s="680"/>
      <c r="J63" s="809">
        <f>F63+E63</f>
        <v>0</v>
      </c>
    </row>
    <row r="64" spans="1:15">
      <c r="A64" s="635">
        <v>31</v>
      </c>
      <c r="B64" s="668">
        <v>12</v>
      </c>
      <c r="C64" s="679">
        <v>2</v>
      </c>
      <c r="D64" s="793">
        <f t="shared" ref="D63:D69" si="5">D63-E63</f>
        <v>0</v>
      </c>
      <c r="E64" s="804">
        <f t="shared" si="4"/>
        <v>0</v>
      </c>
      <c r="F64" s="794">
        <f>$C$49*D63</f>
        <v>0</v>
      </c>
      <c r="G64" s="807">
        <f>E63+E62</f>
        <v>0</v>
      </c>
      <c r="H64" s="808">
        <f>F63+F64</f>
        <v>0</v>
      </c>
      <c r="I64" s="680"/>
      <c r="J64" s="809">
        <f>F64+E64</f>
        <v>0</v>
      </c>
    </row>
    <row r="65" spans="1:11">
      <c r="A65" s="635">
        <v>30</v>
      </c>
      <c r="B65" s="668">
        <v>6</v>
      </c>
      <c r="C65" s="679">
        <v>3</v>
      </c>
      <c r="D65" s="793">
        <f t="shared" si="5"/>
        <v>0</v>
      </c>
      <c r="E65" s="804">
        <f t="shared" si="4"/>
        <v>0</v>
      </c>
      <c r="F65" s="794">
        <f t="shared" ref="F62:F70" si="6">$C$49*D64</f>
        <v>0</v>
      </c>
      <c r="G65" s="643"/>
      <c r="H65" s="643"/>
      <c r="I65" s="680"/>
      <c r="J65" s="809">
        <f>F65+E65</f>
        <v>0</v>
      </c>
    </row>
    <row r="66" spans="1:11">
      <c r="A66" s="635">
        <v>31</v>
      </c>
      <c r="B66" s="668">
        <v>12</v>
      </c>
      <c r="C66" s="679">
        <v>3</v>
      </c>
      <c r="D66" s="793">
        <f t="shared" si="5"/>
        <v>0</v>
      </c>
      <c r="E66" s="804">
        <f t="shared" si="4"/>
        <v>0</v>
      </c>
      <c r="F66" s="794">
        <f t="shared" si="6"/>
        <v>0</v>
      </c>
      <c r="G66" s="807">
        <f>E65+E64</f>
        <v>0</v>
      </c>
      <c r="H66" s="808">
        <f>F65+F66</f>
        <v>0</v>
      </c>
      <c r="I66" s="680"/>
      <c r="J66" s="809">
        <f t="shared" ref="J64:J70" si="7">F66+E66</f>
        <v>0</v>
      </c>
    </row>
    <row r="67" spans="1:11">
      <c r="A67" s="635">
        <v>30</v>
      </c>
      <c r="B67" s="668">
        <v>6</v>
      </c>
      <c r="C67" s="679">
        <v>4</v>
      </c>
      <c r="D67" s="793">
        <f t="shared" si="5"/>
        <v>0</v>
      </c>
      <c r="E67" s="804">
        <f t="shared" si="4"/>
        <v>0</v>
      </c>
      <c r="F67" s="794">
        <f t="shared" si="6"/>
        <v>0</v>
      </c>
      <c r="G67" s="643"/>
      <c r="H67" s="643"/>
      <c r="I67" s="680"/>
      <c r="J67" s="809">
        <f t="shared" si="7"/>
        <v>0</v>
      </c>
    </row>
    <row r="68" spans="1:11">
      <c r="A68" s="635">
        <v>31</v>
      </c>
      <c r="B68" s="668">
        <v>12</v>
      </c>
      <c r="C68" s="679">
        <v>4</v>
      </c>
      <c r="D68" s="793">
        <f t="shared" si="5"/>
        <v>0</v>
      </c>
      <c r="E68" s="804">
        <f t="shared" si="4"/>
        <v>0</v>
      </c>
      <c r="F68" s="794">
        <f t="shared" si="6"/>
        <v>0</v>
      </c>
      <c r="G68" s="807">
        <f>E67+E66</f>
        <v>0</v>
      </c>
      <c r="H68" s="808">
        <f>F67+F68</f>
        <v>0</v>
      </c>
      <c r="I68" s="680"/>
      <c r="J68" s="809">
        <f t="shared" si="7"/>
        <v>0</v>
      </c>
    </row>
    <row r="69" spans="1:11">
      <c r="A69" s="635">
        <v>30</v>
      </c>
      <c r="B69" s="668">
        <v>6</v>
      </c>
      <c r="C69" s="679">
        <v>5</v>
      </c>
      <c r="D69" s="793">
        <f t="shared" si="5"/>
        <v>0</v>
      </c>
      <c r="E69" s="804">
        <f t="shared" si="4"/>
        <v>0</v>
      </c>
      <c r="F69" s="794">
        <f t="shared" si="6"/>
        <v>0</v>
      </c>
      <c r="G69" s="643"/>
      <c r="H69" s="643"/>
      <c r="I69" s="680"/>
      <c r="J69" s="809">
        <f t="shared" si="7"/>
        <v>0</v>
      </c>
    </row>
    <row r="70" spans="1:11">
      <c r="A70" s="686">
        <v>31</v>
      </c>
      <c r="B70" s="642">
        <v>12</v>
      </c>
      <c r="C70" s="682">
        <v>5</v>
      </c>
      <c r="D70" s="793">
        <f>D69-E69</f>
        <v>0</v>
      </c>
      <c r="F70" s="794">
        <f t="shared" si="6"/>
        <v>0</v>
      </c>
      <c r="G70" s="807">
        <f>E68+E69</f>
        <v>0</v>
      </c>
      <c r="H70" s="808">
        <f>F69+F70</f>
        <v>0</v>
      </c>
      <c r="I70" s="643"/>
      <c r="J70" s="809">
        <f t="shared" si="7"/>
        <v>0</v>
      </c>
    </row>
    <row r="71" spans="1:11">
      <c r="A71" s="1014" t="s">
        <v>224</v>
      </c>
      <c r="B71" s="1015"/>
      <c r="C71" s="1015"/>
      <c r="D71" s="1016"/>
      <c r="E71" s="805">
        <f>SUM(E61:E69)</f>
        <v>0</v>
      </c>
      <c r="F71" s="806">
        <f>SUM(F60:F70)</f>
        <v>0</v>
      </c>
      <c r="G71" s="805">
        <f>SUM(G62:G70)</f>
        <v>0</v>
      </c>
      <c r="H71" s="806">
        <f>SUM(H62:H70)</f>
        <v>0</v>
      </c>
      <c r="I71" s="644"/>
      <c r="J71" s="810">
        <f>SUM(J61:J70)</f>
        <v>0</v>
      </c>
    </row>
    <row r="73" spans="1:11" ht="18">
      <c r="A73" s="878" t="s">
        <v>772</v>
      </c>
      <c r="B73" s="878"/>
      <c r="C73" s="878"/>
      <c r="D73" s="879"/>
    </row>
    <row r="75" spans="1:11">
      <c r="A75" s="1031" t="s">
        <v>741</v>
      </c>
      <c r="B75" s="1032"/>
      <c r="C75" s="1032"/>
      <c r="D75" s="1032"/>
      <c r="E75" s="1032"/>
      <c r="F75" s="1032"/>
      <c r="G75" s="1033"/>
      <c r="H75" s="634"/>
      <c r="I75" s="1018" t="s">
        <v>743</v>
      </c>
      <c r="J75" s="1018"/>
      <c r="K75" s="566" t="s">
        <v>773</v>
      </c>
    </row>
    <row r="76" spans="1:11">
      <c r="A76" s="664" t="s">
        <v>742</v>
      </c>
      <c r="B76" s="634"/>
      <c r="C76" s="634"/>
      <c r="D76" s="634"/>
      <c r="E76" s="634"/>
      <c r="F76" s="634"/>
      <c r="G76" s="665"/>
      <c r="H76" s="634"/>
      <c r="I76" s="634"/>
      <c r="J76" s="634"/>
    </row>
    <row r="77" spans="1:11">
      <c r="A77" s="664" t="s">
        <v>745</v>
      </c>
      <c r="B77" s="634" t="s">
        <v>746</v>
      </c>
      <c r="C77" s="666">
        <v>0.6</v>
      </c>
      <c r="D77" s="634" t="s">
        <v>774</v>
      </c>
      <c r="E77" s="634"/>
      <c r="F77" s="637"/>
      <c r="G77" s="665"/>
      <c r="H77" s="634"/>
      <c r="I77" s="634"/>
      <c r="J77" s="634"/>
    </row>
    <row r="78" spans="1:11">
      <c r="A78" s="664" t="s">
        <v>748</v>
      </c>
      <c r="B78" s="667"/>
      <c r="C78" s="794">
        <f>'E-Inv AF y Am'!B11</f>
        <v>16385145</v>
      </c>
      <c r="D78" s="634"/>
      <c r="E78" s="641" t="s">
        <v>749</v>
      </c>
      <c r="F78" s="811">
        <f>C77*C78</f>
        <v>9831087</v>
      </c>
      <c r="G78" s="665"/>
      <c r="H78" s="634"/>
      <c r="I78" s="634"/>
      <c r="J78" s="634"/>
    </row>
    <row r="79" spans="1:11" ht="28.5" customHeight="1">
      <c r="A79" s="664" t="s">
        <v>750</v>
      </c>
      <c r="B79" s="634"/>
      <c r="C79" s="670">
        <v>10</v>
      </c>
      <c r="D79" s="671" t="s">
        <v>775</v>
      </c>
      <c r="E79" s="634"/>
      <c r="F79" s="634"/>
      <c r="G79" s="634"/>
      <c r="H79" s="634"/>
      <c r="I79" s="634"/>
      <c r="J79" s="634"/>
    </row>
    <row r="80" spans="1:11">
      <c r="A80" s="664" t="s">
        <v>752</v>
      </c>
      <c r="B80" s="634"/>
      <c r="C80" s="672">
        <v>0.25</v>
      </c>
      <c r="D80" s="634" t="s">
        <v>776</v>
      </c>
      <c r="E80" s="634"/>
      <c r="F80" s="634"/>
      <c r="G80" s="665"/>
      <c r="H80" s="634"/>
      <c r="I80" s="634"/>
      <c r="J80" s="634"/>
    </row>
    <row r="81" spans="1:14">
      <c r="A81" s="664" t="s">
        <v>754</v>
      </c>
      <c r="B81" s="634"/>
      <c r="C81" s="632" t="s">
        <v>755</v>
      </c>
      <c r="D81" s="634"/>
      <c r="E81" s="634"/>
      <c r="F81" s="634"/>
      <c r="G81" s="634"/>
      <c r="H81" s="634"/>
      <c r="I81" s="634"/>
      <c r="J81" s="634"/>
    </row>
    <row r="82" spans="1:14">
      <c r="A82" s="673" t="s">
        <v>756</v>
      </c>
      <c r="B82" s="637"/>
      <c r="C82" s="674">
        <v>0.03</v>
      </c>
      <c r="D82" s="637" t="s">
        <v>757</v>
      </c>
      <c r="E82" s="637"/>
      <c r="F82" s="637"/>
      <c r="G82" s="675"/>
      <c r="H82" s="634"/>
      <c r="I82" s="634"/>
      <c r="J82" s="634"/>
    </row>
    <row r="83" spans="1:14">
      <c r="A83" s="637"/>
      <c r="B83" s="637"/>
      <c r="C83" s="637"/>
      <c r="D83" s="637"/>
      <c r="E83" s="637"/>
      <c r="F83" s="637"/>
      <c r="G83" s="637"/>
      <c r="H83" s="637"/>
      <c r="I83" s="637"/>
      <c r="J83" s="637"/>
    </row>
    <row r="84" spans="1:14">
      <c r="A84" s="1019" t="s">
        <v>758</v>
      </c>
      <c r="B84" s="1020"/>
      <c r="C84" s="1021"/>
      <c r="D84" s="1022" t="s">
        <v>759</v>
      </c>
      <c r="E84" s="1024" t="s">
        <v>760</v>
      </c>
      <c r="F84" s="1010" t="s">
        <v>761</v>
      </c>
      <c r="G84" s="1010" t="s">
        <v>762</v>
      </c>
      <c r="H84" s="1010" t="s">
        <v>763</v>
      </c>
      <c r="I84" s="1010" t="s">
        <v>764</v>
      </c>
      <c r="J84" s="1012" t="s">
        <v>765</v>
      </c>
    </row>
    <row r="85" spans="1:14">
      <c r="A85" s="676" t="s">
        <v>766</v>
      </c>
      <c r="B85" s="677" t="s">
        <v>767</v>
      </c>
      <c r="C85" s="678" t="s">
        <v>768</v>
      </c>
      <c r="D85" s="1023"/>
      <c r="E85" s="1025"/>
      <c r="F85" s="1011"/>
      <c r="G85" s="1011"/>
      <c r="H85" s="1011"/>
      <c r="I85" s="1011"/>
      <c r="J85" s="1013"/>
      <c r="L85" s="1007" t="s">
        <v>770</v>
      </c>
      <c r="M85" s="1007"/>
      <c r="N85" s="1007"/>
    </row>
    <row r="86" spans="1:14">
      <c r="A86" s="635">
        <v>1</v>
      </c>
      <c r="B86" s="668">
        <v>8</v>
      </c>
      <c r="C86" s="679">
        <v>-1</v>
      </c>
      <c r="D86" s="793">
        <f>F78</f>
        <v>9831087</v>
      </c>
      <c r="E86" s="680"/>
      <c r="F86" s="680"/>
      <c r="G86" s="680"/>
      <c r="H86" s="680"/>
      <c r="I86" s="794">
        <f>D86*C82</f>
        <v>294932.61</v>
      </c>
      <c r="J86" s="681"/>
      <c r="L86" s="1008">
        <f>F78/C79</f>
        <v>983108.7</v>
      </c>
      <c r="M86" s="1009"/>
      <c r="N86" s="1009"/>
    </row>
    <row r="87" spans="1:14">
      <c r="A87" s="635">
        <v>31</v>
      </c>
      <c r="B87" s="668">
        <v>12</v>
      </c>
      <c r="C87" s="682">
        <v>-1</v>
      </c>
      <c r="D87" s="798">
        <f>D86</f>
        <v>9831087</v>
      </c>
      <c r="E87" s="643"/>
      <c r="F87" s="799">
        <f>D87*((C80/(6))*4)</f>
        <v>1638514.5</v>
      </c>
      <c r="G87" s="643"/>
      <c r="H87" s="643"/>
      <c r="I87" s="643"/>
      <c r="J87" s="683"/>
      <c r="L87" s="1009"/>
      <c r="M87" s="1009"/>
      <c r="N87" s="1009"/>
    </row>
    <row r="88" spans="1:14">
      <c r="A88" s="684"/>
      <c r="B88" s="685"/>
      <c r="C88" s="1027" t="s">
        <v>771</v>
      </c>
      <c r="D88" s="1028"/>
      <c r="E88" s="1029"/>
      <c r="F88" s="812">
        <f>F87</f>
        <v>1638514.5</v>
      </c>
      <c r="G88" s="643"/>
      <c r="H88" s="812">
        <f>F88</f>
        <v>1638514.5</v>
      </c>
      <c r="I88" s="812">
        <f>C82*F78</f>
        <v>294932.61</v>
      </c>
      <c r="J88" s="802">
        <f>I88+H88</f>
        <v>1933447.1099999999</v>
      </c>
    </row>
    <row r="89" spans="1:14">
      <c r="A89" s="635">
        <v>1</v>
      </c>
      <c r="B89" s="668">
        <v>1</v>
      </c>
      <c r="C89" s="679">
        <v>1</v>
      </c>
      <c r="D89" s="793">
        <f>D87</f>
        <v>9831087</v>
      </c>
      <c r="E89" s="680"/>
      <c r="F89" s="680"/>
      <c r="G89" s="680"/>
      <c r="H89" s="680"/>
      <c r="I89" s="680"/>
      <c r="J89" s="681"/>
    </row>
    <row r="90" spans="1:14">
      <c r="A90" s="635">
        <v>30</v>
      </c>
      <c r="B90" s="668">
        <v>6</v>
      </c>
      <c r="C90" s="679">
        <v>1</v>
      </c>
      <c r="D90" s="793">
        <f>D89-E89</f>
        <v>9831087</v>
      </c>
      <c r="E90" s="794">
        <f>$L$86</f>
        <v>983108.7</v>
      </c>
      <c r="F90" s="794">
        <f>D89*C80</f>
        <v>2457771.75</v>
      </c>
      <c r="G90" s="643"/>
      <c r="H90" s="643"/>
      <c r="I90" s="680"/>
      <c r="J90" s="809">
        <f>F90+E90</f>
        <v>3440880.45</v>
      </c>
    </row>
    <row r="91" spans="1:14">
      <c r="A91" s="635">
        <v>31</v>
      </c>
      <c r="B91" s="668">
        <v>12</v>
      </c>
      <c r="C91" s="679">
        <v>1</v>
      </c>
      <c r="D91" s="880">
        <f t="shared" ref="D91:D99" si="8">D90-E90</f>
        <v>8847978.3000000007</v>
      </c>
      <c r="E91" s="794">
        <f t="shared" ref="E91:E99" si="9">$L$86</f>
        <v>983108.7</v>
      </c>
      <c r="F91" s="793">
        <f>$C$80*D90</f>
        <v>2457771.75</v>
      </c>
      <c r="G91" s="812">
        <f>E90+E91</f>
        <v>1966217.4</v>
      </c>
      <c r="H91" s="808">
        <f>F91+F90</f>
        <v>4915543.5</v>
      </c>
      <c r="I91" s="680"/>
      <c r="J91" s="809">
        <f t="shared" ref="J91:J99" si="10">F91+E91</f>
        <v>3440880.45</v>
      </c>
    </row>
    <row r="92" spans="1:14">
      <c r="A92" s="635">
        <v>30</v>
      </c>
      <c r="B92" s="668">
        <v>6</v>
      </c>
      <c r="C92" s="679">
        <v>2</v>
      </c>
      <c r="D92" s="793">
        <f t="shared" si="8"/>
        <v>7864869.6000000006</v>
      </c>
      <c r="E92" s="794">
        <f t="shared" si="9"/>
        <v>983108.7</v>
      </c>
      <c r="F92" s="793">
        <f t="shared" ref="F92:F99" si="11">$C$80*D91</f>
        <v>2211994.5750000002</v>
      </c>
      <c r="G92" s="643"/>
      <c r="H92" s="643"/>
      <c r="I92" s="680"/>
      <c r="J92" s="809">
        <f t="shared" si="10"/>
        <v>3195103.2750000004</v>
      </c>
    </row>
    <row r="93" spans="1:14">
      <c r="A93" s="635">
        <v>31</v>
      </c>
      <c r="B93" s="668">
        <v>12</v>
      </c>
      <c r="C93" s="679">
        <v>2</v>
      </c>
      <c r="D93" s="880">
        <f t="shared" si="8"/>
        <v>6881760.9000000004</v>
      </c>
      <c r="E93" s="794">
        <f t="shared" si="9"/>
        <v>983108.7</v>
      </c>
      <c r="F93" s="793">
        <f t="shared" si="11"/>
        <v>1966217.4000000001</v>
      </c>
      <c r="G93" s="812">
        <f>E93+E92</f>
        <v>1966217.4</v>
      </c>
      <c r="H93" s="808">
        <f>F93+F92</f>
        <v>4178211.9750000006</v>
      </c>
      <c r="I93" s="680"/>
      <c r="J93" s="809">
        <f t="shared" si="10"/>
        <v>2949326.1</v>
      </c>
    </row>
    <row r="94" spans="1:14">
      <c r="A94" s="635">
        <v>30</v>
      </c>
      <c r="B94" s="668">
        <v>6</v>
      </c>
      <c r="C94" s="679">
        <v>3</v>
      </c>
      <c r="D94" s="793">
        <f t="shared" si="8"/>
        <v>5898652.2000000002</v>
      </c>
      <c r="E94" s="794">
        <f t="shared" si="9"/>
        <v>983108.7</v>
      </c>
      <c r="F94" s="793">
        <f t="shared" si="11"/>
        <v>1720440.2250000001</v>
      </c>
      <c r="G94" s="643"/>
      <c r="H94" s="643"/>
      <c r="I94" s="680"/>
      <c r="J94" s="809">
        <f t="shared" si="10"/>
        <v>2703548.9249999998</v>
      </c>
    </row>
    <row r="95" spans="1:14">
      <c r="A95" s="635">
        <v>31</v>
      </c>
      <c r="B95" s="668">
        <v>12</v>
      </c>
      <c r="C95" s="679">
        <v>3</v>
      </c>
      <c r="D95" s="880">
        <f t="shared" si="8"/>
        <v>4915543.5</v>
      </c>
      <c r="E95" s="794">
        <f t="shared" si="9"/>
        <v>983108.7</v>
      </c>
      <c r="F95" s="793">
        <f t="shared" si="11"/>
        <v>1474663.05</v>
      </c>
      <c r="G95" s="812">
        <f>E95+E94</f>
        <v>1966217.4</v>
      </c>
      <c r="H95" s="808">
        <f>F95+F94</f>
        <v>3195103.2750000004</v>
      </c>
      <c r="I95" s="680"/>
      <c r="J95" s="809">
        <f t="shared" si="10"/>
        <v>2457771.75</v>
      </c>
    </row>
    <row r="96" spans="1:14">
      <c r="A96" s="635">
        <v>30</v>
      </c>
      <c r="B96" s="668">
        <v>6</v>
      </c>
      <c r="C96" s="679">
        <v>4</v>
      </c>
      <c r="D96" s="793">
        <f t="shared" si="8"/>
        <v>3932434.8</v>
      </c>
      <c r="E96" s="794">
        <f t="shared" si="9"/>
        <v>983108.7</v>
      </c>
      <c r="F96" s="793">
        <f t="shared" si="11"/>
        <v>1228885.875</v>
      </c>
      <c r="G96" s="643"/>
      <c r="H96" s="643"/>
      <c r="I96" s="680"/>
      <c r="J96" s="809">
        <f t="shared" si="10"/>
        <v>2211994.5750000002</v>
      </c>
    </row>
    <row r="97" spans="1:10">
      <c r="A97" s="635">
        <v>31</v>
      </c>
      <c r="B97" s="668">
        <v>12</v>
      </c>
      <c r="C97" s="679">
        <v>4</v>
      </c>
      <c r="D97" s="793">
        <f t="shared" si="8"/>
        <v>2949326.0999999996</v>
      </c>
      <c r="E97" s="794">
        <f t="shared" si="9"/>
        <v>983108.7</v>
      </c>
      <c r="F97" s="793">
        <f t="shared" si="11"/>
        <v>983108.7</v>
      </c>
      <c r="G97" s="812">
        <f>E97+E96</f>
        <v>1966217.4</v>
      </c>
      <c r="H97" s="808">
        <f>F97+F96</f>
        <v>2211994.5750000002</v>
      </c>
      <c r="I97" s="680"/>
      <c r="J97" s="809">
        <f t="shared" si="10"/>
        <v>1966217.4</v>
      </c>
    </row>
    <row r="98" spans="1:10">
      <c r="A98" s="635">
        <v>30</v>
      </c>
      <c r="B98" s="668">
        <v>6</v>
      </c>
      <c r="C98" s="679">
        <v>5</v>
      </c>
      <c r="D98" s="793">
        <f t="shared" si="8"/>
        <v>1966217.3999999997</v>
      </c>
      <c r="E98" s="794">
        <f t="shared" si="9"/>
        <v>983108.7</v>
      </c>
      <c r="F98" s="793">
        <f t="shared" si="11"/>
        <v>737331.52499999991</v>
      </c>
      <c r="G98" s="643"/>
      <c r="H98" s="643"/>
      <c r="I98" s="680"/>
      <c r="J98" s="809">
        <f t="shared" si="10"/>
        <v>1720440.2249999999</v>
      </c>
    </row>
    <row r="99" spans="1:10">
      <c r="A99" s="635">
        <v>31</v>
      </c>
      <c r="B99" s="668">
        <v>12</v>
      </c>
      <c r="C99" s="679">
        <v>5</v>
      </c>
      <c r="D99" s="793">
        <f t="shared" si="8"/>
        <v>983108.69999999972</v>
      </c>
      <c r="E99" s="794">
        <f t="shared" si="9"/>
        <v>983108.7</v>
      </c>
      <c r="F99" s="793">
        <f t="shared" si="11"/>
        <v>491554.34999999992</v>
      </c>
      <c r="G99" s="812">
        <f>E99+E98</f>
        <v>1966217.4</v>
      </c>
      <c r="H99" s="808">
        <f>F99+F98</f>
        <v>1228885.8749999998</v>
      </c>
      <c r="I99" s="643"/>
      <c r="J99" s="809">
        <f t="shared" si="10"/>
        <v>1474663.0499999998</v>
      </c>
    </row>
    <row r="100" spans="1:10">
      <c r="A100" s="635">
        <v>1</v>
      </c>
      <c r="B100" s="668">
        <v>1</v>
      </c>
      <c r="C100" s="679">
        <v>6</v>
      </c>
      <c r="D100" s="874">
        <f>D99-E99</f>
        <v>0</v>
      </c>
      <c r="E100" s="635"/>
      <c r="F100" s="668"/>
      <c r="G100" s="635"/>
      <c r="H100" s="668"/>
      <c r="I100" s="635"/>
      <c r="J100" s="668"/>
    </row>
    <row r="101" spans="1:10">
      <c r="A101" s="1014" t="s">
        <v>224</v>
      </c>
      <c r="B101" s="1015"/>
      <c r="C101" s="1015"/>
      <c r="D101" s="1016"/>
      <c r="E101" s="806">
        <f>SUM(E90:E99)</f>
        <v>9831087</v>
      </c>
      <c r="F101" s="806">
        <f>SUM(F90:F99)</f>
        <v>15729739.199999999</v>
      </c>
      <c r="G101" s="806">
        <f>SUM(G91:G99)</f>
        <v>9831087</v>
      </c>
      <c r="H101" s="806">
        <f>SUM(H91:H99)</f>
        <v>15729739.200000003</v>
      </c>
      <c r="I101" s="644"/>
      <c r="J101" s="810">
        <f>SUM(J90:J99)</f>
        <v>25560826.199999999</v>
      </c>
    </row>
    <row r="102" spans="1:10">
      <c r="A102" s="634"/>
      <c r="B102" s="637"/>
      <c r="C102" s="637"/>
      <c r="D102" s="637"/>
      <c r="E102" s="634"/>
      <c r="F102" s="634"/>
      <c r="G102" s="634"/>
      <c r="H102" s="634"/>
      <c r="I102" s="634"/>
      <c r="J102" s="634"/>
    </row>
    <row r="103" spans="1:10">
      <c r="A103" s="665"/>
      <c r="B103" s="638" t="s">
        <v>777</v>
      </c>
      <c r="C103" s="637"/>
      <c r="D103" s="813">
        <f>J59+J88</f>
        <v>1933447.1099999999</v>
      </c>
      <c r="E103" s="634"/>
      <c r="F103" s="634"/>
      <c r="G103" s="634"/>
      <c r="H103" s="634"/>
      <c r="I103" s="634"/>
      <c r="J103" s="634"/>
    </row>
    <row r="106" spans="1:10" ht="15.75">
      <c r="A106" s="1026" t="s">
        <v>778</v>
      </c>
      <c r="B106" s="1026"/>
      <c r="C106" s="1026"/>
      <c r="D106" s="1026"/>
      <c r="E106" s="1026"/>
      <c r="F106" s="1026"/>
      <c r="G106" s="1026"/>
      <c r="H106" s="1026"/>
      <c r="I106" s="1026"/>
    </row>
    <row r="107" spans="1:10">
      <c r="A107" s="634"/>
      <c r="B107" s="634"/>
      <c r="C107" s="634"/>
      <c r="D107" s="634"/>
      <c r="E107" s="634"/>
      <c r="F107" s="634"/>
      <c r="G107" s="634"/>
      <c r="H107" s="634"/>
      <c r="I107" s="634"/>
    </row>
    <row r="108" spans="1:10">
      <c r="A108" s="634"/>
      <c r="B108" s="634"/>
      <c r="C108" s="634"/>
      <c r="D108" s="634"/>
      <c r="E108" s="634"/>
      <c r="F108" s="634"/>
      <c r="G108" s="634"/>
      <c r="H108" s="634"/>
      <c r="I108" s="634"/>
    </row>
    <row r="109" spans="1:10" ht="15.75">
      <c r="A109" s="1026" t="s">
        <v>779</v>
      </c>
      <c r="B109" s="1026"/>
      <c r="C109" s="1026"/>
      <c r="D109" s="1026"/>
      <c r="E109" s="1026"/>
      <c r="F109" s="1026"/>
      <c r="G109" s="1026"/>
      <c r="H109" s="1026"/>
      <c r="I109" s="1026"/>
    </row>
    <row r="110" spans="1:10" ht="15">
      <c r="A110" s="634"/>
      <c r="B110" s="634"/>
      <c r="C110" s="634"/>
      <c r="D110" s="634"/>
      <c r="E110" s="634"/>
      <c r="F110" s="634" t="s">
        <v>780</v>
      </c>
      <c r="G110" s="634"/>
      <c r="H110" s="634">
        <v>3</v>
      </c>
      <c r="I110" s="661" t="s">
        <v>781</v>
      </c>
    </row>
    <row r="111" spans="1:10">
      <c r="A111" s="637" t="s">
        <v>782</v>
      </c>
      <c r="B111" s="633">
        <v>5</v>
      </c>
      <c r="C111" s="637"/>
      <c r="D111" s="637"/>
      <c r="E111" s="637"/>
      <c r="F111" s="634"/>
      <c r="G111" s="634"/>
      <c r="H111" s="634"/>
      <c r="I111" s="634"/>
    </row>
    <row r="112" spans="1:10" ht="24">
      <c r="A112" s="689" t="s">
        <v>783</v>
      </c>
      <c r="B112" s="690" t="s">
        <v>784</v>
      </c>
      <c r="C112" s="690" t="s">
        <v>785</v>
      </c>
      <c r="D112" s="690" t="s">
        <v>786</v>
      </c>
      <c r="E112" s="691" t="s">
        <v>787</v>
      </c>
      <c r="F112" s="634"/>
      <c r="G112" s="634"/>
      <c r="H112" s="634"/>
      <c r="I112" s="634"/>
    </row>
    <row r="113" spans="1:14">
      <c r="A113" s="635">
        <v>1</v>
      </c>
      <c r="B113" s="794">
        <f>($J$88+$J$59)/$H$110</f>
        <v>644482.37</v>
      </c>
      <c r="C113" s="794">
        <f>$B$17</f>
        <v>287842.06393800001</v>
      </c>
      <c r="D113" s="794">
        <f>H91+H62</f>
        <v>4915543.5</v>
      </c>
      <c r="E113" s="809">
        <f>SUM(B113:D113)</f>
        <v>5847867.9339380004</v>
      </c>
      <c r="F113" s="634"/>
      <c r="G113" s="634"/>
      <c r="H113" s="634"/>
      <c r="I113" s="634"/>
    </row>
    <row r="114" spans="1:14">
      <c r="A114" s="635">
        <v>2</v>
      </c>
      <c r="B114" s="794">
        <f>($J$88+$J$59)/$H$110</f>
        <v>644482.37</v>
      </c>
      <c r="C114" s="794">
        <f t="shared" ref="C114:C117" si="12">$B$17</f>
        <v>287842.06393800001</v>
      </c>
      <c r="D114" s="794">
        <f>H93+H64</f>
        <v>4178211.9750000006</v>
      </c>
      <c r="E114" s="809">
        <f t="shared" ref="E114:E117" si="13">SUM(B114:D114)</f>
        <v>5110536.4089380009</v>
      </c>
      <c r="F114" s="634"/>
      <c r="G114" s="634"/>
      <c r="H114" s="634"/>
      <c r="I114" s="634"/>
    </row>
    <row r="115" spans="1:14">
      <c r="A115" s="635">
        <v>3</v>
      </c>
      <c r="B115" s="794">
        <f>($J$88+$J$59)/$H$110</f>
        <v>644482.37</v>
      </c>
      <c r="C115" s="794">
        <f t="shared" si="12"/>
        <v>287842.06393800001</v>
      </c>
      <c r="D115" s="794">
        <f>H95+H66</f>
        <v>3195103.2750000004</v>
      </c>
      <c r="E115" s="809">
        <f t="shared" si="13"/>
        <v>4127427.7089380003</v>
      </c>
      <c r="F115" s="634"/>
      <c r="G115" s="634"/>
      <c r="H115" s="634"/>
      <c r="I115" s="634"/>
    </row>
    <row r="116" spans="1:14">
      <c r="A116" s="635">
        <v>4</v>
      </c>
      <c r="B116" s="668"/>
      <c r="C116" s="794">
        <f t="shared" si="12"/>
        <v>287842.06393800001</v>
      </c>
      <c r="D116" s="794">
        <f>H97+H68</f>
        <v>2211994.5750000002</v>
      </c>
      <c r="E116" s="809">
        <f t="shared" si="13"/>
        <v>2499836.6389380004</v>
      </c>
      <c r="F116" s="634"/>
      <c r="G116" s="634"/>
      <c r="H116" s="634"/>
      <c r="I116" s="634"/>
    </row>
    <row r="117" spans="1:14">
      <c r="A117" s="635">
        <v>5</v>
      </c>
      <c r="B117" s="668"/>
      <c r="C117" s="794">
        <f t="shared" si="12"/>
        <v>287842.06393800001</v>
      </c>
      <c r="D117" s="794">
        <f>H99+H70</f>
        <v>1228885.8749999998</v>
      </c>
      <c r="E117" s="809">
        <f t="shared" si="13"/>
        <v>1516727.9389379998</v>
      </c>
      <c r="F117" s="634"/>
      <c r="G117" s="634"/>
      <c r="H117" s="634"/>
      <c r="I117" s="634"/>
    </row>
    <row r="118" spans="1:14">
      <c r="A118" s="692" t="s">
        <v>788</v>
      </c>
      <c r="B118" s="806">
        <f t="shared" ref="B118" si="14">SUM(B113:B117)</f>
        <v>1933447.1099999999</v>
      </c>
      <c r="C118" s="806">
        <f t="shared" ref="C118" si="15">SUM(C113:C117)</f>
        <v>1439210.31969</v>
      </c>
      <c r="D118" s="806">
        <f t="shared" ref="D118:E118" si="16">SUM(D113:D117)</f>
        <v>15729739.200000003</v>
      </c>
      <c r="E118" s="806">
        <f t="shared" si="16"/>
        <v>19102396.629690003</v>
      </c>
      <c r="F118" s="634"/>
      <c r="G118" s="634"/>
      <c r="H118" s="634"/>
      <c r="I118" s="634"/>
    </row>
    <row r="119" spans="1:14">
      <c r="A119" s="634"/>
      <c r="B119" s="634"/>
      <c r="C119" s="634"/>
      <c r="D119" s="634"/>
      <c r="E119" s="634"/>
      <c r="F119" s="634"/>
      <c r="G119" s="634"/>
      <c r="H119" s="634"/>
      <c r="I119" s="634"/>
    </row>
    <row r="120" spans="1:14" ht="15.75">
      <c r="A120" s="1026" t="s">
        <v>789</v>
      </c>
      <c r="B120" s="1026"/>
      <c r="C120" s="1026"/>
      <c r="D120" s="1026"/>
      <c r="E120" s="1026"/>
      <c r="F120" s="1026"/>
      <c r="G120" s="1026"/>
      <c r="H120" s="1026"/>
      <c r="I120" s="1026"/>
    </row>
    <row r="121" spans="1:14">
      <c r="A121" s="634"/>
      <c r="B121" s="634"/>
      <c r="C121" s="634"/>
      <c r="D121" s="634"/>
      <c r="E121" s="634"/>
      <c r="F121" s="634"/>
      <c r="G121" s="634"/>
      <c r="H121" s="634"/>
      <c r="I121" s="634"/>
    </row>
    <row r="122" spans="1:14">
      <c r="A122" s="634"/>
      <c r="B122" s="634"/>
      <c r="C122" s="634"/>
      <c r="D122" s="634"/>
      <c r="E122" s="634"/>
      <c r="F122" s="634"/>
      <c r="G122" s="634"/>
      <c r="H122" s="634"/>
      <c r="I122" s="634"/>
    </row>
    <row r="123" spans="1:14" ht="15.75">
      <c r="A123" s="1026" t="s">
        <v>790</v>
      </c>
      <c r="B123" s="1026"/>
      <c r="C123" s="1026"/>
      <c r="D123" s="1026"/>
      <c r="E123" s="1026"/>
      <c r="F123" s="1026"/>
      <c r="G123" s="1026"/>
      <c r="H123" s="1026"/>
      <c r="I123" s="1026"/>
    </row>
    <row r="124" spans="1:14">
      <c r="A124" s="634"/>
      <c r="B124" s="634"/>
      <c r="C124" s="634"/>
      <c r="D124" s="634"/>
      <c r="E124" s="634"/>
      <c r="F124" s="634"/>
      <c r="G124" s="634"/>
      <c r="H124" s="634"/>
      <c r="I124" s="634"/>
    </row>
    <row r="125" spans="1:14">
      <c r="A125" s="634"/>
      <c r="B125" s="634"/>
      <c r="C125" s="634"/>
      <c r="D125" s="634"/>
      <c r="E125" s="634"/>
      <c r="F125" s="634"/>
      <c r="G125" s="634"/>
      <c r="H125" s="634"/>
      <c r="I125" s="634"/>
    </row>
    <row r="126" spans="1:14">
      <c r="A126" s="634"/>
      <c r="B126" s="634"/>
      <c r="C126" s="634"/>
      <c r="D126" s="634"/>
      <c r="E126" s="634"/>
      <c r="F126" s="634"/>
      <c r="G126" s="634"/>
      <c r="H126" s="695"/>
      <c r="I126" s="634"/>
      <c r="J126" s="634"/>
      <c r="K126" s="634"/>
      <c r="L126" s="634"/>
      <c r="M126" s="159"/>
    </row>
    <row r="127" spans="1:14" ht="15">
      <c r="A127" s="696" t="s">
        <v>791</v>
      </c>
      <c r="B127" s="634"/>
      <c r="C127" s="634"/>
      <c r="D127" s="634"/>
      <c r="E127" s="634"/>
      <c r="F127" s="634"/>
      <c r="G127" s="667"/>
      <c r="H127" s="794">
        <f>B118*(1+21%)</f>
        <v>2339471.0030999999</v>
      </c>
      <c r="I127" s="634"/>
      <c r="J127" s="634" t="s">
        <v>792</v>
      </c>
      <c r="K127" s="634"/>
      <c r="L127" s="698"/>
      <c r="M127" s="814">
        <f>H127/'E-Inv AF y Am'!G58</f>
        <v>9.0751493453835833E-2</v>
      </c>
      <c r="N127" s="159"/>
    </row>
    <row r="128" spans="1:14">
      <c r="A128" s="634"/>
      <c r="B128" s="634"/>
      <c r="C128" s="634"/>
      <c r="D128" s="634"/>
      <c r="E128" s="634"/>
      <c r="F128" s="634"/>
      <c r="G128" s="634"/>
      <c r="H128" s="634"/>
      <c r="I128" s="634"/>
      <c r="J128" s="634"/>
      <c r="K128" s="634"/>
      <c r="L128" s="634"/>
      <c r="M128" s="159"/>
    </row>
    <row r="129" spans="1:12" ht="15">
      <c r="A129" s="634"/>
      <c r="B129" s="634"/>
      <c r="C129" s="697" t="s">
        <v>793</v>
      </c>
      <c r="D129" s="634"/>
      <c r="E129" s="634"/>
      <c r="F129" s="634"/>
      <c r="G129" s="634"/>
      <c r="H129" s="634"/>
      <c r="I129" s="634"/>
      <c r="J129" s="634"/>
      <c r="K129" s="634"/>
      <c r="L129" s="634"/>
    </row>
    <row r="130" spans="1:12" ht="15">
      <c r="A130" s="634"/>
      <c r="B130" s="634"/>
      <c r="C130" s="697" t="s">
        <v>794</v>
      </c>
      <c r="D130" s="634"/>
      <c r="E130" s="634"/>
      <c r="F130" s="634"/>
      <c r="G130" s="634"/>
      <c r="H130" s="634"/>
      <c r="I130" s="634"/>
      <c r="J130" s="634"/>
      <c r="K130" s="634"/>
      <c r="L130" s="634"/>
    </row>
    <row r="131" spans="1:12" ht="15">
      <c r="A131" s="634"/>
      <c r="B131" s="634"/>
      <c r="C131" s="697" t="s">
        <v>795</v>
      </c>
      <c r="D131" s="634"/>
      <c r="E131" s="634"/>
      <c r="F131" s="634"/>
      <c r="G131" s="634"/>
      <c r="H131" s="634"/>
      <c r="I131" s="634"/>
      <c r="J131" s="634"/>
      <c r="K131" s="634"/>
      <c r="L131" s="634"/>
    </row>
    <row r="132" spans="1:12" ht="15">
      <c r="A132" s="634"/>
      <c r="B132" s="634"/>
      <c r="C132" s="697" t="s">
        <v>796</v>
      </c>
      <c r="D132" s="634"/>
      <c r="E132" s="634"/>
      <c r="F132" s="634"/>
      <c r="G132" s="634"/>
      <c r="H132" s="634"/>
      <c r="I132" s="634"/>
      <c r="J132" s="634"/>
      <c r="K132" s="634"/>
      <c r="L132" s="634"/>
    </row>
    <row r="133" spans="1:12">
      <c r="A133" s="634"/>
      <c r="B133" s="634"/>
      <c r="C133" s="634"/>
      <c r="D133" s="634"/>
      <c r="E133" s="634"/>
      <c r="F133" s="634"/>
      <c r="G133" s="634"/>
      <c r="H133" s="634"/>
      <c r="I133" s="634"/>
      <c r="J133" s="634"/>
      <c r="K133" s="634"/>
      <c r="L133" s="634"/>
    </row>
    <row r="135" spans="1:12" ht="15.75">
      <c r="A135" s="1026" t="s">
        <v>797</v>
      </c>
      <c r="B135" s="1026"/>
      <c r="C135" s="1026"/>
      <c r="D135" s="1026"/>
      <c r="E135" s="1026"/>
      <c r="F135" s="1026"/>
      <c r="G135" s="1026"/>
      <c r="H135" s="1026"/>
      <c r="I135" s="1026"/>
    </row>
    <row r="136" spans="1:12">
      <c r="A136" s="634"/>
      <c r="B136" s="634"/>
      <c r="C136" s="634"/>
      <c r="D136" s="634"/>
      <c r="E136" s="634"/>
      <c r="F136" s="634"/>
      <c r="G136" s="634"/>
      <c r="H136" s="634"/>
      <c r="I136" s="634"/>
    </row>
    <row r="137" spans="1:12" ht="15.75">
      <c r="A137" s="1026" t="s">
        <v>798</v>
      </c>
      <c r="B137" s="1026"/>
      <c r="C137" s="1026"/>
      <c r="D137" s="1026"/>
      <c r="E137" s="1026"/>
      <c r="F137" s="1026"/>
      <c r="G137" s="1026"/>
      <c r="H137" s="1026"/>
      <c r="I137" s="1026"/>
    </row>
    <row r="138" spans="1:12">
      <c r="A138" s="634"/>
      <c r="B138" s="695"/>
      <c r="C138" s="695"/>
      <c r="D138" s="695"/>
      <c r="E138" s="695"/>
      <c r="F138" s="695"/>
      <c r="G138" s="695"/>
      <c r="H138" s="634"/>
      <c r="I138" s="634"/>
    </row>
    <row r="139" spans="1:12">
      <c r="A139" s="667"/>
      <c r="B139" s="735" t="s">
        <v>783</v>
      </c>
      <c r="C139" s="640" t="s">
        <v>799</v>
      </c>
      <c r="D139" s="640" t="s">
        <v>800</v>
      </c>
      <c r="E139" s="640" t="s">
        <v>801</v>
      </c>
      <c r="F139" s="640" t="s">
        <v>19</v>
      </c>
      <c r="G139" s="841" t="s">
        <v>802</v>
      </c>
      <c r="H139" s="634"/>
      <c r="I139" s="634"/>
    </row>
    <row r="140" spans="1:12">
      <c r="A140" s="667"/>
      <c r="B140" s="636">
        <v>1</v>
      </c>
      <c r="C140" s="838">
        <f>'E-Costos'!F187</f>
        <v>1303938086.6020787</v>
      </c>
      <c r="D140" s="838">
        <f>'E-Costos'!E187</f>
        <v>80628171.105477259</v>
      </c>
      <c r="E140" s="839">
        <f>E113</f>
        <v>5847867.9339380004</v>
      </c>
      <c r="F140" s="838">
        <f>'E-Costos'!D187</f>
        <v>1417500000</v>
      </c>
      <c r="G140" s="840">
        <f>(E140+D140)/(F140-C140)</f>
        <v>0.76148804165004624</v>
      </c>
      <c r="H140" s="736"/>
      <c r="I140" s="634"/>
    </row>
    <row r="141" spans="1:12">
      <c r="A141" s="667"/>
      <c r="B141" s="636">
        <v>2</v>
      </c>
      <c r="C141" s="838">
        <f>'E-Costos'!$F$212</f>
        <v>3371335921.1614208</v>
      </c>
      <c r="D141" s="838">
        <f>'E-Costos'!$E$193</f>
        <v>97509462.060477257</v>
      </c>
      <c r="E141" s="839">
        <f>E114</f>
        <v>5110536.4089380009</v>
      </c>
      <c r="F141" s="838">
        <f>'E-Costos'!$D$212</f>
        <v>1984500000</v>
      </c>
      <c r="G141" s="840">
        <f>(E141+D141)/(F141-C141)</f>
        <v>-7.3995774773035178E-2</v>
      </c>
      <c r="H141" s="736"/>
      <c r="I141" s="634"/>
    </row>
    <row r="142" spans="1:12">
      <c r="A142" s="667"/>
      <c r="B142" s="636">
        <v>3</v>
      </c>
      <c r="C142" s="838">
        <f>'E-Costos'!$F$212</f>
        <v>3371335921.1614208</v>
      </c>
      <c r="D142" s="838">
        <f>'E-Costos'!$E$193</f>
        <v>97509462.060477257</v>
      </c>
      <c r="E142" s="839">
        <f>E115</f>
        <v>4127427.7089380003</v>
      </c>
      <c r="F142" s="838">
        <f>'E-Costos'!$D$212</f>
        <v>1984500000</v>
      </c>
      <c r="G142" s="840">
        <f>(E142+D142)/(F142-C142)</f>
        <v>-7.3286888678437412E-2</v>
      </c>
      <c r="H142" s="736"/>
      <c r="I142" s="634"/>
    </row>
    <row r="143" spans="1:12">
      <c r="A143" s="667"/>
      <c r="B143" s="636">
        <v>4</v>
      </c>
      <c r="C143" s="838">
        <f>'E-Costos'!$F$212</f>
        <v>3371335921.1614208</v>
      </c>
      <c r="D143" s="838">
        <f>'E-Costos'!$E$193</f>
        <v>97509462.060477257</v>
      </c>
      <c r="E143" s="839">
        <f>E116</f>
        <v>2499836.6389380004</v>
      </c>
      <c r="F143" s="838">
        <f>'E-Costos'!$D$212</f>
        <v>1984500000</v>
      </c>
      <c r="G143" s="840">
        <f>(E143+D143)/(F143-C143)</f>
        <v>-7.2113288366270012E-2</v>
      </c>
      <c r="H143" s="736"/>
      <c r="I143" s="634"/>
    </row>
    <row r="144" spans="1:12">
      <c r="A144" s="667"/>
      <c r="B144" s="636">
        <v>5</v>
      </c>
      <c r="C144" s="838">
        <f>'E-Costos'!$F$212</f>
        <v>3371335921.1614208</v>
      </c>
      <c r="D144" s="838">
        <f>'E-Costos'!$E$193</f>
        <v>97509462.060477257</v>
      </c>
      <c r="E144" s="839">
        <f>E117</f>
        <v>1516727.9389379998</v>
      </c>
      <c r="F144" s="838">
        <f>'E-Costos'!$D$212</f>
        <v>1984500000</v>
      </c>
      <c r="G144" s="840">
        <f>(E144+D144)/(F144-C144)</f>
        <v>-7.1404402271672274E-2</v>
      </c>
      <c r="H144" s="736"/>
      <c r="I144" s="634"/>
    </row>
    <row r="145" spans="1:9">
      <c r="A145" s="634"/>
      <c r="B145" s="634"/>
      <c r="C145" s="736"/>
      <c r="D145" s="736"/>
      <c r="E145" s="736"/>
      <c r="F145" s="736"/>
      <c r="G145" s="736"/>
      <c r="H145" s="634"/>
      <c r="I145" s="634"/>
    </row>
    <row r="147" spans="1:9">
      <c r="B147" s="159"/>
      <c r="C147" s="159"/>
      <c r="D147" s="159"/>
      <c r="E147" s="159"/>
      <c r="F147" s="159"/>
      <c r="G147" s="159"/>
    </row>
    <row r="148" spans="1:9">
      <c r="A148" s="736"/>
      <c r="B148" s="736"/>
      <c r="C148" s="736"/>
      <c r="D148" s="736"/>
      <c r="E148" s="736"/>
      <c r="F148" s="736"/>
      <c r="G148" s="736"/>
      <c r="H148" s="736"/>
      <c r="I148" s="634"/>
    </row>
    <row r="149" spans="1:9" ht="15.75">
      <c r="A149" s="1026" t="s">
        <v>803</v>
      </c>
      <c r="B149" s="1030"/>
      <c r="C149" s="1030"/>
      <c r="D149" s="1030"/>
      <c r="E149" s="1030"/>
      <c r="F149" s="1030"/>
      <c r="G149" s="1030"/>
      <c r="H149" s="1026"/>
      <c r="I149" s="1026"/>
    </row>
    <row r="150" spans="1:9">
      <c r="A150" s="634"/>
      <c r="B150" s="634"/>
      <c r="C150" s="634"/>
      <c r="D150" s="634"/>
      <c r="E150" s="634"/>
      <c r="F150" s="634"/>
      <c r="G150" s="634"/>
      <c r="H150" s="634"/>
      <c r="I150" s="634"/>
    </row>
    <row r="151" spans="1:9" ht="15.75">
      <c r="A151" s="1026" t="s">
        <v>804</v>
      </c>
      <c r="B151" s="1026"/>
      <c r="C151" s="1026"/>
      <c r="D151" s="1026"/>
      <c r="E151" s="1026"/>
      <c r="F151" s="1026"/>
      <c r="G151" s="1026"/>
      <c r="H151" s="1026"/>
      <c r="I151" s="1026"/>
    </row>
    <row r="152" spans="1:9">
      <c r="A152" s="634"/>
      <c r="B152" s="634"/>
      <c r="C152" s="634"/>
      <c r="D152" s="634"/>
      <c r="E152" s="634"/>
      <c r="F152" s="634"/>
      <c r="G152" s="634"/>
      <c r="H152" s="634"/>
      <c r="I152" s="634"/>
    </row>
    <row r="153" spans="1:9" ht="15.75">
      <c r="A153" s="1026" t="s">
        <v>805</v>
      </c>
      <c r="B153" s="1026"/>
      <c r="C153" s="1026"/>
      <c r="D153" s="1026"/>
      <c r="E153" s="1026"/>
      <c r="F153" s="1026"/>
      <c r="G153" s="1026"/>
      <c r="H153" s="1026"/>
      <c r="I153" s="1026"/>
    </row>
  </sheetData>
  <mergeCells count="38"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  <mergeCell ref="C88:E88"/>
    <mergeCell ref="A101:D101"/>
    <mergeCell ref="A137:I137"/>
    <mergeCell ref="A149:I149"/>
    <mergeCell ref="A151:I151"/>
    <mergeCell ref="A153:I153"/>
    <mergeCell ref="A106:I106"/>
    <mergeCell ref="A109:I109"/>
    <mergeCell ref="A120:I120"/>
    <mergeCell ref="A123:I123"/>
    <mergeCell ref="A135:I135"/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workbookViewId="0">
      <selection activeCell="I32" sqref="I32"/>
    </sheetView>
  </sheetViews>
  <sheetFormatPr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41"/>
      <c r="B1" s="741" t="s">
        <v>806</v>
      </c>
      <c r="C1" s="742"/>
      <c r="D1" s="742"/>
      <c r="E1" s="742"/>
      <c r="F1" s="742"/>
      <c r="G1" s="741"/>
      <c r="H1" s="741" t="s">
        <v>807</v>
      </c>
      <c r="I1" s="741"/>
      <c r="J1" s="741"/>
      <c r="K1" s="741"/>
      <c r="L1" s="741"/>
      <c r="M1" s="741"/>
      <c r="N1" s="741"/>
      <c r="O1" s="741"/>
    </row>
    <row r="2" spans="1:15">
      <c r="A2" s="1036"/>
      <c r="B2" s="1036"/>
      <c r="C2" s="1036"/>
      <c r="D2" s="1036"/>
      <c r="E2" s="1036"/>
      <c r="F2" s="1036"/>
      <c r="G2" s="741"/>
      <c r="H2" s="741"/>
      <c r="I2" s="741"/>
      <c r="J2" s="741"/>
      <c r="K2" s="741"/>
      <c r="L2" s="741"/>
      <c r="M2" s="741"/>
      <c r="N2" s="741"/>
      <c r="O2" s="741"/>
    </row>
    <row r="3" spans="1:15" ht="27" customHeight="1">
      <c r="A3" s="743" t="s">
        <v>808</v>
      </c>
      <c r="B3" s="744" t="s">
        <v>809</v>
      </c>
      <c r="C3" s="745">
        <v>2065.410711</v>
      </c>
      <c r="D3" s="746" t="s">
        <v>810</v>
      </c>
      <c r="E3" s="747"/>
      <c r="F3" s="742"/>
      <c r="G3" s="748" t="s">
        <v>811</v>
      </c>
      <c r="H3" s="748" t="s">
        <v>812</v>
      </c>
      <c r="I3" s="748" t="s">
        <v>813</v>
      </c>
      <c r="J3" s="748" t="s">
        <v>814</v>
      </c>
      <c r="K3" s="748" t="s">
        <v>815</v>
      </c>
      <c r="L3" s="748" t="s">
        <v>816</v>
      </c>
      <c r="M3" s="230" t="s">
        <v>817</v>
      </c>
      <c r="N3" s="741">
        <f>1890/11.5</f>
        <v>164.34782608695653</v>
      </c>
      <c r="O3" s="741"/>
    </row>
    <row r="4" spans="1:15" ht="25.5" customHeight="1">
      <c r="A4" s="749"/>
      <c r="B4" s="744" t="s">
        <v>818</v>
      </c>
      <c r="C4" s="750">
        <v>0.08</v>
      </c>
      <c r="D4" s="747"/>
      <c r="E4" s="747"/>
      <c r="F4" s="747"/>
      <c r="G4" s="748">
        <v>1</v>
      </c>
      <c r="H4" s="751">
        <v>0</v>
      </c>
      <c r="I4" s="752">
        <v>0.25</v>
      </c>
      <c r="J4" s="753">
        <f>AVERAGE(H4:I4)</f>
        <v>0.125</v>
      </c>
      <c r="K4" s="754">
        <f>$C$6/11.75</f>
        <v>160.85106382978722</v>
      </c>
      <c r="L4" s="754">
        <f>J4*K4</f>
        <v>20.106382978723403</v>
      </c>
      <c r="M4" s="741"/>
      <c r="N4" s="741"/>
      <c r="O4" s="741"/>
    </row>
    <row r="5" spans="1:15" ht="27" customHeight="1">
      <c r="A5" s="749"/>
      <c r="B5" s="744" t="s">
        <v>819</v>
      </c>
      <c r="C5" s="750">
        <v>0</v>
      </c>
      <c r="D5" s="747"/>
      <c r="E5" s="747"/>
      <c r="F5" s="747"/>
      <c r="G5" s="748">
        <v>2</v>
      </c>
      <c r="H5" s="752">
        <v>0.25</v>
      </c>
      <c r="I5" s="752">
        <v>0.55000000000000004</v>
      </c>
      <c r="J5" s="753">
        <f>AVERAGE(H5:I5)</f>
        <v>0.4</v>
      </c>
      <c r="K5" s="754">
        <f t="shared" ref="K5:K6" si="0">$C$6/11.75</f>
        <v>160.85106382978722</v>
      </c>
      <c r="L5" s="754">
        <f>J5*K5</f>
        <v>64.340425531914889</v>
      </c>
      <c r="M5" s="741"/>
      <c r="N5" s="741"/>
      <c r="O5" s="741"/>
    </row>
    <row r="6" spans="1:15" ht="19.5" customHeight="1">
      <c r="A6" s="749"/>
      <c r="B6" s="744" t="s">
        <v>820</v>
      </c>
      <c r="C6" s="755">
        <v>1890</v>
      </c>
      <c r="D6" s="746" t="s">
        <v>810</v>
      </c>
      <c r="E6" s="747"/>
      <c r="F6" s="747"/>
      <c r="G6" s="748">
        <v>3</v>
      </c>
      <c r="H6" s="752">
        <v>0.55000000000000004</v>
      </c>
      <c r="I6" s="752">
        <v>1</v>
      </c>
      <c r="J6" s="753">
        <f t="shared" ref="J6" si="1">AVERAGE(H6:I6)</f>
        <v>0.77500000000000002</v>
      </c>
      <c r="K6" s="754">
        <f t="shared" si="0"/>
        <v>160.85106382978722</v>
      </c>
      <c r="L6" s="754">
        <f>J6*K6</f>
        <v>124.6595744680851</v>
      </c>
      <c r="M6" s="741"/>
      <c r="N6" s="741"/>
      <c r="O6" s="741"/>
    </row>
    <row r="7" spans="1:15" ht="27" customHeight="1">
      <c r="A7" s="743" t="s">
        <v>821</v>
      </c>
      <c r="B7" s="744" t="s">
        <v>94</v>
      </c>
      <c r="C7" s="756">
        <v>3</v>
      </c>
      <c r="D7" s="746" t="s">
        <v>718</v>
      </c>
      <c r="E7" s="757">
        <f>11.5-C7</f>
        <v>8.5</v>
      </c>
      <c r="F7" s="747">
        <v>11.5</v>
      </c>
      <c r="G7" s="758"/>
      <c r="H7" s="759"/>
      <c r="I7" s="759"/>
      <c r="J7" s="759"/>
      <c r="K7" s="759"/>
      <c r="L7" s="760">
        <f>SUM(L4:L6)</f>
        <v>209.10638297872339</v>
      </c>
      <c r="M7" s="741"/>
      <c r="N7" s="741"/>
      <c r="O7" s="741"/>
    </row>
    <row r="8" spans="1:15">
      <c r="A8" s="1037" t="s">
        <v>822</v>
      </c>
      <c r="B8" s="1037"/>
      <c r="C8" s="1037"/>
      <c r="D8" s="1037"/>
      <c r="E8" s="1037"/>
      <c r="F8" s="1037"/>
      <c r="G8" s="741"/>
      <c r="H8" s="741"/>
      <c r="I8" s="741"/>
      <c r="J8" s="230" t="s">
        <v>823</v>
      </c>
      <c r="K8" s="741"/>
      <c r="L8" s="741">
        <f>8.75*K4</f>
        <v>1407.4468085106382</v>
      </c>
      <c r="M8" s="741"/>
      <c r="N8" s="741"/>
      <c r="O8" s="741"/>
    </row>
    <row r="9" spans="1:15" ht="13.5">
      <c r="A9" s="749"/>
      <c r="B9" s="743" t="s">
        <v>824</v>
      </c>
      <c r="C9" s="750">
        <v>0.25</v>
      </c>
      <c r="D9" s="747"/>
      <c r="E9" s="747"/>
      <c r="F9" s="747"/>
      <c r="G9" s="1038" t="s">
        <v>825</v>
      </c>
      <c r="H9" s="230" t="s">
        <v>826</v>
      </c>
      <c r="I9" s="741"/>
      <c r="J9" s="761">
        <f>L7+L8</f>
        <v>1616.5531914893616</v>
      </c>
      <c r="K9" s="741"/>
      <c r="L9" s="741"/>
      <c r="M9" s="741"/>
      <c r="N9" s="741"/>
      <c r="O9" s="741"/>
    </row>
    <row r="10" spans="1:15" ht="13.5">
      <c r="A10" s="749"/>
      <c r="B10" s="743" t="s">
        <v>827</v>
      </c>
      <c r="C10" s="750">
        <v>0.55000000000000004</v>
      </c>
      <c r="D10" s="747"/>
      <c r="E10" s="747"/>
      <c r="F10" s="747"/>
      <c r="G10" s="1038"/>
      <c r="H10" s="230" t="s">
        <v>828</v>
      </c>
      <c r="I10" s="741"/>
      <c r="J10" s="762">
        <f>C6</f>
        <v>1890</v>
      </c>
      <c r="K10" s="741"/>
      <c r="L10" s="741"/>
      <c r="M10" s="741"/>
      <c r="N10" s="741"/>
      <c r="O10" s="741"/>
    </row>
    <row r="11" spans="1:15" ht="13.5">
      <c r="A11" s="749"/>
      <c r="B11" s="743" t="s">
        <v>829</v>
      </c>
      <c r="C11" s="750">
        <v>1</v>
      </c>
      <c r="D11" s="1039" t="s">
        <v>830</v>
      </c>
      <c r="E11" s="1039"/>
      <c r="F11" s="1039"/>
      <c r="G11" s="763" t="s">
        <v>831</v>
      </c>
      <c r="H11" s="230" t="s">
        <v>832</v>
      </c>
      <c r="I11" s="741"/>
      <c r="J11" s="741"/>
      <c r="K11" s="741"/>
      <c r="L11" s="741"/>
      <c r="M11" s="761">
        <f>L7-(1.2-1.1)</f>
        <v>209.00638297872339</v>
      </c>
      <c r="N11" s="741"/>
      <c r="O11" s="741"/>
    </row>
    <row r="12" spans="1:15" ht="13.5">
      <c r="A12" s="743" t="s">
        <v>821</v>
      </c>
      <c r="B12" s="1040" t="s">
        <v>833</v>
      </c>
      <c r="C12" s="1040"/>
      <c r="D12" s="1040"/>
      <c r="E12" s="747"/>
      <c r="F12" s="747"/>
      <c r="G12" s="741"/>
      <c r="H12" s="230" t="s">
        <v>834</v>
      </c>
      <c r="I12" s="741">
        <v>51</v>
      </c>
      <c r="J12" s="741"/>
      <c r="K12" s="741"/>
      <c r="L12" s="741"/>
      <c r="M12" s="741"/>
      <c r="N12" s="741"/>
      <c r="O12" s="741"/>
    </row>
    <row r="13" spans="1:15" ht="27">
      <c r="A13" s="743" t="s">
        <v>821</v>
      </c>
      <c r="B13" s="744" t="s">
        <v>835</v>
      </c>
      <c r="C13" s="742"/>
      <c r="D13" s="742"/>
      <c r="E13" s="741"/>
      <c r="F13" s="741"/>
      <c r="G13" s="741"/>
      <c r="H13" s="230" t="s">
        <v>836</v>
      </c>
      <c r="I13" s="741">
        <f>C6/I12</f>
        <v>37.058823529411768</v>
      </c>
      <c r="J13" s="741"/>
      <c r="K13" s="741"/>
      <c r="L13" s="741"/>
      <c r="M13" s="741"/>
      <c r="N13" s="741"/>
      <c r="O13" s="741"/>
    </row>
    <row r="14" spans="1:15">
      <c r="A14" s="749"/>
      <c r="B14" s="741"/>
      <c r="C14" s="742"/>
      <c r="D14" s="742"/>
      <c r="E14" s="741"/>
      <c r="F14" s="741"/>
      <c r="G14" s="741"/>
      <c r="H14" s="230" t="s">
        <v>837</v>
      </c>
      <c r="I14" s="741">
        <f>I13/2</f>
        <v>18.529411764705884</v>
      </c>
      <c r="J14" s="741" t="s">
        <v>383</v>
      </c>
      <c r="K14" s="741"/>
      <c r="L14" s="741"/>
      <c r="M14" s="741"/>
      <c r="N14" s="741"/>
      <c r="O14" s="741"/>
    </row>
    <row r="15" spans="1:15" ht="14.25">
      <c r="A15" s="749"/>
      <c r="B15" s="764"/>
      <c r="C15" s="765"/>
      <c r="D15" s="742"/>
      <c r="E15" s="741"/>
      <c r="F15" s="741"/>
      <c r="G15" s="763" t="s">
        <v>838</v>
      </c>
      <c r="H15" s="230" t="s">
        <v>839</v>
      </c>
      <c r="I15" s="741">
        <f>J9-I14</f>
        <v>1598.0237797246557</v>
      </c>
      <c r="J15" s="741"/>
      <c r="K15" s="741"/>
      <c r="L15" s="741"/>
      <c r="M15" s="741"/>
      <c r="N15" s="741"/>
      <c r="O15" s="741"/>
    </row>
    <row r="16" spans="1:15">
      <c r="A16" s="749"/>
      <c r="B16" s="741"/>
      <c r="C16" s="742"/>
      <c r="D16" s="742"/>
      <c r="E16" s="741"/>
      <c r="F16" s="741"/>
      <c r="G16" s="741"/>
      <c r="H16" s="230" t="s">
        <v>840</v>
      </c>
      <c r="I16" s="762">
        <f>C6</f>
        <v>1890</v>
      </c>
      <c r="J16" s="741"/>
      <c r="K16" s="741"/>
      <c r="L16" s="741"/>
      <c r="M16" s="741"/>
      <c r="N16" s="741"/>
      <c r="O16" s="741"/>
    </row>
    <row r="17" spans="1:15" ht="15">
      <c r="A17" s="749"/>
      <c r="B17" s="766" t="s">
        <v>841</v>
      </c>
      <c r="C17" s="767">
        <v>52</v>
      </c>
      <c r="D17" s="742"/>
      <c r="E17" s="741"/>
      <c r="F17" s="741"/>
      <c r="G17" s="763" t="s">
        <v>842</v>
      </c>
      <c r="H17" s="230" t="s">
        <v>843</v>
      </c>
      <c r="I17" s="741">
        <f>C21/5</f>
        <v>48.8</v>
      </c>
      <c r="J17" s="741"/>
      <c r="K17" s="741"/>
      <c r="L17" s="741"/>
      <c r="M17" s="741"/>
      <c r="N17" s="741"/>
      <c r="O17" s="741"/>
    </row>
    <row r="18" spans="1:15" ht="19.5" customHeight="1">
      <c r="A18" s="749"/>
      <c r="B18" s="768" t="s">
        <v>844</v>
      </c>
      <c r="C18" s="769">
        <v>5</v>
      </c>
      <c r="D18" s="742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</row>
    <row r="19" spans="1:15" ht="30.75" customHeight="1">
      <c r="A19" s="749"/>
      <c r="B19" s="768" t="s">
        <v>845</v>
      </c>
      <c r="C19" s="769">
        <v>5</v>
      </c>
      <c r="D19" s="742"/>
      <c r="E19" s="741"/>
      <c r="F19" s="741"/>
      <c r="G19" s="741"/>
      <c r="H19" s="741"/>
      <c r="I19" s="741"/>
      <c r="J19" s="741"/>
      <c r="K19" s="741"/>
      <c r="L19" s="741"/>
      <c r="M19" s="741"/>
      <c r="N19" s="741"/>
      <c r="O19" s="741"/>
    </row>
    <row r="20" spans="1:15" ht="26.25" customHeight="1">
      <c r="A20" s="749"/>
      <c r="B20" s="768" t="s">
        <v>846</v>
      </c>
      <c r="C20" s="769">
        <v>11</v>
      </c>
      <c r="D20" s="742"/>
      <c r="E20" s="741"/>
      <c r="F20" s="741"/>
      <c r="G20" s="741"/>
      <c r="H20" s="230" t="s">
        <v>847</v>
      </c>
      <c r="I20" s="741"/>
      <c r="J20" s="741">
        <f>J9</f>
        <v>1616.5531914893616</v>
      </c>
      <c r="K20" s="230" t="s">
        <v>848</v>
      </c>
      <c r="L20" s="741"/>
      <c r="M20" s="741"/>
      <c r="N20" s="741"/>
      <c r="O20" s="741"/>
    </row>
    <row r="21" spans="1:15" ht="15">
      <c r="A21" s="749"/>
      <c r="B21" s="768" t="s">
        <v>188</v>
      </c>
      <c r="C21" s="769">
        <f>C17*C18-C19-C20</f>
        <v>244</v>
      </c>
      <c r="D21" s="742"/>
      <c r="E21" s="741"/>
      <c r="F21" s="741"/>
      <c r="G21" s="741"/>
      <c r="H21" s="230"/>
      <c r="I21" s="741"/>
      <c r="J21" s="741"/>
      <c r="K21" s="741"/>
      <c r="L21" s="741"/>
      <c r="M21" s="741"/>
      <c r="N21" s="741"/>
      <c r="O21" s="741"/>
    </row>
    <row r="22" spans="1:15">
      <c r="A22" s="749"/>
      <c r="B22" s="749"/>
      <c r="C22" s="741"/>
      <c r="D22" s="741"/>
      <c r="E22" s="741"/>
      <c r="F22" s="741"/>
      <c r="G22" s="741"/>
      <c r="H22" s="230" t="s">
        <v>849</v>
      </c>
      <c r="I22" s="741"/>
      <c r="J22" s="741">
        <f>C3/C21*5</f>
        <v>42.323989979508198</v>
      </c>
      <c r="K22" s="230" t="s">
        <v>850</v>
      </c>
      <c r="L22" s="741"/>
      <c r="M22" s="741"/>
      <c r="N22" s="741"/>
      <c r="O22" s="741"/>
    </row>
    <row r="23" spans="1:15">
      <c r="A23" s="743"/>
      <c r="B23" s="744"/>
      <c r="C23" s="741"/>
      <c r="D23" s="741"/>
      <c r="E23" s="741"/>
      <c r="F23" s="741"/>
      <c r="G23" s="741"/>
      <c r="H23" s="741"/>
      <c r="I23" s="741"/>
      <c r="J23" s="741"/>
      <c r="K23" s="741"/>
      <c r="L23" s="741"/>
      <c r="M23" s="741"/>
      <c r="N23" s="741"/>
      <c r="O23" s="741"/>
    </row>
    <row r="24" spans="1:15" ht="41.25" customHeight="1">
      <c r="A24" s="743" t="s">
        <v>821</v>
      </c>
      <c r="B24" s="744" t="s">
        <v>34</v>
      </c>
      <c r="C24" s="750">
        <v>0.4</v>
      </c>
      <c r="D24" s="1039" t="s">
        <v>851</v>
      </c>
      <c r="E24" s="1039"/>
      <c r="F24" s="1039"/>
      <c r="G24" s="741"/>
      <c r="H24" s="230" t="s">
        <v>852</v>
      </c>
      <c r="I24" s="741"/>
      <c r="J24" s="741">
        <f>J22+J20</f>
        <v>1658.8771814688698</v>
      </c>
      <c r="K24" s="741"/>
      <c r="L24" s="741"/>
      <c r="M24" s="741"/>
      <c r="N24" s="741"/>
      <c r="O24" s="741"/>
    </row>
    <row r="25" spans="1:15" ht="36">
      <c r="A25" s="743" t="s">
        <v>821</v>
      </c>
      <c r="B25" s="1040" t="s">
        <v>853</v>
      </c>
      <c r="C25" s="1040"/>
      <c r="D25" s="742"/>
      <c r="E25" s="742"/>
      <c r="F25" s="742"/>
      <c r="G25" s="741"/>
      <c r="H25" s="230" t="s">
        <v>854</v>
      </c>
      <c r="I25" s="741"/>
      <c r="J25" s="762">
        <f>J10*1</f>
        <v>1890</v>
      </c>
      <c r="K25" s="741" t="s">
        <v>855</v>
      </c>
      <c r="L25" s="741"/>
      <c r="M25" s="741"/>
      <c r="N25" s="741"/>
      <c r="O25" s="741"/>
    </row>
    <row r="26" spans="1:15" ht="13.5">
      <c r="A26" s="743" t="s">
        <v>821</v>
      </c>
      <c r="B26" s="1034" t="s">
        <v>856</v>
      </c>
      <c r="C26" s="1034"/>
      <c r="D26" s="1034"/>
      <c r="E26" s="1034"/>
      <c r="F26" s="1034"/>
      <c r="G26" s="763" t="s">
        <v>857</v>
      </c>
      <c r="H26" s="230" t="s">
        <v>858</v>
      </c>
      <c r="I26" s="741"/>
      <c r="J26" s="741"/>
      <c r="K26" s="741"/>
      <c r="L26" s="741"/>
      <c r="M26" s="741"/>
      <c r="N26" s="741"/>
      <c r="O26" s="741"/>
    </row>
    <row r="27" spans="1:15" ht="25.5" customHeight="1">
      <c r="A27" s="741"/>
      <c r="B27" s="741"/>
      <c r="C27" s="742"/>
      <c r="D27" s="742"/>
      <c r="E27" s="742"/>
      <c r="F27" s="742"/>
      <c r="G27" s="741"/>
      <c r="H27" s="230" t="s">
        <v>859</v>
      </c>
      <c r="I27" s="741"/>
      <c r="J27" s="741"/>
      <c r="K27" s="770">
        <f>J10/11.75</f>
        <v>160.85106382978722</v>
      </c>
      <c r="L27" s="741" t="s">
        <v>860</v>
      </c>
      <c r="M27" s="741"/>
      <c r="N27" s="741"/>
      <c r="O27" s="741"/>
    </row>
    <row r="28" spans="1:15" ht="13.5">
      <c r="A28" s="1035"/>
      <c r="B28" s="771"/>
      <c r="C28" s="772" t="s">
        <v>861</v>
      </c>
      <c r="D28" s="772" t="s">
        <v>14</v>
      </c>
      <c r="E28" s="772" t="s">
        <v>2</v>
      </c>
      <c r="F28" s="773" t="s">
        <v>862</v>
      </c>
      <c r="G28" s="741"/>
      <c r="H28" s="230" t="s">
        <v>863</v>
      </c>
      <c r="I28" s="741"/>
      <c r="J28" s="741"/>
      <c r="K28" s="741"/>
      <c r="L28" s="741"/>
      <c r="M28" s="741"/>
      <c r="N28" s="741"/>
      <c r="O28" s="741"/>
    </row>
    <row r="29" spans="1:15" ht="13.5">
      <c r="A29" s="1035"/>
      <c r="B29" s="774" t="s">
        <v>19</v>
      </c>
      <c r="C29" s="772" t="s">
        <v>864</v>
      </c>
      <c r="D29" s="775"/>
      <c r="E29" s="776">
        <f>I15</f>
        <v>1598.0237797246557</v>
      </c>
      <c r="F29" s="777">
        <f>I16</f>
        <v>1890</v>
      </c>
      <c r="G29" s="741"/>
      <c r="H29" s="230" t="s">
        <v>865</v>
      </c>
      <c r="I29" s="741"/>
      <c r="J29" s="741"/>
      <c r="K29" s="741"/>
      <c r="L29" s="741"/>
      <c r="M29" s="741"/>
      <c r="N29" s="741"/>
      <c r="O29" s="741"/>
    </row>
    <row r="30" spans="1:15" ht="35.25" customHeight="1">
      <c r="A30" s="1035"/>
      <c r="B30" s="774" t="s">
        <v>23</v>
      </c>
      <c r="C30" s="772" t="s">
        <v>864</v>
      </c>
      <c r="D30" s="775"/>
      <c r="E30" s="778">
        <f>I13</f>
        <v>37.058823529411768</v>
      </c>
      <c r="F30" s="748">
        <f>E30</f>
        <v>37.058823529411768</v>
      </c>
      <c r="G30" s="741"/>
      <c r="H30" s="779" t="s">
        <v>50</v>
      </c>
      <c r="I30" s="779" t="s">
        <v>866</v>
      </c>
      <c r="J30" s="780" t="s">
        <v>867</v>
      </c>
      <c r="K30" s="741"/>
      <c r="L30" s="741"/>
      <c r="M30" s="741"/>
      <c r="N30" s="741"/>
      <c r="O30" s="741"/>
    </row>
    <row r="31" spans="1:15" ht="22.5">
      <c r="A31" s="1035"/>
      <c r="B31" s="774" t="s">
        <v>25</v>
      </c>
      <c r="C31" s="772" t="s">
        <v>864</v>
      </c>
      <c r="D31" s="775"/>
      <c r="E31" s="776">
        <f>J9</f>
        <v>1616.5531914893616</v>
      </c>
      <c r="F31" s="781">
        <f>F29</f>
        <v>1890</v>
      </c>
      <c r="G31" s="741"/>
      <c r="H31" s="779" t="s">
        <v>868</v>
      </c>
      <c r="I31" s="782">
        <f>K27</f>
        <v>160.85106382978722</v>
      </c>
      <c r="J31" s="782">
        <f>I31</f>
        <v>160.85106382978722</v>
      </c>
      <c r="K31" s="741">
        <f>(I31*1000)/20</f>
        <v>8042.5531914893609</v>
      </c>
      <c r="L31" s="741" t="s">
        <v>869</v>
      </c>
      <c r="M31" s="741"/>
      <c r="N31" s="741"/>
      <c r="O31" s="741"/>
    </row>
    <row r="32" spans="1:15" ht="19.5" customHeight="1">
      <c r="A32" s="1035"/>
      <c r="B32" s="783" t="s">
        <v>28</v>
      </c>
      <c r="C32" s="772" t="s">
        <v>864</v>
      </c>
      <c r="D32" s="775"/>
      <c r="E32" s="776">
        <v>0</v>
      </c>
      <c r="F32" s="784">
        <v>0</v>
      </c>
      <c r="G32" s="741"/>
      <c r="H32" s="779" t="s">
        <v>870</v>
      </c>
      <c r="I32" s="782">
        <f>(I31+J31)-(161*2/3)</f>
        <v>214.36879432624113</v>
      </c>
      <c r="J32" s="780">
        <v>107</v>
      </c>
      <c r="K32" s="741"/>
      <c r="L32" s="741"/>
      <c r="M32" s="741"/>
      <c r="N32" s="741"/>
      <c r="O32" s="741"/>
    </row>
    <row r="33" spans="1:15" ht="23.25" customHeight="1">
      <c r="A33" s="1035"/>
      <c r="B33" s="783" t="s">
        <v>30</v>
      </c>
      <c r="C33" s="772" t="s">
        <v>864</v>
      </c>
      <c r="D33" s="775"/>
      <c r="E33" s="776">
        <f>J22</f>
        <v>42.323989979508198</v>
      </c>
      <c r="F33" s="785">
        <f>J22</f>
        <v>42.323989979508198</v>
      </c>
      <c r="G33" s="741"/>
      <c r="H33" s="779" t="s">
        <v>871</v>
      </c>
      <c r="I33" s="782">
        <f>I32+J32-I31</f>
        <v>160.51773049645391</v>
      </c>
      <c r="J33" s="780">
        <v>161</v>
      </c>
      <c r="K33" s="741"/>
      <c r="L33" s="741"/>
      <c r="M33" s="741"/>
      <c r="N33" s="741"/>
      <c r="O33" s="741"/>
    </row>
    <row r="34" spans="1:15" ht="30" customHeight="1">
      <c r="A34" s="1035"/>
      <c r="B34" s="783" t="s">
        <v>33</v>
      </c>
      <c r="C34" s="772" t="s">
        <v>864</v>
      </c>
      <c r="D34" s="775"/>
      <c r="E34" s="786">
        <f>SUM(E31:E33)</f>
        <v>1658.8771814688698</v>
      </c>
      <c r="F34" s="787">
        <f>F31+F32</f>
        <v>1890</v>
      </c>
      <c r="G34" s="741"/>
      <c r="H34" s="779" t="s">
        <v>872</v>
      </c>
      <c r="I34" s="782">
        <v>161</v>
      </c>
      <c r="J34" s="780">
        <v>161</v>
      </c>
      <c r="K34" s="741"/>
      <c r="L34" s="741"/>
      <c r="M34" s="741"/>
      <c r="N34" s="741"/>
      <c r="O34" s="741"/>
    </row>
    <row r="35" spans="1:15" ht="24.75" customHeight="1">
      <c r="A35" s="1035"/>
      <c r="B35" s="783" t="s">
        <v>34</v>
      </c>
      <c r="C35" s="772" t="s">
        <v>864</v>
      </c>
      <c r="D35" s="775"/>
      <c r="E35" s="786">
        <f>I44</f>
        <v>165.39479905437352</v>
      </c>
      <c r="F35" s="786">
        <f>I44</f>
        <v>165.39479905437352</v>
      </c>
      <c r="G35" s="741"/>
      <c r="H35" s="779" t="s">
        <v>873</v>
      </c>
      <c r="I35" s="782">
        <v>161</v>
      </c>
      <c r="J35" s="780">
        <v>161</v>
      </c>
      <c r="K35" s="741"/>
      <c r="L35" s="741"/>
      <c r="M35" s="741"/>
      <c r="N35" s="741"/>
      <c r="O35" s="741"/>
    </row>
    <row r="36" spans="1:15" ht="20.25" customHeight="1">
      <c r="A36" s="1035"/>
      <c r="B36" s="783" t="s">
        <v>36</v>
      </c>
      <c r="C36" s="772" t="s">
        <v>864</v>
      </c>
      <c r="D36" s="775">
        <f>J20</f>
        <v>1616.5531914893616</v>
      </c>
      <c r="E36" s="786">
        <f>E34+E35-D36</f>
        <v>207.71878903388188</v>
      </c>
      <c r="F36" s="786">
        <f>F34-E36</f>
        <v>1682.2812109661181</v>
      </c>
      <c r="G36" s="741"/>
      <c r="H36" s="779" t="s">
        <v>874</v>
      </c>
      <c r="I36" s="782">
        <v>161</v>
      </c>
      <c r="J36" s="780">
        <v>161</v>
      </c>
      <c r="K36" s="741"/>
      <c r="L36" s="741"/>
      <c r="M36" s="741"/>
      <c r="N36" s="741"/>
      <c r="O36" s="741"/>
    </row>
    <row r="37" spans="1:15">
      <c r="A37" s="741"/>
      <c r="B37" s="741"/>
      <c r="C37" s="741"/>
      <c r="D37" s="741"/>
      <c r="E37" s="741"/>
      <c r="F37" s="741"/>
      <c r="G37" s="741"/>
      <c r="H37" s="779" t="s">
        <v>875</v>
      </c>
      <c r="I37" s="782">
        <v>161</v>
      </c>
      <c r="J37" s="780">
        <v>161</v>
      </c>
      <c r="K37" s="741"/>
      <c r="L37" s="741"/>
      <c r="M37" s="741"/>
      <c r="N37" s="741"/>
      <c r="O37" s="741"/>
    </row>
    <row r="38" spans="1:15">
      <c r="A38" s="741"/>
      <c r="B38" s="741"/>
      <c r="C38" s="741"/>
      <c r="D38" s="741"/>
      <c r="E38" s="741"/>
      <c r="F38" s="741"/>
      <c r="G38" s="741"/>
      <c r="H38" s="779" t="s">
        <v>876</v>
      </c>
      <c r="I38" s="782">
        <v>161</v>
      </c>
      <c r="J38" s="780">
        <v>161</v>
      </c>
      <c r="K38" s="741"/>
      <c r="L38" s="741"/>
      <c r="M38" s="741"/>
      <c r="N38" s="741"/>
      <c r="O38" s="741"/>
    </row>
    <row r="39" spans="1:15">
      <c r="A39" s="741"/>
      <c r="B39" s="741"/>
      <c r="C39" s="741"/>
      <c r="D39" s="741"/>
      <c r="E39" s="741"/>
      <c r="F39" s="741"/>
      <c r="G39" s="741"/>
      <c r="H39" s="779" t="s">
        <v>877</v>
      </c>
      <c r="I39" s="782">
        <v>161</v>
      </c>
      <c r="J39" s="780">
        <v>161</v>
      </c>
      <c r="K39" s="741"/>
      <c r="L39" s="741"/>
      <c r="M39" s="741"/>
      <c r="N39" s="741"/>
      <c r="O39" s="741"/>
    </row>
    <row r="40" spans="1:15">
      <c r="A40" s="741"/>
      <c r="B40" s="741"/>
      <c r="C40" s="741"/>
      <c r="D40" s="741"/>
      <c r="E40" s="741"/>
      <c r="F40" s="741"/>
      <c r="G40" s="741"/>
      <c r="H40" s="779" t="s">
        <v>878</v>
      </c>
      <c r="I40" s="782">
        <v>161</v>
      </c>
      <c r="J40" s="780">
        <v>161</v>
      </c>
      <c r="K40" s="741"/>
      <c r="L40" s="741"/>
      <c r="M40" s="741"/>
      <c r="N40" s="741"/>
      <c r="O40" s="741"/>
    </row>
    <row r="41" spans="1:15">
      <c r="A41" s="741"/>
      <c r="B41" s="741"/>
      <c r="C41" s="742"/>
      <c r="D41" s="742"/>
      <c r="E41" s="742"/>
      <c r="F41" s="742"/>
      <c r="G41" s="741"/>
      <c r="H41" s="779" t="s">
        <v>879</v>
      </c>
      <c r="I41" s="782">
        <v>161</v>
      </c>
      <c r="J41" s="780">
        <v>161</v>
      </c>
      <c r="K41" s="741"/>
      <c r="L41" s="741"/>
      <c r="M41" s="741"/>
      <c r="N41" s="741"/>
      <c r="O41" s="741"/>
    </row>
    <row r="42" spans="1:15">
      <c r="A42" s="741"/>
      <c r="B42" s="741"/>
      <c r="C42" s="742"/>
      <c r="D42" s="742"/>
      <c r="E42" s="742"/>
      <c r="F42" s="742"/>
      <c r="G42" s="741"/>
      <c r="H42" s="779" t="s">
        <v>880</v>
      </c>
      <c r="I42" s="782">
        <v>161</v>
      </c>
      <c r="J42" s="780">
        <v>161</v>
      </c>
      <c r="K42" s="741"/>
      <c r="L42" s="741"/>
      <c r="M42" s="741"/>
      <c r="N42" s="741"/>
      <c r="O42" s="741"/>
    </row>
    <row r="43" spans="1:15">
      <c r="A43" s="741"/>
      <c r="B43" s="741"/>
      <c r="C43" s="742"/>
      <c r="D43" s="742"/>
      <c r="E43" s="742"/>
      <c r="F43" s="742"/>
      <c r="G43" s="741"/>
      <c r="H43" s="741"/>
      <c r="I43" s="741"/>
      <c r="J43" s="741"/>
      <c r="K43" s="741"/>
      <c r="L43" s="741"/>
      <c r="M43" s="741"/>
      <c r="N43" s="741"/>
      <c r="O43" s="741"/>
    </row>
    <row r="44" spans="1:15" ht="24">
      <c r="A44" s="741"/>
      <c r="B44" s="741"/>
      <c r="C44" s="742"/>
      <c r="D44" s="742"/>
      <c r="E44" s="742"/>
      <c r="F44" s="742"/>
      <c r="G44" s="741" t="s">
        <v>881</v>
      </c>
      <c r="H44" s="230" t="s">
        <v>832</v>
      </c>
      <c r="I44" s="770">
        <f>SUM(I31:I42)/12</f>
        <v>165.39479905437352</v>
      </c>
      <c r="J44" s="741" t="s">
        <v>882</v>
      </c>
      <c r="K44" s="788">
        <f>I44/K27</f>
        <v>1.0282480893592005</v>
      </c>
      <c r="L44" s="230" t="s">
        <v>883</v>
      </c>
      <c r="M44" s="741"/>
      <c r="N44" s="741"/>
      <c r="O44" s="741"/>
    </row>
    <row r="45" spans="1:15">
      <c r="A45" s="741"/>
      <c r="B45" s="741"/>
      <c r="C45" s="742"/>
      <c r="D45" s="742"/>
      <c r="E45" s="742"/>
      <c r="F45" s="742"/>
      <c r="G45" s="741"/>
      <c r="H45" s="741"/>
      <c r="I45" s="741"/>
      <c r="J45" s="741"/>
      <c r="K45" s="741"/>
      <c r="L45" s="741"/>
      <c r="M45" s="741"/>
      <c r="N45" s="741"/>
      <c r="O45" s="741"/>
    </row>
    <row r="46" spans="1:15">
      <c r="A46" s="741"/>
      <c r="B46" s="741"/>
      <c r="C46" s="742"/>
      <c r="D46" s="742"/>
      <c r="E46" s="742"/>
      <c r="F46" s="742"/>
      <c r="G46" s="741"/>
      <c r="H46" s="741"/>
      <c r="I46" s="741"/>
      <c r="J46" s="741"/>
      <c r="K46" s="741"/>
      <c r="L46" s="741"/>
      <c r="M46" s="741"/>
      <c r="N46" s="741"/>
      <c r="O46" s="741"/>
    </row>
    <row r="47" spans="1:15">
      <c r="A47" s="741"/>
      <c r="B47" s="741"/>
      <c r="C47" s="742"/>
      <c r="D47" s="742"/>
      <c r="E47" s="742"/>
      <c r="F47" s="742"/>
      <c r="G47" s="741"/>
      <c r="H47" s="741"/>
      <c r="I47" s="741"/>
      <c r="J47" s="741"/>
      <c r="K47" s="741"/>
      <c r="L47" s="741"/>
      <c r="M47" s="741"/>
      <c r="N47" s="741"/>
      <c r="O47" s="741"/>
    </row>
    <row r="48" spans="1:15">
      <c r="A48" s="741"/>
      <c r="B48" s="741"/>
      <c r="C48" s="742"/>
      <c r="D48" s="742"/>
      <c r="E48" s="742"/>
      <c r="F48" s="742"/>
      <c r="G48" s="741"/>
      <c r="H48" s="741"/>
      <c r="I48" s="741"/>
      <c r="J48" s="741"/>
      <c r="K48" s="741"/>
      <c r="L48" s="741"/>
      <c r="M48" s="741"/>
      <c r="N48" s="741"/>
      <c r="O48" s="741"/>
    </row>
    <row r="49" spans="1:15">
      <c r="A49" s="741"/>
      <c r="B49" s="741"/>
      <c r="C49" s="742"/>
      <c r="D49" s="742"/>
      <c r="E49" s="742"/>
      <c r="F49" s="742"/>
      <c r="G49" s="741"/>
      <c r="H49" s="741"/>
      <c r="I49" s="741"/>
      <c r="J49" s="741"/>
      <c r="K49" s="741"/>
      <c r="L49" s="741"/>
      <c r="M49" s="741"/>
      <c r="N49" s="741"/>
      <c r="O49" s="741"/>
    </row>
    <row r="50" spans="1:15">
      <c r="A50" s="741"/>
      <c r="B50" s="741"/>
      <c r="C50" s="742"/>
      <c r="D50" s="742"/>
      <c r="E50" s="742"/>
      <c r="F50" s="742"/>
      <c r="G50" s="741"/>
      <c r="H50" s="741"/>
      <c r="I50" s="741"/>
      <c r="J50" s="741"/>
      <c r="K50" s="741"/>
      <c r="L50" s="741"/>
      <c r="M50" s="741"/>
      <c r="N50" s="741"/>
      <c r="O50" s="741"/>
    </row>
    <row r="51" spans="1:15">
      <c r="A51" s="741"/>
      <c r="B51" s="741"/>
      <c r="C51" s="742"/>
      <c r="D51" s="742"/>
      <c r="E51" s="742"/>
      <c r="F51" s="742"/>
      <c r="G51" s="741"/>
      <c r="H51" s="741"/>
      <c r="I51" s="741"/>
      <c r="J51" s="741"/>
      <c r="K51" s="741"/>
      <c r="L51" s="741"/>
      <c r="M51" s="741"/>
      <c r="N51" s="741"/>
      <c r="O51" s="741"/>
    </row>
    <row r="52" spans="1:15">
      <c r="A52" s="741"/>
      <c r="B52" s="741"/>
      <c r="C52" s="742"/>
      <c r="D52" s="742"/>
      <c r="E52" s="742"/>
      <c r="F52" s="742"/>
      <c r="G52" s="741"/>
      <c r="H52" s="741"/>
      <c r="I52" s="741"/>
      <c r="J52" s="741"/>
      <c r="K52" s="741"/>
      <c r="L52" s="741"/>
      <c r="M52" s="741"/>
      <c r="N52" s="741"/>
      <c r="O52" s="741"/>
    </row>
    <row r="53" spans="1:15">
      <c r="A53" s="741"/>
      <c r="B53" s="741"/>
      <c r="C53" s="742"/>
      <c r="D53" s="742"/>
      <c r="E53" s="742"/>
      <c r="F53" s="742"/>
      <c r="G53" s="741"/>
      <c r="H53" s="741"/>
      <c r="I53" s="741"/>
      <c r="J53" s="741"/>
      <c r="K53" s="741"/>
      <c r="L53" s="741"/>
      <c r="M53" s="741"/>
      <c r="N53" s="741"/>
      <c r="O53" s="741"/>
    </row>
    <row r="54" spans="1:15">
      <c r="A54" s="741"/>
      <c r="B54" s="741"/>
      <c r="C54" s="742"/>
      <c r="D54" s="742"/>
      <c r="E54" s="742"/>
      <c r="F54" s="742"/>
      <c r="G54" s="741"/>
      <c r="H54" s="741"/>
      <c r="I54" s="741"/>
      <c r="J54" s="741"/>
      <c r="K54" s="741"/>
      <c r="L54" s="741"/>
      <c r="M54" s="741"/>
      <c r="N54" s="741"/>
      <c r="O54" s="741"/>
    </row>
    <row r="55" spans="1:15">
      <c r="A55" s="741"/>
      <c r="B55" s="741"/>
      <c r="C55" s="742"/>
      <c r="D55" s="742"/>
      <c r="E55" s="742"/>
      <c r="F55" s="742"/>
      <c r="G55" s="741"/>
      <c r="H55" s="741"/>
      <c r="I55" s="741"/>
      <c r="J55" s="741"/>
      <c r="K55" s="741"/>
      <c r="L55" s="741"/>
      <c r="M55" s="741"/>
      <c r="N55" s="741"/>
      <c r="O55" s="741"/>
    </row>
    <row r="56" spans="1:15">
      <c r="A56" s="741"/>
      <c r="B56" s="741"/>
      <c r="C56" s="742"/>
      <c r="D56" s="742"/>
      <c r="E56" s="742"/>
      <c r="F56" s="742"/>
      <c r="G56" s="741"/>
      <c r="H56" s="741"/>
      <c r="I56" s="741"/>
      <c r="J56" s="741"/>
      <c r="K56" s="741"/>
      <c r="L56" s="741"/>
      <c r="M56" s="741"/>
      <c r="N56" s="741"/>
      <c r="O56" s="741"/>
    </row>
    <row r="57" spans="1:15">
      <c r="A57" s="741"/>
      <c r="B57" s="741"/>
      <c r="C57" s="742"/>
      <c r="D57" s="742"/>
      <c r="E57" s="742"/>
      <c r="F57" s="742"/>
      <c r="G57" s="741"/>
      <c r="H57" s="741"/>
      <c r="I57" s="741"/>
      <c r="J57" s="741"/>
      <c r="K57" s="741"/>
      <c r="L57" s="741"/>
      <c r="M57" s="741"/>
      <c r="N57" s="741"/>
      <c r="O57" s="741"/>
    </row>
    <row r="58" spans="1:15">
      <c r="A58" s="741"/>
      <c r="B58" s="741"/>
      <c r="C58" s="742"/>
      <c r="D58" s="742"/>
      <c r="E58" s="742"/>
      <c r="F58" s="742"/>
      <c r="G58" s="741"/>
      <c r="H58" s="741"/>
      <c r="I58" s="741"/>
      <c r="J58" s="741"/>
      <c r="K58" s="741"/>
      <c r="L58" s="741"/>
      <c r="M58" s="741"/>
      <c r="N58" s="741"/>
      <c r="O58" s="741"/>
    </row>
    <row r="59" spans="1:15">
      <c r="A59" s="741"/>
      <c r="B59" s="741"/>
      <c r="C59" s="742"/>
      <c r="D59" s="742"/>
      <c r="E59" s="742"/>
      <c r="F59" s="742"/>
      <c r="G59" s="741"/>
      <c r="H59" s="741"/>
      <c r="I59" s="741"/>
      <c r="J59" s="741"/>
      <c r="K59" s="741"/>
      <c r="L59" s="741"/>
      <c r="M59" s="741"/>
      <c r="N59" s="741"/>
      <c r="O59" s="741"/>
    </row>
    <row r="60" spans="1:15">
      <c r="A60" s="741"/>
      <c r="B60" s="741"/>
      <c r="C60" s="742"/>
      <c r="D60" s="742"/>
      <c r="E60" s="742"/>
      <c r="F60" s="742"/>
      <c r="G60" s="741"/>
      <c r="H60" s="741"/>
      <c r="I60" s="741"/>
      <c r="J60" s="741"/>
      <c r="K60" s="741"/>
      <c r="L60" s="741"/>
      <c r="M60" s="741"/>
      <c r="N60" s="741"/>
      <c r="O60" s="741"/>
    </row>
    <row r="61" spans="1:15">
      <c r="A61" s="741"/>
      <c r="B61" s="741"/>
      <c r="C61" s="742"/>
      <c r="D61" s="742"/>
      <c r="E61" s="742"/>
      <c r="F61" s="742"/>
      <c r="G61" s="741"/>
      <c r="H61" s="741"/>
      <c r="I61" s="741"/>
      <c r="J61" s="741"/>
      <c r="K61" s="741"/>
      <c r="L61" s="741"/>
      <c r="M61" s="741"/>
      <c r="N61" s="741"/>
      <c r="O61" s="741"/>
    </row>
    <row r="62" spans="1:15">
      <c r="A62" s="741"/>
      <c r="B62" s="741"/>
      <c r="C62" s="742"/>
      <c r="D62" s="742"/>
      <c r="E62" s="742"/>
      <c r="F62" s="742"/>
      <c r="G62" s="741"/>
      <c r="H62" s="741"/>
      <c r="I62" s="741"/>
      <c r="J62" s="741"/>
      <c r="K62" s="741"/>
      <c r="L62" s="741"/>
      <c r="M62" s="741"/>
      <c r="N62" s="741"/>
      <c r="O62" s="741"/>
    </row>
    <row r="63" spans="1:15">
      <c r="A63" s="741"/>
      <c r="B63" s="741"/>
      <c r="C63" s="742"/>
      <c r="D63" s="742"/>
      <c r="E63" s="742"/>
      <c r="F63" s="742"/>
      <c r="G63" s="741"/>
      <c r="H63" s="741"/>
      <c r="I63" s="741"/>
      <c r="J63" s="741"/>
      <c r="K63" s="741"/>
      <c r="L63" s="741"/>
      <c r="M63" s="741"/>
      <c r="N63" s="741"/>
      <c r="O63" s="741"/>
    </row>
    <row r="64" spans="1:15">
      <c r="A64" s="741"/>
      <c r="B64" s="741"/>
      <c r="C64" s="742"/>
      <c r="D64" s="742"/>
      <c r="E64" s="742"/>
      <c r="F64" s="742"/>
      <c r="G64" s="741"/>
      <c r="H64" s="741"/>
      <c r="I64" s="741"/>
      <c r="J64" s="741"/>
      <c r="K64" s="741"/>
      <c r="L64" s="741"/>
      <c r="M64" s="741"/>
      <c r="N64" s="741"/>
      <c r="O64" s="741"/>
    </row>
    <row r="65" spans="1:15">
      <c r="A65" s="741"/>
      <c r="B65" s="741"/>
      <c r="C65" s="742"/>
      <c r="D65" s="742"/>
      <c r="E65" s="742"/>
      <c r="F65" s="742"/>
      <c r="G65" s="741"/>
      <c r="H65" s="741"/>
      <c r="I65" s="741"/>
      <c r="J65" s="741"/>
      <c r="K65" s="741"/>
      <c r="L65" s="741"/>
      <c r="M65" s="741"/>
      <c r="N65" s="741"/>
      <c r="O65" s="741"/>
    </row>
    <row r="66" spans="1:15">
      <c r="A66" s="741"/>
      <c r="B66" s="741"/>
      <c r="C66" s="742"/>
      <c r="D66" s="742"/>
      <c r="E66" s="742"/>
      <c r="F66" s="742"/>
      <c r="G66" s="741"/>
      <c r="H66" s="741"/>
      <c r="I66" s="741"/>
      <c r="J66" s="741"/>
      <c r="K66" s="741"/>
      <c r="L66" s="741"/>
      <c r="M66" s="741"/>
      <c r="N66" s="741"/>
      <c r="O66" s="741"/>
    </row>
    <row r="67" spans="1:15">
      <c r="A67" s="741"/>
      <c r="B67" s="741"/>
      <c r="C67" s="742"/>
      <c r="D67" s="742"/>
      <c r="E67" s="742"/>
      <c r="F67" s="742"/>
      <c r="G67" s="741"/>
      <c r="H67" s="741"/>
      <c r="I67" s="741"/>
      <c r="J67" s="741"/>
      <c r="K67" s="741"/>
      <c r="L67" s="741"/>
      <c r="M67" s="741"/>
      <c r="N67" s="741"/>
      <c r="O67" s="741"/>
    </row>
    <row r="68" spans="1:15">
      <c r="A68" s="741"/>
      <c r="B68" s="741"/>
      <c r="C68" s="742"/>
      <c r="D68" s="742"/>
      <c r="E68" s="742"/>
      <c r="F68" s="742"/>
      <c r="G68" s="741"/>
      <c r="H68" s="741"/>
      <c r="I68" s="741"/>
      <c r="J68" s="741"/>
      <c r="K68" s="741"/>
      <c r="L68" s="741"/>
      <c r="M68" s="741"/>
      <c r="N68" s="741"/>
      <c r="O68" s="741"/>
    </row>
    <row r="69" spans="1:15">
      <c r="A69" s="741"/>
      <c r="B69" s="741"/>
      <c r="C69" s="742"/>
      <c r="D69" s="742"/>
      <c r="E69" s="742"/>
      <c r="F69" s="742"/>
      <c r="G69" s="741"/>
      <c r="H69" s="741"/>
      <c r="I69" s="741"/>
      <c r="J69" s="741"/>
      <c r="K69" s="741"/>
      <c r="L69" s="741"/>
      <c r="M69" s="741"/>
      <c r="N69" s="741"/>
      <c r="O69" s="741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topLeftCell="A24" workbookViewId="0">
      <selection activeCell="C40" sqref="C40"/>
    </sheetView>
  </sheetViews>
  <sheetFormatPr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44" t="s">
        <v>56</v>
      </c>
      <c r="B1" s="1044"/>
      <c r="C1" s="1044"/>
      <c r="D1" s="1044"/>
      <c r="E1" s="1045"/>
      <c r="F1" s="591">
        <v>9</v>
      </c>
      <c r="G1" s="592" t="s">
        <v>200</v>
      </c>
      <c r="H1" s="158"/>
      <c r="I1" s="158"/>
    </row>
    <row r="2" spans="1:17" ht="15.75">
      <c r="A2" s="593" t="s">
        <v>884</v>
      </c>
      <c r="B2" s="739" t="s">
        <v>200</v>
      </c>
      <c r="C2" s="739" t="s">
        <v>200</v>
      </c>
      <c r="D2" s="739" t="s">
        <v>200</v>
      </c>
      <c r="E2" s="739" t="s">
        <v>200</v>
      </c>
      <c r="F2" s="739" t="s">
        <v>200</v>
      </c>
      <c r="G2" s="740" t="s">
        <v>200</v>
      </c>
      <c r="H2" s="158"/>
      <c r="I2" s="158"/>
    </row>
    <row r="3" spans="1:17">
      <c r="A3" s="888" t="s">
        <v>444</v>
      </c>
      <c r="B3" s="1041" t="s">
        <v>885</v>
      </c>
      <c r="C3" s="1042"/>
      <c r="D3" s="1041" t="s">
        <v>886</v>
      </c>
      <c r="E3" s="1043"/>
      <c r="F3" s="1042" t="s">
        <v>887</v>
      </c>
      <c r="G3" s="1043"/>
      <c r="H3" s="158"/>
      <c r="I3" s="158"/>
      <c r="M3" s="845" t="s">
        <v>888</v>
      </c>
      <c r="N3" s="846"/>
      <c r="O3" s="847"/>
      <c r="P3" s="847"/>
      <c r="Q3" s="847"/>
    </row>
    <row r="4" spans="1:17">
      <c r="A4" s="888" t="s">
        <v>499</v>
      </c>
      <c r="B4" s="882" t="s">
        <v>889</v>
      </c>
      <c r="C4" s="688" t="s">
        <v>42</v>
      </c>
      <c r="D4" s="882" t="s">
        <v>889</v>
      </c>
      <c r="E4" s="883" t="s">
        <v>42</v>
      </c>
      <c r="F4" s="480" t="s">
        <v>889</v>
      </c>
      <c r="G4" s="883" t="s">
        <v>42</v>
      </c>
      <c r="H4" s="158"/>
      <c r="I4" s="158"/>
      <c r="M4" s="847"/>
      <c r="N4" s="847"/>
      <c r="O4" s="847"/>
      <c r="P4" s="847"/>
      <c r="Q4" s="847"/>
    </row>
    <row r="5" spans="1:17">
      <c r="A5" s="889" t="s">
        <v>890</v>
      </c>
      <c r="B5" s="884">
        <f>SUM('E-Cal Inv.'!B8:D8)</f>
        <v>152309125.59060755</v>
      </c>
      <c r="C5" s="891">
        <f>B5/$B$8</f>
        <v>0.36016317133914855</v>
      </c>
      <c r="D5" s="884">
        <f>'Ej 50-66'!F78+'Ej 50-66'!F47</f>
        <v>9831087</v>
      </c>
      <c r="E5" s="885">
        <f>+D5/SUM($B$5:$B$7)</f>
        <v>2.3247428267354101E-2</v>
      </c>
      <c r="F5" s="709">
        <f>B5-D5</f>
        <v>142478038.59060755</v>
      </c>
      <c r="G5" s="885">
        <f>F5/B8</f>
        <v>0.33691574307179445</v>
      </c>
      <c r="H5" s="158"/>
      <c r="I5" s="158"/>
      <c r="M5" s="848" t="s">
        <v>50</v>
      </c>
      <c r="N5" s="849" t="s">
        <v>891</v>
      </c>
      <c r="O5" s="849" t="s">
        <v>892</v>
      </c>
      <c r="P5" s="849" t="s">
        <v>893</v>
      </c>
      <c r="Q5" s="850" t="s">
        <v>894</v>
      </c>
    </row>
    <row r="6" spans="1:17">
      <c r="A6" s="889" t="s">
        <v>895</v>
      </c>
      <c r="B6" s="884">
        <f>SUM('E-Cal Inv.'!B18:D18)</f>
        <v>197186104.41149053</v>
      </c>
      <c r="C6" s="891">
        <f>B6/$B$8</f>
        <v>0.46628310965258696</v>
      </c>
      <c r="D6" s="897">
        <f>'Ej 50-66'!E35</f>
        <v>799561.28871666663</v>
      </c>
      <c r="E6" s="885">
        <f>+D6/SUM(B5:B7)</f>
        <v>1.8907109361145833E-3</v>
      </c>
      <c r="F6" s="709">
        <f>B6-D6</f>
        <v>196386543.12277386</v>
      </c>
      <c r="G6" s="885">
        <f>F6/B8</f>
        <v>0.46439239871647237</v>
      </c>
      <c r="H6" s="158"/>
      <c r="I6" s="158"/>
      <c r="M6" s="851">
        <v>1</v>
      </c>
      <c r="N6" s="853"/>
      <c r="O6" s="853"/>
      <c r="P6" s="852"/>
      <c r="Q6" s="854"/>
    </row>
    <row r="7" spans="1:17">
      <c r="A7" s="889" t="s">
        <v>896</v>
      </c>
      <c r="B7" s="884">
        <f>SUM('E-Cal Inv.'!B23:D23)</f>
        <v>73393998.300440595</v>
      </c>
      <c r="C7" s="891">
        <f>B7/$B$8</f>
        <v>0.17355371900826444</v>
      </c>
      <c r="D7" s="898" t="s">
        <v>200</v>
      </c>
      <c r="E7" s="885"/>
      <c r="F7" s="709"/>
      <c r="G7" s="885">
        <f>C7</f>
        <v>0.17355371900826444</v>
      </c>
      <c r="H7" s="158"/>
      <c r="I7" s="158"/>
      <c r="M7" s="851">
        <v>2</v>
      </c>
      <c r="N7" s="853"/>
      <c r="O7" s="853"/>
      <c r="P7" s="852"/>
      <c r="Q7" s="854"/>
    </row>
    <row r="8" spans="1:17">
      <c r="A8" s="890" t="s">
        <v>607</v>
      </c>
      <c r="B8" s="886">
        <f>SUM(B5:B7)</f>
        <v>422889228.30253869</v>
      </c>
      <c r="C8" s="899">
        <f>SUM(C5:C7)</f>
        <v>0.99999999999999989</v>
      </c>
      <c r="D8" s="886">
        <f>D6+D5</f>
        <v>10630648.288716666</v>
      </c>
      <c r="E8" s="887">
        <f>SUM(E5:E7)</f>
        <v>2.5138139203468683E-2</v>
      </c>
      <c r="F8" s="900">
        <f>SUM(F5:F7)</f>
        <v>338864581.71338141</v>
      </c>
      <c r="G8" s="887">
        <f>SUM(G5:G7)</f>
        <v>0.97486186079653125</v>
      </c>
      <c r="H8" s="158"/>
      <c r="I8" s="158"/>
      <c r="M8" s="851">
        <v>3</v>
      </c>
      <c r="N8" s="853"/>
      <c r="O8" s="853"/>
      <c r="P8" s="852"/>
      <c r="Q8" s="854"/>
    </row>
    <row r="9" spans="1:17">
      <c r="A9" s="598"/>
      <c r="B9" s="892"/>
      <c r="C9" s="893"/>
      <c r="D9" s="893"/>
      <c r="E9" s="893"/>
      <c r="F9" s="893"/>
      <c r="G9" s="894"/>
      <c r="H9" s="158"/>
      <c r="I9" s="158"/>
      <c r="M9" s="851">
        <v>4</v>
      </c>
      <c r="N9" s="853"/>
      <c r="O9" s="853"/>
      <c r="P9" s="852"/>
      <c r="Q9" s="854"/>
    </row>
    <row r="10" spans="1:17" ht="15.75">
      <c r="A10" s="599" t="s">
        <v>897</v>
      </c>
      <c r="B10" s="895">
        <f>E5</f>
        <v>2.3247428267354101E-2</v>
      </c>
      <c r="C10" s="896" t="s">
        <v>200</v>
      </c>
      <c r="D10" s="896" t="s">
        <v>200</v>
      </c>
      <c r="E10" s="896" t="s">
        <v>200</v>
      </c>
      <c r="F10" s="896" t="s">
        <v>200</v>
      </c>
      <c r="G10" s="896" t="s">
        <v>200</v>
      </c>
      <c r="H10" s="600" t="s">
        <v>200</v>
      </c>
      <c r="I10" s="601" t="s">
        <v>200</v>
      </c>
      <c r="M10" s="851">
        <v>5</v>
      </c>
      <c r="N10" s="853"/>
      <c r="O10" s="853"/>
      <c r="P10" s="852"/>
      <c r="Q10" s="854"/>
    </row>
    <row r="11" spans="1:17">
      <c r="A11" s="602" t="s">
        <v>898</v>
      </c>
      <c r="B11" s="603" t="s">
        <v>899</v>
      </c>
      <c r="C11" s="603" t="s">
        <v>900</v>
      </c>
      <c r="D11" s="603" t="s">
        <v>901</v>
      </c>
      <c r="E11" s="603" t="s">
        <v>900</v>
      </c>
      <c r="F11" s="603" t="s">
        <v>902</v>
      </c>
      <c r="G11" s="603" t="s">
        <v>901</v>
      </c>
      <c r="H11" s="603" t="s">
        <v>200</v>
      </c>
      <c r="I11" s="604" t="s">
        <v>903</v>
      </c>
      <c r="M11" s="851">
        <v>6</v>
      </c>
      <c r="N11" s="853"/>
      <c r="O11" s="853"/>
      <c r="P11" s="852"/>
      <c r="Q11" s="854"/>
    </row>
    <row r="12" spans="1:17">
      <c r="A12" s="481" t="s">
        <v>200</v>
      </c>
      <c r="B12" s="596" t="s">
        <v>200</v>
      </c>
      <c r="C12" s="596" t="s">
        <v>904</v>
      </c>
      <c r="D12" s="596" t="s">
        <v>904</v>
      </c>
      <c r="E12" s="596" t="s">
        <v>99</v>
      </c>
      <c r="F12" s="596" t="s">
        <v>905</v>
      </c>
      <c r="G12" s="596" t="s">
        <v>99</v>
      </c>
      <c r="H12" s="596" t="s">
        <v>906</v>
      </c>
      <c r="I12" s="597" t="s">
        <v>907</v>
      </c>
      <c r="M12" s="851">
        <v>7</v>
      </c>
      <c r="N12" s="853"/>
      <c r="O12" s="853"/>
      <c r="P12" s="852"/>
      <c r="Q12" s="854"/>
    </row>
    <row r="13" spans="1:17">
      <c r="A13" s="871" t="s">
        <v>908</v>
      </c>
      <c r="B13" s="623">
        <f>'Ej 50-66'!$F$47+'Ej 50-66'!$F$78</f>
        <v>9831087</v>
      </c>
      <c r="C13" s="623"/>
      <c r="D13" s="623" t="s">
        <v>200</v>
      </c>
      <c r="E13" s="623" t="s">
        <v>200</v>
      </c>
      <c r="F13" s="623" t="s">
        <v>200</v>
      </c>
      <c r="G13" s="623" t="s">
        <v>200</v>
      </c>
      <c r="H13" s="623" t="s">
        <v>200</v>
      </c>
      <c r="I13" s="660"/>
      <c r="M13" s="851">
        <v>8</v>
      </c>
      <c r="N13" s="853"/>
      <c r="O13" s="853"/>
      <c r="P13" s="852"/>
      <c r="Q13" s="854"/>
    </row>
    <row r="14" spans="1:17">
      <c r="A14" s="871" t="s">
        <v>909</v>
      </c>
      <c r="B14" s="623">
        <f>'Ej 50-66'!$F$47+'Ej 50-66'!$F$78</f>
        <v>9831087</v>
      </c>
      <c r="C14" s="623"/>
      <c r="D14" s="623"/>
      <c r="E14" s="623" t="s">
        <v>200</v>
      </c>
      <c r="F14" s="623" t="s">
        <v>200</v>
      </c>
      <c r="G14" s="623">
        <f>'Ej 50-66'!H59+'Ej 50-66'!H88</f>
        <v>1638514.5</v>
      </c>
      <c r="H14" s="610">
        <f>G14/B14*12/6</f>
        <v>0.33333333333333331</v>
      </c>
      <c r="I14" s="660">
        <f>'Ej 50-66'!I88+'Ej 50-66'!I59</f>
        <v>294932.61</v>
      </c>
      <c r="M14" s="851">
        <v>9</v>
      </c>
      <c r="N14" s="853"/>
      <c r="O14" s="853"/>
      <c r="P14" s="852"/>
      <c r="Q14" s="854"/>
    </row>
    <row r="15" spans="1:17">
      <c r="A15" s="456"/>
      <c r="B15" s="623"/>
      <c r="C15" s="623"/>
      <c r="D15" s="623"/>
      <c r="E15" s="623" t="s">
        <v>200</v>
      </c>
      <c r="F15" s="623" t="s">
        <v>200</v>
      </c>
      <c r="G15" s="623" t="s">
        <v>200</v>
      </c>
      <c r="H15" s="623" t="s">
        <v>200</v>
      </c>
      <c r="I15" s="660"/>
      <c r="M15" s="851">
        <v>10</v>
      </c>
      <c r="N15" s="853"/>
      <c r="O15" s="853"/>
      <c r="P15" s="852"/>
      <c r="Q15" s="854"/>
    </row>
    <row r="16" spans="1:17">
      <c r="A16" s="456"/>
      <c r="B16" s="623"/>
      <c r="C16" s="623"/>
      <c r="D16" s="623"/>
      <c r="E16" s="623" t="s">
        <v>200</v>
      </c>
      <c r="F16" s="623" t="s">
        <v>200</v>
      </c>
      <c r="G16" s="623" t="s">
        <v>200</v>
      </c>
      <c r="H16" s="623" t="s">
        <v>200</v>
      </c>
      <c r="I16" s="660" t="s">
        <v>200</v>
      </c>
      <c r="M16" s="851">
        <v>11</v>
      </c>
      <c r="N16" s="853"/>
      <c r="O16" s="853"/>
      <c r="P16" s="852"/>
      <c r="Q16" s="854"/>
    </row>
    <row r="17" spans="1:17">
      <c r="A17" s="605" t="s">
        <v>200</v>
      </c>
      <c r="B17" s="607" t="s">
        <v>200</v>
      </c>
      <c r="C17" s="606" t="s">
        <v>200</v>
      </c>
      <c r="D17" s="606" t="s">
        <v>200</v>
      </c>
      <c r="E17" s="606" t="s">
        <v>200</v>
      </c>
      <c r="F17" s="606" t="s">
        <v>200</v>
      </c>
      <c r="G17" s="607" t="s">
        <v>200</v>
      </c>
      <c r="H17" s="606" t="s">
        <v>200</v>
      </c>
      <c r="I17" s="608"/>
      <c r="M17" s="851">
        <v>12</v>
      </c>
      <c r="N17" s="853"/>
      <c r="O17" s="853"/>
      <c r="P17" s="852"/>
      <c r="Q17" s="854"/>
    </row>
    <row r="18" spans="1:17">
      <c r="A18" s="598" t="s">
        <v>910</v>
      </c>
      <c r="B18" s="818">
        <f>G18+I18</f>
        <v>1933447.1099999999</v>
      </c>
      <c r="C18" s="819"/>
      <c r="D18" s="820">
        <f>SUM(D14:D17)</f>
        <v>0</v>
      </c>
      <c r="E18" s="819"/>
      <c r="F18" s="819"/>
      <c r="G18" s="821">
        <f>SUM(G14:G16)</f>
        <v>1638514.5</v>
      </c>
      <c r="H18" s="822"/>
      <c r="I18" s="818">
        <f>SUM(I13:I17)</f>
        <v>294932.61</v>
      </c>
      <c r="J18" s="159"/>
      <c r="K18" s="817">
        <f>B18+I18</f>
        <v>2228379.7199999997</v>
      </c>
      <c r="M18" s="855" t="s">
        <v>224</v>
      </c>
      <c r="N18" s="856">
        <f>SUM(N6:N17)</f>
        <v>0</v>
      </c>
      <c r="O18" s="856">
        <f t="shared" ref="O18:Q18" si="0">SUM(O6:O17)</f>
        <v>0</v>
      </c>
      <c r="P18" s="856">
        <f t="shared" si="0"/>
        <v>0</v>
      </c>
      <c r="Q18" s="856">
        <f t="shared" si="0"/>
        <v>0</v>
      </c>
    </row>
    <row r="19" spans="1:17">
      <c r="A19" s="872">
        <v>36892</v>
      </c>
      <c r="B19" s="623">
        <f>B14+'Ej 50-66'!C20</f>
        <v>10310823.773229999</v>
      </c>
      <c r="C19" s="733">
        <f>'Ej 50-66'!E90</f>
        <v>983108.7</v>
      </c>
      <c r="D19" s="733">
        <f>'Ej 50-66'!$B$17/2+'Ej 50-66'!F61+'Ej 50-66'!F90</f>
        <v>2601692.7819690001</v>
      </c>
      <c r="E19" s="733" t="s">
        <v>200</v>
      </c>
      <c r="F19" s="733" t="s">
        <v>200</v>
      </c>
      <c r="G19" s="623" t="s">
        <v>200</v>
      </c>
      <c r="H19" s="733" t="s">
        <v>200</v>
      </c>
      <c r="I19" s="660" t="s">
        <v>200</v>
      </c>
    </row>
    <row r="20" spans="1:17">
      <c r="A20" s="815" t="s">
        <v>911</v>
      </c>
      <c r="B20" s="623">
        <f>B19-C19</f>
        <v>9327715.0732300002</v>
      </c>
      <c r="C20" s="623">
        <f>'Ej 50-66'!E61+'Ej 50-66'!E91</f>
        <v>983108.7</v>
      </c>
      <c r="D20" s="623">
        <f>'Ej 50-66'!$B$17/2+'Ej 50-66'!F62+'Ej 50-66'!F91</f>
        <v>2601692.7819690001</v>
      </c>
      <c r="E20" s="623">
        <f>$B$14/5</f>
        <v>1966217.4</v>
      </c>
      <c r="F20" s="623">
        <f>AVERAGE(B19:B20)</f>
        <v>9819269.4232299998</v>
      </c>
      <c r="G20" s="623">
        <f>D20+D19</f>
        <v>5203385.5639380002</v>
      </c>
      <c r="H20" s="610">
        <f>G20/F20</f>
        <v>0.52991575438678329</v>
      </c>
      <c r="I20" s="660" t="s">
        <v>200</v>
      </c>
    </row>
    <row r="21" spans="1:17">
      <c r="A21" s="873">
        <v>37257</v>
      </c>
      <c r="B21" s="623">
        <f>B20-C20</f>
        <v>8344606.37323</v>
      </c>
      <c r="C21" s="623">
        <f>'Ej 50-66'!E62+'Ej 50-66'!E92</f>
        <v>983108.7</v>
      </c>
      <c r="D21" s="623">
        <f>'Ej 50-66'!$B$17/2+'Ej 50-66'!F63+'Ej 50-66'!F92</f>
        <v>2355915.6069690003</v>
      </c>
      <c r="E21" s="623"/>
      <c r="F21" s="623"/>
      <c r="G21" s="623" t="s">
        <v>200</v>
      </c>
      <c r="H21" s="610"/>
      <c r="I21" s="660" t="s">
        <v>200</v>
      </c>
    </row>
    <row r="22" spans="1:17">
      <c r="A22" s="815" t="s">
        <v>912</v>
      </c>
      <c r="B22" s="623">
        <f>B21-C21</f>
        <v>7361497.6732299998</v>
      </c>
      <c r="C22" s="623">
        <f>'Ej 50-66'!E63+'Ej 50-66'!E93</f>
        <v>983108.7</v>
      </c>
      <c r="D22" s="623">
        <f>'Ej 50-66'!$B$17/2+'Ej 50-66'!F64+'Ej 50-66'!F93</f>
        <v>2110138.431969</v>
      </c>
      <c r="E22" s="623">
        <f t="shared" ref="E21:E28" si="1">$B$14/5</f>
        <v>1966217.4</v>
      </c>
      <c r="F22" s="623">
        <f>(B20+B22)/2</f>
        <v>8344606.37323</v>
      </c>
      <c r="G22" s="623">
        <f>D22+D21</f>
        <v>4466054.0389380008</v>
      </c>
      <c r="H22" s="610">
        <f>G22/F22</f>
        <v>0.53520248160121386</v>
      </c>
      <c r="I22" s="660" t="s">
        <v>200</v>
      </c>
      <c r="M22" s="847" t="s">
        <v>913</v>
      </c>
      <c r="N22" s="857">
        <v>114162.36</v>
      </c>
    </row>
    <row r="23" spans="1:17">
      <c r="A23" s="872">
        <v>37622</v>
      </c>
      <c r="B23" s="623">
        <f>B22-C22</f>
        <v>6378388.9732299997</v>
      </c>
      <c r="C23" s="623">
        <f>'Ej 50-66'!E64+'Ej 50-66'!E94</f>
        <v>983108.7</v>
      </c>
      <c r="D23" s="623">
        <f>'Ej 50-66'!$B$17/2+'Ej 50-66'!F65+'Ej 50-66'!F94</f>
        <v>1864361.2569690002</v>
      </c>
      <c r="E23" s="623"/>
      <c r="F23" s="623"/>
      <c r="G23" s="623" t="s">
        <v>200</v>
      </c>
      <c r="H23" s="610"/>
      <c r="I23" s="660" t="s">
        <v>200</v>
      </c>
      <c r="M23" s="847" t="s">
        <v>914</v>
      </c>
      <c r="N23" s="847" t="s">
        <v>915</v>
      </c>
    </row>
    <row r="24" spans="1:17">
      <c r="A24" s="815" t="s">
        <v>916</v>
      </c>
      <c r="B24" s="623">
        <f>B23-C23</f>
        <v>5395280.2732299995</v>
      </c>
      <c r="C24" s="623">
        <f>'Ej 50-66'!E65+'Ej 50-66'!E95</f>
        <v>983108.7</v>
      </c>
      <c r="D24" s="623">
        <f>'Ej 50-66'!$B$17/2+'Ej 50-66'!F66+'Ej 50-66'!F95</f>
        <v>1618584.0819689999</v>
      </c>
      <c r="E24" s="623">
        <f t="shared" si="1"/>
        <v>1966217.4</v>
      </c>
      <c r="F24" s="623">
        <f>(B24+B22)/2</f>
        <v>6378388.9732299997</v>
      </c>
      <c r="G24" s="623">
        <f>D24+D23</f>
        <v>3482945.3389380001</v>
      </c>
      <c r="H24" s="610">
        <f>G24/F24</f>
        <v>0.54605408255217236</v>
      </c>
      <c r="I24" s="660" t="s">
        <v>200</v>
      </c>
    </row>
    <row r="25" spans="1:17">
      <c r="A25" s="873">
        <v>37987</v>
      </c>
      <c r="B25" s="623">
        <f>B24-C24</f>
        <v>4412171.5732299993</v>
      </c>
      <c r="C25" s="623">
        <f>'Ej 50-66'!E66+'Ej 50-66'!E96</f>
        <v>983108.7</v>
      </c>
      <c r="D25" s="623">
        <f>'Ej 50-66'!$B$17/2+'Ej 50-66'!F67+'Ej 50-66'!F96</f>
        <v>1372806.9069690001</v>
      </c>
      <c r="E25" s="623"/>
      <c r="F25" s="623"/>
      <c r="G25" s="623"/>
      <c r="H25" s="610"/>
      <c r="I25" s="660" t="s">
        <v>200</v>
      </c>
    </row>
    <row r="26" spans="1:17">
      <c r="A26" s="815" t="s">
        <v>917</v>
      </c>
      <c r="B26" s="623">
        <f>B25-C25</f>
        <v>3429062.8732299991</v>
      </c>
      <c r="C26" s="623">
        <f>'Ej 50-66'!E67+'Ej 50-66'!E97</f>
        <v>983108.7</v>
      </c>
      <c r="D26" s="623">
        <f>'Ej 50-66'!$B$17/2+'Ej 50-66'!F68+'Ej 50-66'!F97</f>
        <v>1127029.7319689998</v>
      </c>
      <c r="E26" s="623">
        <f t="shared" si="1"/>
        <v>1966217.4</v>
      </c>
      <c r="F26" s="623">
        <f>(B26+B24)/2</f>
        <v>4412171.5732299993</v>
      </c>
      <c r="G26" s="623">
        <f>D26+D25</f>
        <v>2499836.638938</v>
      </c>
      <c r="H26" s="610">
        <f>G26/F26</f>
        <v>0.56657738654255352</v>
      </c>
      <c r="I26" s="660" t="s">
        <v>200</v>
      </c>
    </row>
    <row r="27" spans="1:17">
      <c r="A27" s="872">
        <v>38353</v>
      </c>
      <c r="B27" s="623">
        <f>B26-C26</f>
        <v>2445954.1732299989</v>
      </c>
      <c r="C27" s="623">
        <f>'Ej 50-66'!E68+'Ej 50-66'!E98</f>
        <v>983108.7</v>
      </c>
      <c r="D27" s="623">
        <f>'Ej 50-66'!$B$17/2+'Ej 50-66'!F69+'Ej 50-66'!F98</f>
        <v>881252.55696899991</v>
      </c>
      <c r="E27" s="623"/>
      <c r="F27" s="623" t="s">
        <v>200</v>
      </c>
      <c r="G27" s="623" t="s">
        <v>200</v>
      </c>
      <c r="H27" s="610"/>
      <c r="I27" s="660" t="s">
        <v>200</v>
      </c>
    </row>
    <row r="28" spans="1:17">
      <c r="A28" s="815" t="s">
        <v>918</v>
      </c>
      <c r="B28" s="623">
        <f>B27-C27</f>
        <v>1462845.473229999</v>
      </c>
      <c r="C28" s="623">
        <f>'Ej 50-66'!E69+'Ej 50-66'!E99</f>
        <v>983108.7</v>
      </c>
      <c r="D28" s="623">
        <f>'Ej 50-66'!$B$17/2+'Ej 50-66'!F70+'Ej 50-66'!F99</f>
        <v>635475.38196899998</v>
      </c>
      <c r="E28" s="623">
        <f t="shared" si="1"/>
        <v>1966217.4</v>
      </c>
      <c r="F28" s="623">
        <f>(B28+B26)/2</f>
        <v>2445954.1732299989</v>
      </c>
      <c r="G28" s="623">
        <f>D28+D27</f>
        <v>1516727.9389379998</v>
      </c>
      <c r="H28" s="610">
        <f>G28/F28</f>
        <v>0.62009662958447354</v>
      </c>
      <c r="I28" s="660" t="s">
        <v>200</v>
      </c>
    </row>
    <row r="29" spans="1:17">
      <c r="A29" s="815" t="s">
        <v>919</v>
      </c>
      <c r="B29" s="623">
        <f>B28-C28</f>
        <v>479736.773229999</v>
      </c>
      <c r="C29" s="623"/>
      <c r="D29" s="623"/>
      <c r="E29" s="623"/>
      <c r="F29" s="623" t="s">
        <v>200</v>
      </c>
      <c r="G29" s="623" t="s">
        <v>200</v>
      </c>
      <c r="H29" s="623" t="s">
        <v>200</v>
      </c>
      <c r="I29" s="660" t="s">
        <v>200</v>
      </c>
    </row>
    <row r="30" spans="1:17">
      <c r="A30" s="481" t="s">
        <v>788</v>
      </c>
      <c r="B30" s="823">
        <f>E30+G30</f>
        <v>27000036.51969</v>
      </c>
      <c r="C30" s="823">
        <f>SUM(C19:C29)</f>
        <v>9831087</v>
      </c>
      <c r="D30" s="823">
        <f>SUM(D19:D29)</f>
        <v>17168949.51969</v>
      </c>
      <c r="E30" s="823">
        <f>SUM(E20:E28)</f>
        <v>9831087</v>
      </c>
      <c r="F30" s="823">
        <f>SUM(F20:F28)</f>
        <v>31400390.516149998</v>
      </c>
      <c r="G30" s="823">
        <f>SUM(G20:G28)</f>
        <v>17168949.51969</v>
      </c>
      <c r="H30" s="823" t="s">
        <v>200</v>
      </c>
      <c r="I30" s="824">
        <f>I18</f>
        <v>294932.61</v>
      </c>
    </row>
    <row r="31" spans="1:17">
      <c r="F31" s="817">
        <f>B13-E20</f>
        <v>7864869.5999999996</v>
      </c>
    </row>
    <row r="32" spans="1:17">
      <c r="A32" s="159"/>
      <c r="B32" s="159"/>
      <c r="F32" s="817">
        <f>F31/5</f>
        <v>1572973.92</v>
      </c>
    </row>
    <row r="33" spans="1:5">
      <c r="A33" s="816" t="s">
        <v>920</v>
      </c>
      <c r="B33" s="843">
        <f>G18+I18</f>
        <v>1933447.1099999999</v>
      </c>
      <c r="C33" s="159"/>
    </row>
    <row r="34" spans="1:5">
      <c r="A34" s="159"/>
      <c r="B34" s="159"/>
    </row>
    <row r="37" spans="1:5">
      <c r="A37" s="1046" t="s">
        <v>783</v>
      </c>
      <c r="B37" s="1047" t="s">
        <v>921</v>
      </c>
      <c r="C37" s="1047" t="s">
        <v>922</v>
      </c>
      <c r="D37" s="1047"/>
      <c r="E37" s="1047" t="s">
        <v>923</v>
      </c>
    </row>
    <row r="38" spans="1:5">
      <c r="A38" s="1080"/>
      <c r="B38" s="1081"/>
      <c r="C38" s="1081"/>
      <c r="D38" s="1081"/>
      <c r="E38" s="1081"/>
    </row>
    <row r="39" spans="1:5">
      <c r="A39" s="826">
        <v>1</v>
      </c>
      <c r="B39" s="827">
        <f>(G$18+I$18)/3</f>
        <v>644482.37</v>
      </c>
      <c r="C39" s="828">
        <f>G22</f>
        <v>4466054.0389380008</v>
      </c>
      <c r="D39" s="827"/>
      <c r="E39" s="827">
        <f t="shared" ref="E39:E43" si="2">SUM(B39:D39)</f>
        <v>5110536.4089380009</v>
      </c>
    </row>
    <row r="40" spans="1:5">
      <c r="A40" s="826">
        <v>2</v>
      </c>
      <c r="B40" s="827">
        <f>(G$18+I$18)/3</f>
        <v>644482.37</v>
      </c>
      <c r="C40" s="828">
        <f>G22</f>
        <v>4466054.0389380008</v>
      </c>
      <c r="D40" s="827"/>
      <c r="E40" s="827">
        <f t="shared" si="2"/>
        <v>5110536.4089380009</v>
      </c>
    </row>
    <row r="41" spans="1:5">
      <c r="A41" s="826">
        <v>3</v>
      </c>
      <c r="B41" s="827">
        <f>(G$18+I$18)/3</f>
        <v>644482.37</v>
      </c>
      <c r="C41" s="828">
        <f>G24</f>
        <v>3482945.3389380001</v>
      </c>
      <c r="D41" s="827"/>
      <c r="E41" s="827">
        <f t="shared" si="2"/>
        <v>4127427.7089380003</v>
      </c>
    </row>
    <row r="42" spans="1:5">
      <c r="A42" s="826">
        <v>4</v>
      </c>
      <c r="B42" s="827"/>
      <c r="C42" s="828">
        <f>G26</f>
        <v>2499836.638938</v>
      </c>
      <c r="D42" s="827"/>
      <c r="E42" s="827">
        <f t="shared" si="2"/>
        <v>2499836.638938</v>
      </c>
    </row>
    <row r="43" spans="1:5">
      <c r="A43" s="826">
        <v>5</v>
      </c>
      <c r="B43" s="827"/>
      <c r="C43" s="828">
        <f>G28</f>
        <v>1516727.9389379998</v>
      </c>
      <c r="D43" s="827"/>
      <c r="E43" s="827">
        <f t="shared" si="2"/>
        <v>1516727.9389379998</v>
      </c>
    </row>
    <row r="44" spans="1:5">
      <c r="A44" s="829" t="s">
        <v>607</v>
      </c>
      <c r="B44" s="830">
        <f t="shared" ref="B44:C44" si="3">SUM(B39:B43)</f>
        <v>1933447.1099999999</v>
      </c>
      <c r="C44" s="831">
        <f t="shared" si="3"/>
        <v>16431617.994690001</v>
      </c>
      <c r="D44" s="830"/>
      <c r="E44" s="830">
        <f>SUM(E39:E43)</f>
        <v>18365065.10469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workbookViewId="0">
      <selection activeCell="H16" sqref="H16"/>
    </sheetView>
  </sheetViews>
  <sheetFormatPr defaultRowHeight="12.75"/>
  <cols>
    <col min="1" max="1" width="43.7109375" customWidth="1"/>
    <col min="2" max="7" width="18.42578125" bestFit="1" customWidth="1"/>
  </cols>
  <sheetData>
    <row r="1" spans="1:9">
      <c r="A1" s="1048" t="s">
        <v>56</v>
      </c>
      <c r="B1" s="1048"/>
      <c r="C1" s="1048"/>
      <c r="D1" s="1048"/>
      <c r="E1" s="1049"/>
      <c r="F1" s="592">
        <v>9</v>
      </c>
      <c r="G1" s="158"/>
    </row>
    <row r="2" spans="1:9" ht="15.75">
      <c r="A2" s="611" t="s">
        <v>924</v>
      </c>
      <c r="B2" s="611"/>
      <c r="C2" s="613" t="s">
        <v>200</v>
      </c>
      <c r="D2" s="613" t="s">
        <v>200</v>
      </c>
      <c r="E2" s="613" t="s">
        <v>200</v>
      </c>
      <c r="F2" s="613" t="s">
        <v>200</v>
      </c>
      <c r="G2" s="595" t="s">
        <v>200</v>
      </c>
    </row>
    <row r="3" spans="1:9">
      <c r="A3" s="462" t="s">
        <v>444</v>
      </c>
      <c r="B3" s="596" t="s">
        <v>2</v>
      </c>
      <c r="C3" s="596" t="s">
        <v>3</v>
      </c>
      <c r="D3" s="596" t="s">
        <v>4</v>
      </c>
      <c r="E3" s="596" t="s">
        <v>5</v>
      </c>
      <c r="F3" s="614" t="s">
        <v>6</v>
      </c>
      <c r="G3" s="615" t="s">
        <v>607</v>
      </c>
    </row>
    <row r="4" spans="1:9">
      <c r="A4" s="158" t="s">
        <v>925</v>
      </c>
      <c r="B4" s="621">
        <f>'E-Costos'!C115</f>
        <v>1417500000</v>
      </c>
      <c r="C4" s="621">
        <f>'E-Costos'!D115</f>
        <v>1984500000</v>
      </c>
      <c r="D4" s="621">
        <f>'E-Costos'!E115</f>
        <v>1984500000</v>
      </c>
      <c r="E4" s="621">
        <f>'E-Costos'!F115</f>
        <v>1984500000</v>
      </c>
      <c r="F4" s="621">
        <f>'E-Costos'!G115</f>
        <v>1984500000</v>
      </c>
      <c r="G4" s="622">
        <f>SUM(B4:F4)</f>
        <v>9355500000</v>
      </c>
    </row>
    <row r="5" spans="1:9">
      <c r="A5" s="158" t="s">
        <v>926</v>
      </c>
      <c r="B5" s="622">
        <f>'E-Costos'!C134</f>
        <v>1281925132.9149323</v>
      </c>
      <c r="C5" s="622">
        <f>'E-Costos'!D134</f>
        <v>1262028264.2887347</v>
      </c>
      <c r="D5" s="622">
        <f>'E-Costos'!E134</f>
        <v>1261342158.4392443</v>
      </c>
      <c r="E5" s="622">
        <f>'E-Costos'!F134</f>
        <v>1261341730.3217964</v>
      </c>
      <c r="F5" s="622">
        <f>'E-Costos'!G134</f>
        <v>1261341730.3217964</v>
      </c>
      <c r="G5" s="622">
        <f>SUM(B5:F5)</f>
        <v>6327979016.2865038</v>
      </c>
    </row>
    <row r="6" spans="1:9">
      <c r="A6" s="158" t="s">
        <v>927</v>
      </c>
      <c r="B6" s="622">
        <f>B4-B5</f>
        <v>135574867.08506775</v>
      </c>
      <c r="C6" s="622">
        <f t="shared" ref="C6:F6" si="0">C4-C5</f>
        <v>722471735.71126533</v>
      </c>
      <c r="D6" s="622">
        <f t="shared" si="0"/>
        <v>723157841.56075573</v>
      </c>
      <c r="E6" s="622">
        <f t="shared" si="0"/>
        <v>723158269.67820358</v>
      </c>
      <c r="F6" s="622">
        <f t="shared" si="0"/>
        <v>723158269.67820358</v>
      </c>
      <c r="G6" s="622">
        <f>SUM(B6:F6)</f>
        <v>3027520983.7134962</v>
      </c>
    </row>
    <row r="7" spans="1:9">
      <c r="A7" s="158" t="s">
        <v>544</v>
      </c>
      <c r="B7" s="622" t="s">
        <v>200</v>
      </c>
      <c r="C7" s="623" t="s">
        <v>200</v>
      </c>
      <c r="D7" s="623" t="s">
        <v>200</v>
      </c>
      <c r="E7" s="623" t="s">
        <v>200</v>
      </c>
      <c r="F7" s="624" t="s">
        <v>200</v>
      </c>
      <c r="G7" s="622">
        <f>SUM(B7:F7)</f>
        <v>0</v>
      </c>
    </row>
    <row r="8" spans="1:9">
      <c r="A8" s="158" t="s">
        <v>928</v>
      </c>
      <c r="B8" s="622">
        <f>'E-Costos'!C136</f>
        <v>5300143.1383795906</v>
      </c>
      <c r="C8" s="622">
        <f>'E-Costos'!D136</f>
        <v>5234218.9933795901</v>
      </c>
      <c r="D8" s="622">
        <f>'E-Costos'!E136</f>
        <v>5234218.9933795901</v>
      </c>
      <c r="E8" s="622">
        <f>'E-Costos'!F136</f>
        <v>5234218.9933795901</v>
      </c>
      <c r="F8" s="622">
        <f>'E-Costos'!G136</f>
        <v>5234218.9933795901</v>
      </c>
      <c r="G8" s="622">
        <f>SUM(B8:F8)</f>
        <v>26237019.111897949</v>
      </c>
    </row>
    <row r="9" spans="1:9">
      <c r="A9" s="158" t="s">
        <v>929</v>
      </c>
      <c r="B9" s="622">
        <f>'E-Costos'!C137</f>
        <v>52328889.637379587</v>
      </c>
      <c r="C9" s="622">
        <f>'E-Costos'!D137</f>
        <v>70123465.492379591</v>
      </c>
      <c r="D9" s="622">
        <f>'E-Costos'!E137</f>
        <v>70123465.492379591</v>
      </c>
      <c r="E9" s="622">
        <f>'E-Costos'!F137</f>
        <v>70123465.492379591</v>
      </c>
      <c r="F9" s="622">
        <f>'E-Costos'!G137</f>
        <v>70123465.492379591</v>
      </c>
      <c r="G9" s="622">
        <f>SUM(B9:F9)</f>
        <v>332822751.60689795</v>
      </c>
    </row>
    <row r="10" spans="1:9">
      <c r="A10" s="158" t="s">
        <v>930</v>
      </c>
      <c r="B10" s="933">
        <f>E20</f>
        <v>5110536.4089380009</v>
      </c>
      <c r="C10" s="933">
        <f>E21</f>
        <v>4127427.7089380003</v>
      </c>
      <c r="D10" s="933">
        <f>E22</f>
        <v>2499836.6389380004</v>
      </c>
      <c r="E10" s="933">
        <f>E23</f>
        <v>1516727.9389379998</v>
      </c>
      <c r="F10" s="933">
        <f>E24</f>
        <v>110849278.08</v>
      </c>
      <c r="G10" s="622">
        <f>SUM(B10:F10)</f>
        <v>124103806.77575199</v>
      </c>
      <c r="I10" t="s">
        <v>931</v>
      </c>
    </row>
    <row r="11" spans="1:9">
      <c r="A11" s="598" t="s">
        <v>932</v>
      </c>
      <c r="B11" s="914">
        <f>B6-B8-B9-B10</f>
        <v>72835297.900370568</v>
      </c>
      <c r="C11" s="914">
        <f>C6-C8-C9-C10</f>
        <v>642986623.51656818</v>
      </c>
      <c r="D11" s="914">
        <f t="shared" ref="C11:F11" si="1">D6-D8-D9-D10</f>
        <v>645300320.43605864</v>
      </c>
      <c r="E11" s="914">
        <f t="shared" si="1"/>
        <v>646283857.25350642</v>
      </c>
      <c r="F11" s="914">
        <f t="shared" si="1"/>
        <v>536951307.1124444</v>
      </c>
      <c r="G11" s="622">
        <f>SUM(B11:F11)</f>
        <v>2544357406.2189484</v>
      </c>
    </row>
    <row r="12" spans="1:9">
      <c r="A12" s="158" t="s">
        <v>933</v>
      </c>
      <c r="B12" s="622">
        <f>IF(B11&gt;0,B11*InfoInicial!$B$5,0)</f>
        <v>5098470.8530259402</v>
      </c>
      <c r="C12" s="622">
        <f>IF(C11&gt;0,C11*InfoInicial!$B$5,0)</f>
        <v>45009063.646159776</v>
      </c>
      <c r="D12" s="622">
        <f>IF(D11&gt;0,D11*InfoInicial!$B$5,0)</f>
        <v>45171022.430524111</v>
      </c>
      <c r="E12" s="622">
        <f>IF(E11&gt;0,E11*InfoInicial!$B$5,0)</f>
        <v>45239870.007745452</v>
      </c>
      <c r="F12" s="622">
        <f>IF(F11&gt;0,F11*InfoInicial!$B$5,0)</f>
        <v>37586591.497871108</v>
      </c>
      <c r="G12" s="622">
        <f>SUM(B12:F12)</f>
        <v>178105018.43532637</v>
      </c>
    </row>
    <row r="13" spans="1:9">
      <c r="A13" s="628" t="s">
        <v>934</v>
      </c>
      <c r="B13" s="622">
        <f>B11*$C$28</f>
        <v>25492354.265129697</v>
      </c>
      <c r="C13" s="622">
        <f>C11*$C$28</f>
        <v>225045318.23079884</v>
      </c>
      <c r="D13" s="622">
        <f>D11*$C$28</f>
        <v>225855112.15262052</v>
      </c>
      <c r="E13" s="622">
        <f>E11*$C$28</f>
        <v>226199350.03872722</v>
      </c>
      <c r="F13" s="622">
        <f>F11*$C$28</f>
        <v>187932957.48935553</v>
      </c>
      <c r="G13" s="622">
        <f>SUM(B13:F13)</f>
        <v>890525092.17663193</v>
      </c>
    </row>
    <row r="14" spans="1:9">
      <c r="A14" s="158" t="s">
        <v>935</v>
      </c>
      <c r="B14" s="622">
        <f>IF(B13&gt;0,B11*InfoInicial!$B$4,0)</f>
        <v>25492354.265129697</v>
      </c>
      <c r="C14" s="622">
        <f>IF(C13&gt;0,C11*InfoInicial!$B$4,0)</f>
        <v>225045318.23079884</v>
      </c>
      <c r="D14" s="622">
        <f>IF(D13&gt;0,D11*InfoInicial!$B$4,0)</f>
        <v>225855112.15262052</v>
      </c>
      <c r="E14" s="622">
        <f>IF(E13&gt;0,E11*InfoInicial!$B$4,0)</f>
        <v>226199350.03872722</v>
      </c>
      <c r="F14" s="622">
        <f>IF(F13&gt;0,F11*InfoInicial!$B$4,0)</f>
        <v>187932957.48935553</v>
      </c>
      <c r="G14" s="622">
        <f>SUM(B14:F14)</f>
        <v>890525092.17663193</v>
      </c>
    </row>
    <row r="15" spans="1:9">
      <c r="A15" s="619" t="s">
        <v>936</v>
      </c>
      <c r="B15" s="913">
        <f>B11-B12-B14</f>
        <v>42244472.782214925</v>
      </c>
      <c r="C15" s="913">
        <f t="shared" ref="C15:G15" si="2">C11-C12-C14</f>
        <v>372932241.63960958</v>
      </c>
      <c r="D15" s="913">
        <f t="shared" si="2"/>
        <v>374274185.85291398</v>
      </c>
      <c r="E15" s="913">
        <f t="shared" si="2"/>
        <v>374844637.20703369</v>
      </c>
      <c r="F15" s="913">
        <f t="shared" si="2"/>
        <v>311431758.1252178</v>
      </c>
      <c r="G15" s="622">
        <f>SUM(B15:F15)</f>
        <v>1475727295.6069899</v>
      </c>
    </row>
    <row r="19" spans="1:5" ht="36">
      <c r="A19" s="705" t="s">
        <v>783</v>
      </c>
      <c r="B19" s="935" t="s">
        <v>937</v>
      </c>
      <c r="C19" s="907" t="s">
        <v>938</v>
      </c>
      <c r="D19" s="907" t="s">
        <v>939</v>
      </c>
      <c r="E19" s="907" t="s">
        <v>940</v>
      </c>
    </row>
    <row r="20" spans="1:5">
      <c r="A20" s="934">
        <v>1</v>
      </c>
      <c r="B20" s="927">
        <f>'Ej 50-66'!B113</f>
        <v>644482.37</v>
      </c>
      <c r="C20" s="930">
        <f>'Ej 50-66'!C113</f>
        <v>287842.06393800001</v>
      </c>
      <c r="D20" s="930">
        <f>'Ej 50-66'!D113</f>
        <v>4915543.5</v>
      </c>
      <c r="E20" s="908">
        <f>SUM(B21:D21)</f>
        <v>5110536.4089380009</v>
      </c>
    </row>
    <row r="21" spans="1:5">
      <c r="A21" s="929">
        <v>2</v>
      </c>
      <c r="B21" s="927">
        <f>'Ej 50-66'!B114</f>
        <v>644482.37</v>
      </c>
      <c r="C21" s="930">
        <f>'Ej 50-66'!C114</f>
        <v>287842.06393800001</v>
      </c>
      <c r="D21" s="930">
        <f>'Ej 50-66'!D114</f>
        <v>4178211.9750000006</v>
      </c>
      <c r="E21" s="908">
        <f t="shared" ref="E21:E24" si="3">SUM(B22:D22)</f>
        <v>4127427.7089380003</v>
      </c>
    </row>
    <row r="22" spans="1:5">
      <c r="A22" s="929">
        <v>3</v>
      </c>
      <c r="B22" s="927">
        <f>'Ej 50-66'!B115</f>
        <v>644482.37</v>
      </c>
      <c r="C22" s="930">
        <f>'Ej 50-66'!C115</f>
        <v>287842.06393800001</v>
      </c>
      <c r="D22" s="930">
        <f>'Ej 50-66'!D115</f>
        <v>3195103.2750000004</v>
      </c>
      <c r="E22" s="908">
        <f>SUM(B23:D23)</f>
        <v>2499836.6389380004</v>
      </c>
    </row>
    <row r="23" spans="1:5">
      <c r="A23" s="929">
        <v>4</v>
      </c>
      <c r="B23" s="928"/>
      <c r="C23" s="930">
        <f>'Ej 50-66'!C116</f>
        <v>287842.06393800001</v>
      </c>
      <c r="D23" s="930">
        <f>'Ej 50-66'!D116</f>
        <v>2211994.5750000002</v>
      </c>
      <c r="E23" s="908">
        <f t="shared" si="3"/>
        <v>1516727.9389379998</v>
      </c>
    </row>
    <row r="24" spans="1:5">
      <c r="A24" s="866">
        <v>5</v>
      </c>
      <c r="B24" s="909" t="s">
        <v>200</v>
      </c>
      <c r="C24" s="930">
        <f>'Ej 50-66'!C117</f>
        <v>287842.06393800001</v>
      </c>
      <c r="D24" s="930">
        <f>'Ej 50-66'!D117</f>
        <v>1228885.8749999998</v>
      </c>
      <c r="E24" s="908">
        <f t="shared" si="3"/>
        <v>110849278.08</v>
      </c>
    </row>
    <row r="25" spans="1:5">
      <c r="A25" s="864" t="s">
        <v>607</v>
      </c>
      <c r="B25" s="910">
        <v>2998244</v>
      </c>
      <c r="C25" s="910">
        <v>59866262.079999998</v>
      </c>
      <c r="D25" s="910">
        <v>47984772</v>
      </c>
      <c r="E25" s="910">
        <v>110849278.08</v>
      </c>
    </row>
    <row r="28" spans="1:5">
      <c r="B28" s="569" t="s">
        <v>941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47" workbookViewId="0">
      <selection activeCell="D54" sqref="D54"/>
    </sheetView>
  </sheetViews>
  <sheetFormatPr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9" t="s">
        <v>56</v>
      </c>
      <c r="B1" s="590"/>
      <c r="C1" s="590"/>
      <c r="D1" s="158">
        <v>9</v>
      </c>
      <c r="E1" s="609" t="s">
        <v>200</v>
      </c>
      <c r="F1" s="158"/>
    </row>
    <row r="2" spans="1:6" ht="15.75">
      <c r="A2" s="611" t="s">
        <v>942</v>
      </c>
      <c r="B2" s="613" t="s">
        <v>200</v>
      </c>
      <c r="C2" s="613" t="s">
        <v>200</v>
      </c>
      <c r="D2" s="595" t="s">
        <v>200</v>
      </c>
      <c r="E2" s="158"/>
      <c r="F2" s="158"/>
    </row>
    <row r="3" spans="1:6">
      <c r="A3" s="462" t="s">
        <v>444</v>
      </c>
      <c r="B3" s="598" t="s">
        <v>14</v>
      </c>
      <c r="C3" s="598" t="s">
        <v>2</v>
      </c>
      <c r="D3" s="615" t="s">
        <v>607</v>
      </c>
      <c r="E3" s="158"/>
      <c r="F3" s="158"/>
    </row>
    <row r="4" spans="1:6">
      <c r="A4" s="598" t="s">
        <v>943</v>
      </c>
      <c r="B4" s="639" t="s">
        <v>200</v>
      </c>
      <c r="C4" s="639" t="s">
        <v>200</v>
      </c>
      <c r="D4" s="639" t="s">
        <v>200</v>
      </c>
      <c r="E4" s="158"/>
      <c r="F4" s="158"/>
    </row>
    <row r="5" spans="1:6">
      <c r="A5" s="158"/>
      <c r="B5" s="639" t="s">
        <v>200</v>
      </c>
      <c r="C5" s="639" t="s">
        <v>200</v>
      </c>
      <c r="D5" s="639" t="s">
        <v>200</v>
      </c>
      <c r="E5" s="158"/>
      <c r="F5" s="158"/>
    </row>
    <row r="6" spans="1:6">
      <c r="A6" s="158" t="s">
        <v>944</v>
      </c>
      <c r="B6" s="639">
        <f>'E-Inv AF y Am'!B21</f>
        <v>61141048.631250001</v>
      </c>
      <c r="C6" s="639">
        <f>'E-Inv AF y Am'!C21</f>
        <v>0</v>
      </c>
      <c r="D6" s="639">
        <f>B6+C6</f>
        <v>61141048.631250001</v>
      </c>
      <c r="E6" s="158"/>
      <c r="F6" s="158"/>
    </row>
    <row r="7" spans="1:6">
      <c r="A7" s="158" t="s">
        <v>945</v>
      </c>
      <c r="B7" s="639">
        <f>'E-Inv AF y Am'!B34+'F-Cred'!G18+'F-Cred'!I18</f>
        <v>35990357.759999998</v>
      </c>
      <c r="C7" s="639">
        <f>'E-Inv AF y Am'!C34</f>
        <v>57111166.309357546</v>
      </c>
      <c r="D7" s="639">
        <f>B7+C7</f>
        <v>93101524.069357544</v>
      </c>
      <c r="E7" s="158"/>
      <c r="F7" s="158"/>
    </row>
    <row r="8" spans="1:6">
      <c r="A8" s="598" t="s">
        <v>946</v>
      </c>
      <c r="B8" s="639">
        <f>B7+B6</f>
        <v>97131406.391249999</v>
      </c>
      <c r="C8" s="639">
        <f>SUM(C6:C7)</f>
        <v>57111166.309357546</v>
      </c>
      <c r="D8" s="639">
        <f>B8+C8</f>
        <v>154242572.70060754</v>
      </c>
      <c r="E8" s="158"/>
      <c r="F8" s="158"/>
    </row>
    <row r="9" spans="1:6">
      <c r="A9" s="158" t="s">
        <v>947</v>
      </c>
      <c r="B9" s="639">
        <f>InfoInicial!B3*B8</f>
        <v>20397595.342162497</v>
      </c>
      <c r="C9" s="639">
        <f>C8*InfoInicial!B3</f>
        <v>11993344.924965084</v>
      </c>
      <c r="D9" s="639">
        <f>B9+C9</f>
        <v>32390940.267127581</v>
      </c>
      <c r="E9" s="822"/>
      <c r="F9" s="158"/>
    </row>
    <row r="10" spans="1:6">
      <c r="A10" s="598" t="s">
        <v>948</v>
      </c>
      <c r="B10" s="639">
        <f>B9+B8</f>
        <v>117529001.7334125</v>
      </c>
      <c r="C10" s="639">
        <f>C9+C8</f>
        <v>69104511.234322637</v>
      </c>
      <c r="D10" s="639">
        <f>B10+C10</f>
        <v>186633512.96773514</v>
      </c>
      <c r="E10" s="158"/>
      <c r="F10" s="158"/>
    </row>
    <row r="11" spans="1:6">
      <c r="A11" s="598" t="s">
        <v>949</v>
      </c>
      <c r="B11" s="639" t="s">
        <v>200</v>
      </c>
      <c r="C11" s="639" t="s">
        <v>200</v>
      </c>
      <c r="D11" s="639"/>
      <c r="E11" s="158"/>
      <c r="F11" s="158"/>
    </row>
    <row r="12" spans="1:6">
      <c r="A12" s="158" t="s">
        <v>950</v>
      </c>
      <c r="B12" s="639">
        <f>'E-InvAT'!B6</f>
        <v>2268000</v>
      </c>
      <c r="C12" s="639">
        <f>'E-InvAT'!C6-'E-InvAT'!B6</f>
        <v>26082000</v>
      </c>
      <c r="D12" s="639">
        <f>B12+C12</f>
        <v>28350000</v>
      </c>
      <c r="E12" s="158"/>
      <c r="F12" s="158"/>
    </row>
    <row r="13" spans="1:6">
      <c r="A13" s="158" t="s">
        <v>951</v>
      </c>
      <c r="B13" s="639">
        <f>'E-InvAT'!B7</f>
        <v>0</v>
      </c>
      <c r="C13" s="639">
        <f>'E-InvAT'!C7</f>
        <v>116506849.3150685</v>
      </c>
      <c r="D13" s="639">
        <f>B13+C13</f>
        <v>116506849.3150685</v>
      </c>
      <c r="E13" s="158"/>
      <c r="F13" s="158"/>
    </row>
    <row r="14" spans="1:6">
      <c r="A14" s="158" t="s">
        <v>952</v>
      </c>
      <c r="B14" s="639">
        <f>'E-InvAT'!B9</f>
        <v>959473.54645999998</v>
      </c>
      <c r="C14" s="639">
        <f>'E-InvAT'!C9</f>
        <v>55294810.721755765</v>
      </c>
      <c r="D14" s="639">
        <f>B14+C14</f>
        <v>56254284.268215768</v>
      </c>
      <c r="E14" s="158"/>
      <c r="F14" s="158"/>
    </row>
    <row r="15" spans="1:6">
      <c r="A15" s="598" t="s">
        <v>953</v>
      </c>
      <c r="B15" s="639">
        <f>'E-InvAT'!B15</f>
        <v>3227473.5464599999</v>
      </c>
      <c r="C15" s="639">
        <f>SUM(C12:C14)</f>
        <v>197883660.03682426</v>
      </c>
      <c r="D15" s="639">
        <f>B15+C15</f>
        <v>201111133.58328426</v>
      </c>
      <c r="E15" s="158"/>
      <c r="F15" s="158"/>
    </row>
    <row r="16" spans="1:6">
      <c r="A16" s="158" t="s">
        <v>544</v>
      </c>
      <c r="B16" s="639" t="s">
        <v>200</v>
      </c>
      <c r="C16" s="639" t="s">
        <v>200</v>
      </c>
      <c r="D16" s="639"/>
      <c r="E16" s="158"/>
      <c r="F16" s="158"/>
    </row>
    <row r="17" spans="1:6">
      <c r="A17" s="158" t="s">
        <v>954</v>
      </c>
      <c r="B17" s="639">
        <f>'E-InvAT'!B17+'E-InvAT'!B18</f>
        <v>0</v>
      </c>
      <c r="C17" s="639">
        <f>'E-InvAT'!C17+'E-InvAT'!C18</f>
        <v>2965555.6253336994</v>
      </c>
      <c r="D17" s="639">
        <f>B17+C17</f>
        <v>2965555.6253336994</v>
      </c>
      <c r="E17" s="158"/>
      <c r="F17" s="158"/>
    </row>
    <row r="18" spans="1:6">
      <c r="A18" s="158" t="s">
        <v>955</v>
      </c>
      <c r="B18" s="639">
        <f>'E-InvAT'!B20</f>
        <v>0</v>
      </c>
      <c r="C18" s="639">
        <f>('E-Inv AF y Am'!D58-C17+('F-Cred'!B18+'F-Cred'!I18)/3)*'E-InvAT'!J1/360</f>
        <v>1923607.3850239839</v>
      </c>
      <c r="D18" s="639">
        <f>B18+C18</f>
        <v>1923607.3850239839</v>
      </c>
      <c r="E18" s="158"/>
      <c r="F18" s="158"/>
    </row>
    <row r="19" spans="1:6">
      <c r="A19" s="158" t="s">
        <v>956</v>
      </c>
      <c r="B19" s="639">
        <f>'E-InvAT'!B19</f>
        <v>0</v>
      </c>
      <c r="C19" s="936">
        <f>('F-CRes'!B14/'E-Costos'!C115)*'E-InvAT'!C7</f>
        <v>2095261.9943942218</v>
      </c>
      <c r="D19" s="639">
        <f>B19+C19</f>
        <v>2095261.9943942218</v>
      </c>
      <c r="E19" s="158"/>
      <c r="F19" s="158"/>
    </row>
    <row r="20" spans="1:6">
      <c r="A20" s="598" t="s">
        <v>957</v>
      </c>
      <c r="B20" s="639">
        <f>B15-B17-B18-B19</f>
        <v>3227473.5464599999</v>
      </c>
      <c r="C20" s="639">
        <f>C15-C17-C18-C19</f>
        <v>190899235.03207237</v>
      </c>
      <c r="D20" s="639">
        <f>B20+C20</f>
        <v>194126708.57853237</v>
      </c>
      <c r="E20" s="158"/>
      <c r="F20" s="158"/>
    </row>
    <row r="21" spans="1:6">
      <c r="A21" s="158" t="s">
        <v>701</v>
      </c>
      <c r="B21" s="639">
        <f>'E-InvAT'!B34</f>
        <v>79437.423756599994</v>
      </c>
      <c r="C21" s="639">
        <f>'E-InvAT'!C34</f>
        <v>40541688.99121587</v>
      </c>
      <c r="D21" s="639">
        <f>B21+C21</f>
        <v>40621126.414972469</v>
      </c>
      <c r="E21" s="822"/>
      <c r="F21" s="158"/>
    </row>
    <row r="22" spans="1:6">
      <c r="A22" s="598" t="s">
        <v>958</v>
      </c>
      <c r="B22" s="639">
        <f>B15+B21</f>
        <v>3306910.9702165998</v>
      </c>
      <c r="C22" s="639">
        <f>C15*(1+InfoInicial!B3)</f>
        <v>239439228.64455736</v>
      </c>
      <c r="D22" s="639">
        <f>B22+C22</f>
        <v>242746139.61477396</v>
      </c>
      <c r="E22" s="158"/>
      <c r="F22" s="158"/>
    </row>
    <row r="23" spans="1:6">
      <c r="A23" s="598" t="s">
        <v>959</v>
      </c>
      <c r="B23" s="639">
        <f>B20+B21</f>
        <v>3306910.9702165998</v>
      </c>
      <c r="C23" s="639">
        <f>C20+C21</f>
        <v>231440924.02328825</v>
      </c>
      <c r="D23" s="639">
        <f>B23+C23</f>
        <v>234747834.99350485</v>
      </c>
      <c r="E23" s="158"/>
      <c r="F23" s="158"/>
    </row>
    <row r="24" spans="1:6">
      <c r="A24" s="598" t="s">
        <v>960</v>
      </c>
      <c r="B24" s="639" t="s">
        <v>200</v>
      </c>
      <c r="C24" s="639" t="s">
        <v>200</v>
      </c>
      <c r="D24" s="639"/>
      <c r="E24" s="158"/>
      <c r="F24" s="158"/>
    </row>
    <row r="25" spans="1:6">
      <c r="A25" s="158" t="s">
        <v>961</v>
      </c>
      <c r="B25" s="639">
        <f>B10</f>
        <v>117529001.7334125</v>
      </c>
      <c r="C25" s="639">
        <f>C10</f>
        <v>69104511.234322637</v>
      </c>
      <c r="D25" s="639">
        <f>B25+C25</f>
        <v>186633512.96773514</v>
      </c>
      <c r="E25" s="158"/>
      <c r="F25" s="158"/>
    </row>
    <row r="26" spans="1:6">
      <c r="A26" s="158" t="s">
        <v>962</v>
      </c>
      <c r="B26" s="639">
        <f>B23</f>
        <v>3306910.9702165998</v>
      </c>
      <c r="C26" s="639">
        <f>C23</f>
        <v>231440924.02328825</v>
      </c>
      <c r="D26" s="639">
        <f>B26+C26</f>
        <v>234747834.99350485</v>
      </c>
      <c r="E26" s="158"/>
      <c r="F26" s="158"/>
    </row>
    <row r="27" spans="1:6">
      <c r="A27" s="598" t="s">
        <v>963</v>
      </c>
      <c r="B27" s="639">
        <f>B25+B26</f>
        <v>120835912.70362911</v>
      </c>
      <c r="C27" s="639">
        <f>C25+C26</f>
        <v>300545435.25761092</v>
      </c>
      <c r="D27" s="639">
        <f>B27+C27</f>
        <v>421381347.96124005</v>
      </c>
      <c r="E27" s="620" t="s">
        <v>200</v>
      </c>
      <c r="F27" s="158"/>
    </row>
    <row r="28" spans="1:6">
      <c r="A28" s="598" t="s">
        <v>964</v>
      </c>
      <c r="B28" s="639">
        <v>0</v>
      </c>
      <c r="C28" s="639">
        <v>0</v>
      </c>
      <c r="D28" s="639">
        <f>B28+C28</f>
        <v>0</v>
      </c>
      <c r="E28" s="630" t="s">
        <v>965</v>
      </c>
      <c r="F28" s="158"/>
    </row>
    <row r="29" spans="1:6">
      <c r="A29" s="598" t="s">
        <v>966</v>
      </c>
      <c r="B29" s="639">
        <v>0</v>
      </c>
      <c r="C29" s="639">
        <f>'F-Cred'!D6</f>
        <v>799561.28871666663</v>
      </c>
      <c r="D29" s="639">
        <f>B29+C29</f>
        <v>799561.28871666663</v>
      </c>
      <c r="E29" s="844">
        <f>D29/$D$27</f>
        <v>1.897476697972433E-3</v>
      </c>
      <c r="F29" s="158"/>
    </row>
    <row r="30" spans="1:6">
      <c r="A30" s="598" t="s">
        <v>967</v>
      </c>
      <c r="B30" s="639">
        <f>'F-Cred'!C30</f>
        <v>9831087</v>
      </c>
      <c r="C30" s="639"/>
      <c r="D30" s="639">
        <f>B30+C30</f>
        <v>9831087</v>
      </c>
      <c r="E30" s="618">
        <f>D30/$D$27</f>
        <v>2.3330617379163858E-2</v>
      </c>
      <c r="F30" s="158"/>
    </row>
    <row r="31" spans="1:6">
      <c r="A31" s="598" t="s">
        <v>968</v>
      </c>
      <c r="B31" s="724">
        <f>B27-B29-B30</f>
        <v>111004825.70362911</v>
      </c>
      <c r="C31" s="724">
        <f>C27-C29-C30</f>
        <v>299745873.96889424</v>
      </c>
      <c r="D31" s="724">
        <f>B31+C31</f>
        <v>410750699.67252338</v>
      </c>
      <c r="E31" s="725">
        <f t="shared" ref="E30:E32" si="0">D31/$D$27</f>
        <v>0.97477190592286367</v>
      </c>
      <c r="F31" s="158"/>
    </row>
    <row r="32" spans="1:6">
      <c r="A32" s="619" t="s">
        <v>607</v>
      </c>
      <c r="B32" s="722">
        <f>SUM(B29:B31)</f>
        <v>120835912.70362911</v>
      </c>
      <c r="C32" s="722">
        <f>SUM(C29:C31)</f>
        <v>300545435.25761092</v>
      </c>
      <c r="D32" s="722">
        <f>SUM(D29:D31)</f>
        <v>421381347.96124005</v>
      </c>
      <c r="E32" s="723">
        <f t="shared" si="0"/>
        <v>1</v>
      </c>
      <c r="F32" s="158"/>
    </row>
    <row r="33" spans="1:6">
      <c r="A33" s="628" t="s">
        <v>969</v>
      </c>
      <c r="B33" s="822">
        <f>+B21+B9</f>
        <v>20477032.765919097</v>
      </c>
      <c r="C33" s="822">
        <f>+C21+C9</f>
        <v>52535033.916180953</v>
      </c>
      <c r="D33" s="822"/>
      <c r="E33" s="158"/>
      <c r="F33" s="158"/>
    </row>
    <row r="34" spans="1:6">
      <c r="A34" s="628" t="s">
        <v>970</v>
      </c>
      <c r="B34" s="822">
        <f>B31</f>
        <v>111004825.70362911</v>
      </c>
      <c r="C34" s="822">
        <f>B31+C31</f>
        <v>410750699.67252338</v>
      </c>
      <c r="D34" s="158"/>
      <c r="E34" s="158"/>
      <c r="F34" s="158"/>
    </row>
    <row r="35" spans="1:6" ht="15.75">
      <c r="A35" s="611" t="s">
        <v>971</v>
      </c>
      <c r="B35" s="613" t="s">
        <v>200</v>
      </c>
      <c r="C35" s="613" t="s">
        <v>200</v>
      </c>
      <c r="D35" s="613" t="s">
        <v>200</v>
      </c>
      <c r="E35" s="613" t="s">
        <v>200</v>
      </c>
      <c r="F35" s="613" t="s">
        <v>200</v>
      </c>
    </row>
    <row r="36" spans="1:6">
      <c r="A36" s="462" t="s">
        <v>444</v>
      </c>
      <c r="B36" s="596" t="s">
        <v>2</v>
      </c>
      <c r="C36" s="596" t="s">
        <v>3</v>
      </c>
      <c r="D36" s="596" t="s">
        <v>4</v>
      </c>
      <c r="E36" s="596" t="s">
        <v>5</v>
      </c>
      <c r="F36" s="596" t="s">
        <v>6</v>
      </c>
    </row>
    <row r="37" spans="1:6">
      <c r="A37" s="92" t="s">
        <v>593</v>
      </c>
      <c r="B37" s="639">
        <f>'E-Costos'!C155</f>
        <v>28434105.333871506</v>
      </c>
      <c r="C37" s="639">
        <f>'E-Costos'!D155</f>
        <v>28434105.333871506</v>
      </c>
      <c r="D37" s="639">
        <f>'E-Costos'!E155</f>
        <v>28434105.333871506</v>
      </c>
      <c r="E37" s="639">
        <f>'E-Costos'!F155</f>
        <v>28434105.333871506</v>
      </c>
      <c r="F37" s="639">
        <f>'E-Costos'!G155</f>
        <v>28434105.333871506</v>
      </c>
    </row>
    <row r="38" spans="1:6">
      <c r="A38" s="94" t="s">
        <v>594</v>
      </c>
      <c r="B38" s="639">
        <f>'E-Costos'!C156</f>
        <v>1298503119.5979252</v>
      </c>
      <c r="C38" s="639">
        <f>'E-Costos'!D156</f>
        <v>1209417624.9879251</v>
      </c>
      <c r="D38" s="639">
        <f>'E-Costos'!E156</f>
        <v>1209417624.9879251</v>
      </c>
      <c r="E38" s="639">
        <f>'E-Costos'!F156</f>
        <v>1209417624.9879251</v>
      </c>
      <c r="F38" s="639">
        <f>'E-Costos'!G156</f>
        <v>1209417624.9879251</v>
      </c>
    </row>
    <row r="39" spans="1:6">
      <c r="A39" s="92" t="s">
        <v>595</v>
      </c>
      <c r="B39" s="639">
        <f>'E-Costos'!C157</f>
        <v>5093028.021720429</v>
      </c>
      <c r="C39" s="639">
        <f>'E-Costos'!D157</f>
        <v>5027103.8767204285</v>
      </c>
      <c r="D39" s="639">
        <f>'E-Costos'!E157</f>
        <v>5027103.8767204285</v>
      </c>
      <c r="E39" s="639">
        <f>'E-Costos'!F157</f>
        <v>5027103.8767204285</v>
      </c>
      <c r="F39" s="639">
        <f>'E-Costos'!G157</f>
        <v>5027103.8767204285</v>
      </c>
    </row>
    <row r="40" spans="1:6">
      <c r="A40" s="94" t="s">
        <v>596</v>
      </c>
      <c r="B40" s="639">
        <f>'E-Costos'!C158</f>
        <v>207115.11665916178</v>
      </c>
      <c r="C40" s="639">
        <f>'E-Costos'!D158</f>
        <v>207115.11665916175</v>
      </c>
      <c r="D40" s="639">
        <f>'E-Costos'!E158</f>
        <v>207115.11665916175</v>
      </c>
      <c r="E40" s="639">
        <f>'E-Costos'!F158</f>
        <v>207115.11665916175</v>
      </c>
      <c r="F40" s="639">
        <f>'E-Costos'!G158</f>
        <v>207115.11665916175</v>
      </c>
    </row>
    <row r="41" spans="1:6">
      <c r="A41" s="92" t="s">
        <v>597</v>
      </c>
      <c r="B41" s="639">
        <f>'E-Costos'!C159</f>
        <v>47101037.749885321</v>
      </c>
      <c r="C41" s="639">
        <f>'E-Costos'!D159</f>
        <v>64048252.849885322</v>
      </c>
      <c r="D41" s="639">
        <f>'E-Costos'!E159</f>
        <v>64048252.849885322</v>
      </c>
      <c r="E41" s="639">
        <f>'E-Costos'!F159</f>
        <v>64048252.849885322</v>
      </c>
      <c r="F41" s="639">
        <f>'E-Costos'!G159</f>
        <v>64048252.849885322</v>
      </c>
    </row>
    <row r="42" spans="1:6">
      <c r="A42" s="94" t="s">
        <v>598</v>
      </c>
      <c r="B42" s="639">
        <f>'E-Costos'!C160</f>
        <v>5227851.887494266</v>
      </c>
      <c r="C42" s="639">
        <f>'E-Costos'!D160</f>
        <v>6075212.6424942669</v>
      </c>
      <c r="D42" s="639">
        <f>'E-Costos'!E160</f>
        <v>6075212.6424942669</v>
      </c>
      <c r="E42" s="639">
        <f>'E-Costos'!F160</f>
        <v>6075212.6424942669</v>
      </c>
      <c r="F42" s="639">
        <f>'E-Costos'!G160</f>
        <v>6075212.6424942669</v>
      </c>
    </row>
    <row r="43" spans="1:6">
      <c r="A43" s="462" t="s">
        <v>801</v>
      </c>
      <c r="B43" s="623">
        <f>'F-CRes'!B10</f>
        <v>5110536.4089380009</v>
      </c>
      <c r="C43" s="623">
        <f>'F-CRes'!C10</f>
        <v>4127427.7089380003</v>
      </c>
      <c r="D43" s="623">
        <f>'F-CRes'!D10</f>
        <v>2499836.6389380004</v>
      </c>
      <c r="E43" s="623">
        <f>'F-CRes'!E10</f>
        <v>1516727.9389379998</v>
      </c>
      <c r="F43" s="623">
        <f>'F-CRes'!F10</f>
        <v>110849278.08</v>
      </c>
    </row>
    <row r="44" spans="1:6">
      <c r="A44" s="462" t="s">
        <v>599</v>
      </c>
      <c r="B44" s="623">
        <f>'F-CRes'!B4-B38-B40-B42-B43</f>
        <v>108451376.98898338</v>
      </c>
      <c r="C44" s="623">
        <f>'F-CRes'!C4-C38-C40-C42-C43</f>
        <v>764672619.54398346</v>
      </c>
      <c r="D44" s="623">
        <f>'F-CRes'!D4-D38-D40-D42-D43</f>
        <v>766300210.61398351</v>
      </c>
      <c r="E44" s="623">
        <f>'F-CRes'!E4-E38-E40-E42-E43</f>
        <v>767283319.31398344</v>
      </c>
      <c r="F44" s="623">
        <f>'F-CRes'!F4-F38-F40-F42-F43</f>
        <v>657950769.17292142</v>
      </c>
    </row>
    <row r="45" spans="1:6">
      <c r="A45" s="481" t="s">
        <v>600</v>
      </c>
      <c r="B45" s="626">
        <f>(B37+B39+B41)/B44</f>
        <v>0.74344995281772741</v>
      </c>
      <c r="C45" s="626">
        <f t="shared" ref="C45:F45" si="1">(C37+C39+C41)/C44</f>
        <v>0.12751792017690858</v>
      </c>
      <c r="D45" s="626">
        <f t="shared" si="1"/>
        <v>0.12724707720274492</v>
      </c>
      <c r="E45" s="626">
        <f t="shared" si="1"/>
        <v>0.12708403741613855</v>
      </c>
      <c r="F45" s="626">
        <f t="shared" si="1"/>
        <v>0.14820176011504896</v>
      </c>
    </row>
    <row r="46" spans="1:6" ht="15.75">
      <c r="A46" s="631" t="s">
        <v>972</v>
      </c>
      <c r="B46" s="612"/>
      <c r="C46" s="612"/>
      <c r="D46" s="612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602</v>
      </c>
      <c r="B51" s="532" t="s">
        <v>603</v>
      </c>
      <c r="C51" s="532" t="s">
        <v>604</v>
      </c>
      <c r="D51" s="532" t="s">
        <v>605</v>
      </c>
      <c r="E51" s="532" t="s">
        <v>606</v>
      </c>
      <c r="F51" s="532" t="s">
        <v>607</v>
      </c>
    </row>
    <row r="52" spans="1:6">
      <c r="A52" s="100">
        <f>'E-Costos'!B167</f>
        <v>1417500000</v>
      </c>
      <c r="B52" s="533">
        <v>0</v>
      </c>
      <c r="C52" s="534">
        <f>$A$52*B52</f>
        <v>0</v>
      </c>
      <c r="D52" s="441">
        <f>$B$37+$B$39+$B$41+$B$43</f>
        <v>85738707.514415264</v>
      </c>
      <c r="E52" s="441">
        <f>$E$72*B52</f>
        <v>0</v>
      </c>
      <c r="F52" s="441">
        <f>D52+E52</f>
        <v>85738707.514415264</v>
      </c>
    </row>
    <row r="53" spans="1:6">
      <c r="A53" s="3"/>
      <c r="B53" s="533">
        <v>0.05</v>
      </c>
      <c r="C53" s="534">
        <f t="shared" ref="C53:C72" si="2">$A$52*B53</f>
        <v>70875000</v>
      </c>
      <c r="D53" s="441">
        <f t="shared" ref="D53:D72" si="3">$B$37+$B$39+$B$41+$B$43</f>
        <v>85738707.514415264</v>
      </c>
      <c r="E53" s="441">
        <f t="shared" ref="E53:E71" si="4">$E$72*B53</f>
        <v>65196904.330103934</v>
      </c>
      <c r="F53" s="441">
        <f t="shared" ref="F53:F72" si="5">D53+E53</f>
        <v>150935611.8445192</v>
      </c>
    </row>
    <row r="54" spans="1:6">
      <c r="A54" s="3"/>
      <c r="B54" s="533">
        <v>0.1</v>
      </c>
      <c r="C54" s="534">
        <f t="shared" si="2"/>
        <v>141750000</v>
      </c>
      <c r="D54" s="441">
        <f t="shared" si="3"/>
        <v>85738707.514415264</v>
      </c>
      <c r="E54" s="441">
        <f t="shared" si="4"/>
        <v>130393808.66020787</v>
      </c>
      <c r="F54" s="441">
        <f t="shared" si="5"/>
        <v>216132516.17462313</v>
      </c>
    </row>
    <row r="55" spans="1:6">
      <c r="A55" s="3"/>
      <c r="B55" s="533">
        <v>0.15</v>
      </c>
      <c r="C55" s="534">
        <f t="shared" si="2"/>
        <v>212625000</v>
      </c>
      <c r="D55" s="441">
        <f t="shared" si="3"/>
        <v>85738707.514415264</v>
      </c>
      <c r="E55" s="441">
        <f t="shared" si="4"/>
        <v>195590712.9903118</v>
      </c>
      <c r="F55" s="441">
        <f t="shared" si="5"/>
        <v>281329420.50472707</v>
      </c>
    </row>
    <row r="56" spans="1:6">
      <c r="A56" s="3"/>
      <c r="B56" s="533">
        <v>0.2</v>
      </c>
      <c r="C56" s="534">
        <f t="shared" si="2"/>
        <v>283500000</v>
      </c>
      <c r="D56" s="441">
        <f t="shared" si="3"/>
        <v>85738707.514415264</v>
      </c>
      <c r="E56" s="441">
        <f t="shared" si="4"/>
        <v>260787617.32041574</v>
      </c>
      <c r="F56" s="441">
        <f>D56+E56</f>
        <v>346526324.834831</v>
      </c>
    </row>
    <row r="57" spans="1:6">
      <c r="A57" s="3"/>
      <c r="B57" s="533">
        <v>0.25</v>
      </c>
      <c r="C57" s="534">
        <f t="shared" si="2"/>
        <v>354375000</v>
      </c>
      <c r="D57" s="441">
        <f t="shared" si="3"/>
        <v>85738707.514415264</v>
      </c>
      <c r="E57" s="441">
        <f t="shared" si="4"/>
        <v>325984521.65051967</v>
      </c>
      <c r="F57" s="441">
        <f t="shared" si="5"/>
        <v>411723229.16493493</v>
      </c>
    </row>
    <row r="58" spans="1:6">
      <c r="A58" s="3"/>
      <c r="B58" s="533">
        <v>0.3</v>
      </c>
      <c r="C58" s="534">
        <f t="shared" si="2"/>
        <v>425250000</v>
      </c>
      <c r="D58" s="441">
        <f t="shared" si="3"/>
        <v>85738707.514415264</v>
      </c>
      <c r="E58" s="441">
        <f t="shared" si="4"/>
        <v>391181425.9806236</v>
      </c>
      <c r="F58" s="441">
        <f t="shared" si="5"/>
        <v>476920133.49503887</v>
      </c>
    </row>
    <row r="59" spans="1:6">
      <c r="A59" s="3"/>
      <c r="B59" s="533">
        <v>0.35</v>
      </c>
      <c r="C59" s="534">
        <f t="shared" si="2"/>
        <v>496124999.99999994</v>
      </c>
      <c r="D59" s="441">
        <f t="shared" si="3"/>
        <v>85738707.514415264</v>
      </c>
      <c r="E59" s="441">
        <f t="shared" si="4"/>
        <v>456378330.31072754</v>
      </c>
      <c r="F59" s="441">
        <f>D59+E59</f>
        <v>542117037.82514286</v>
      </c>
    </row>
    <row r="60" spans="1:6">
      <c r="A60" s="3"/>
      <c r="B60" s="533">
        <v>0.4</v>
      </c>
      <c r="C60" s="534">
        <f t="shared" si="2"/>
        <v>567000000</v>
      </c>
      <c r="D60" s="441">
        <f t="shared" si="3"/>
        <v>85738707.514415264</v>
      </c>
      <c r="E60" s="441">
        <f t="shared" si="4"/>
        <v>521575234.64083147</v>
      </c>
      <c r="F60" s="441">
        <f t="shared" si="5"/>
        <v>607313942.15524673</v>
      </c>
    </row>
    <row r="61" spans="1:6">
      <c r="A61" s="3"/>
      <c r="B61" s="533">
        <v>0.45</v>
      </c>
      <c r="C61" s="534">
        <f t="shared" si="2"/>
        <v>637875000</v>
      </c>
      <c r="D61" s="441">
        <f t="shared" si="3"/>
        <v>85738707.514415264</v>
      </c>
      <c r="E61" s="441">
        <f t="shared" si="4"/>
        <v>586772138.97093546</v>
      </c>
      <c r="F61" s="441">
        <f t="shared" si="5"/>
        <v>672510846.48535073</v>
      </c>
    </row>
    <row r="62" spans="1:6">
      <c r="A62" s="3"/>
      <c r="B62" s="533">
        <v>0.5</v>
      </c>
      <c r="C62" s="534">
        <f t="shared" si="2"/>
        <v>708750000</v>
      </c>
      <c r="D62" s="441">
        <f t="shared" si="3"/>
        <v>85738707.514415264</v>
      </c>
      <c r="E62" s="441">
        <f t="shared" si="4"/>
        <v>651969043.30103934</v>
      </c>
      <c r="F62" s="441">
        <f t="shared" si="5"/>
        <v>737707750.8154546</v>
      </c>
    </row>
    <row r="63" spans="1:6">
      <c r="A63" s="3"/>
      <c r="B63" s="533">
        <v>0.55000000000000004</v>
      </c>
      <c r="C63" s="534">
        <f t="shared" si="2"/>
        <v>779625000.00000012</v>
      </c>
      <c r="D63" s="441">
        <f t="shared" si="3"/>
        <v>85738707.514415264</v>
      </c>
      <c r="E63" s="441">
        <f t="shared" si="4"/>
        <v>717165947.63114333</v>
      </c>
      <c r="F63" s="441">
        <f>D63+E63</f>
        <v>802904655.1455586</v>
      </c>
    </row>
    <row r="64" spans="1:6">
      <c r="A64" s="3"/>
      <c r="B64" s="533">
        <v>0.6</v>
      </c>
      <c r="C64" s="534">
        <f t="shared" si="2"/>
        <v>850500000</v>
      </c>
      <c r="D64" s="441">
        <f t="shared" si="3"/>
        <v>85738707.514415264</v>
      </c>
      <c r="E64" s="441">
        <f t="shared" si="4"/>
        <v>782362851.96124721</v>
      </c>
      <c r="F64" s="441">
        <f t="shared" si="5"/>
        <v>868101559.47566247</v>
      </c>
    </row>
    <row r="65" spans="1:6">
      <c r="A65" s="3"/>
      <c r="B65" s="533">
        <v>0.65</v>
      </c>
      <c r="C65" s="534">
        <f t="shared" si="2"/>
        <v>921375000</v>
      </c>
      <c r="D65" s="441">
        <f t="shared" si="3"/>
        <v>85738707.514415264</v>
      </c>
      <c r="E65" s="441">
        <f t="shared" si="4"/>
        <v>847559756.2913512</v>
      </c>
      <c r="F65" s="441">
        <f t="shared" si="5"/>
        <v>933298463.80576646</v>
      </c>
    </row>
    <row r="66" spans="1:6">
      <c r="A66" s="3"/>
      <c r="B66" s="533">
        <v>0.7</v>
      </c>
      <c r="C66" s="534">
        <f t="shared" si="2"/>
        <v>992249999.99999988</v>
      </c>
      <c r="D66" s="441">
        <f t="shared" si="3"/>
        <v>85738707.514415264</v>
      </c>
      <c r="E66" s="441">
        <f t="shared" si="4"/>
        <v>912756660.62145507</v>
      </c>
      <c r="F66" s="441">
        <f t="shared" si="5"/>
        <v>998495368.13587034</v>
      </c>
    </row>
    <row r="67" spans="1:6">
      <c r="A67" s="3"/>
      <c r="B67" s="533">
        <v>0.75</v>
      </c>
      <c r="C67" s="534">
        <f t="shared" si="2"/>
        <v>1063125000</v>
      </c>
      <c r="D67" s="441">
        <f t="shared" si="3"/>
        <v>85738707.514415264</v>
      </c>
      <c r="E67" s="441">
        <f t="shared" si="4"/>
        <v>977953564.95155907</v>
      </c>
      <c r="F67" s="441">
        <f t="shared" si="5"/>
        <v>1063692272.4659743</v>
      </c>
    </row>
    <row r="68" spans="1:6">
      <c r="A68" s="3"/>
      <c r="B68" s="533">
        <v>0.8</v>
      </c>
      <c r="C68" s="534">
        <f t="shared" si="2"/>
        <v>1134000000</v>
      </c>
      <c r="D68" s="441">
        <f t="shared" si="3"/>
        <v>85738707.514415264</v>
      </c>
      <c r="E68" s="441">
        <f t="shared" si="4"/>
        <v>1043150469.2816629</v>
      </c>
      <c r="F68" s="441">
        <f t="shared" si="5"/>
        <v>1128889176.7960782</v>
      </c>
    </row>
    <row r="69" spans="1:6">
      <c r="A69" s="3"/>
      <c r="B69" s="533">
        <v>0.85</v>
      </c>
      <c r="C69" s="534">
        <f t="shared" si="2"/>
        <v>1204875000</v>
      </c>
      <c r="D69" s="441">
        <f t="shared" si="3"/>
        <v>85738707.514415264</v>
      </c>
      <c r="E69" s="441">
        <f t="shared" si="4"/>
        <v>1108347373.6117668</v>
      </c>
      <c r="F69" s="441">
        <f t="shared" si="5"/>
        <v>1194086081.1261821</v>
      </c>
    </row>
    <row r="70" spans="1:6">
      <c r="A70" s="3"/>
      <c r="B70" s="533">
        <v>0.9</v>
      </c>
      <c r="C70" s="534">
        <f t="shared" si="2"/>
        <v>1275750000</v>
      </c>
      <c r="D70" s="441">
        <f t="shared" si="3"/>
        <v>85738707.514415264</v>
      </c>
      <c r="E70" s="441">
        <f t="shared" si="4"/>
        <v>1173544277.9418709</v>
      </c>
      <c r="F70" s="441">
        <f t="shared" si="5"/>
        <v>1259282985.4562862</v>
      </c>
    </row>
    <row r="71" spans="1:6">
      <c r="A71" s="3"/>
      <c r="B71" s="533">
        <v>0.95</v>
      </c>
      <c r="C71" s="534">
        <f t="shared" si="2"/>
        <v>1346625000</v>
      </c>
      <c r="D71" s="441">
        <f t="shared" si="3"/>
        <v>85738707.514415264</v>
      </c>
      <c r="E71" s="441">
        <f t="shared" si="4"/>
        <v>1238741182.2719748</v>
      </c>
      <c r="F71" s="441">
        <f t="shared" si="5"/>
        <v>1324479889.7863901</v>
      </c>
    </row>
    <row r="72" spans="1:6">
      <c r="A72" s="3"/>
      <c r="B72" s="533">
        <v>1</v>
      </c>
      <c r="C72" s="534">
        <f t="shared" si="2"/>
        <v>1417500000</v>
      </c>
      <c r="D72" s="441">
        <f t="shared" si="3"/>
        <v>85738707.514415264</v>
      </c>
      <c r="E72" s="441">
        <f>$B$38+B40+B42</f>
        <v>1303938086.6020787</v>
      </c>
      <c r="F72" s="441">
        <f t="shared" si="5"/>
        <v>1389676794.1164939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602</v>
      </c>
      <c r="B77" s="532" t="s">
        <v>603</v>
      </c>
      <c r="C77" s="532" t="s">
        <v>604</v>
      </c>
      <c r="D77" s="532" t="s">
        <v>605</v>
      </c>
      <c r="E77" s="532" t="s">
        <v>606</v>
      </c>
      <c r="F77" s="532" t="s">
        <v>607</v>
      </c>
    </row>
    <row r="78" spans="1:6">
      <c r="A78" s="100">
        <f>'E-Costos'!B192</f>
        <v>1984500000</v>
      </c>
      <c r="B78" s="533">
        <v>0</v>
      </c>
      <c r="C78" s="534">
        <f>$A$52*B78</f>
        <v>0</v>
      </c>
      <c r="D78" s="441">
        <f>$F$37+$F$39+$F$41+$F$43</f>
        <v>208358740.14047724</v>
      </c>
      <c r="E78" s="441">
        <f>$E$98*B78</f>
        <v>0</v>
      </c>
      <c r="F78" s="441">
        <f>D78+E78</f>
        <v>208358740.14047724</v>
      </c>
    </row>
    <row r="79" spans="1:6">
      <c r="A79" s="3"/>
      <c r="B79" s="533">
        <v>0.05</v>
      </c>
      <c r="C79" s="534">
        <f t="shared" ref="C79:C98" si="6">$A$52*B79</f>
        <v>70875000</v>
      </c>
      <c r="D79" s="441">
        <f t="shared" ref="D79:D98" si="7">$F$37+$F$39+$F$41+$F$43</f>
        <v>208358740.14047724</v>
      </c>
      <c r="E79" s="441">
        <f t="shared" ref="E79:E97" si="8">$E$98*B79</f>
        <v>60784997.637353927</v>
      </c>
      <c r="F79" s="441">
        <f t="shared" ref="F79:F98" si="9">D79+E79</f>
        <v>269143737.7778312</v>
      </c>
    </row>
    <row r="80" spans="1:6">
      <c r="A80" s="3"/>
      <c r="B80" s="533">
        <v>0.1</v>
      </c>
      <c r="C80" s="534">
        <f t="shared" si="6"/>
        <v>141750000</v>
      </c>
      <c r="D80" s="441">
        <f t="shared" si="7"/>
        <v>208358740.14047724</v>
      </c>
      <c r="E80" s="441">
        <f t="shared" si="8"/>
        <v>121569995.27470785</v>
      </c>
      <c r="F80" s="441">
        <f t="shared" si="9"/>
        <v>329928735.41518509</v>
      </c>
    </row>
    <row r="81" spans="1:6">
      <c r="A81" s="3"/>
      <c r="B81" s="533">
        <v>0.15</v>
      </c>
      <c r="C81" s="534">
        <f t="shared" si="6"/>
        <v>212625000</v>
      </c>
      <c r="D81" s="441">
        <f t="shared" si="7"/>
        <v>208358740.14047724</v>
      </c>
      <c r="E81" s="441">
        <f t="shared" si="8"/>
        <v>182354992.91206175</v>
      </c>
      <c r="F81" s="441">
        <f t="shared" si="9"/>
        <v>390713733.05253899</v>
      </c>
    </row>
    <row r="82" spans="1:6">
      <c r="A82" s="3"/>
      <c r="B82" s="533">
        <v>0.2</v>
      </c>
      <c r="C82" s="534">
        <f t="shared" si="6"/>
        <v>283500000</v>
      </c>
      <c r="D82" s="441">
        <f t="shared" si="7"/>
        <v>208358740.14047724</v>
      </c>
      <c r="E82" s="441">
        <f t="shared" si="8"/>
        <v>243139990.54941571</v>
      </c>
      <c r="F82" s="441">
        <f>D82+E82</f>
        <v>451498730.68989295</v>
      </c>
    </row>
    <row r="83" spans="1:6">
      <c r="A83" s="3"/>
      <c r="B83" s="533">
        <v>0.25</v>
      </c>
      <c r="C83" s="534">
        <f t="shared" si="6"/>
        <v>354375000</v>
      </c>
      <c r="D83" s="441">
        <f t="shared" si="7"/>
        <v>208358740.14047724</v>
      </c>
      <c r="E83" s="441">
        <f t="shared" si="8"/>
        <v>303924988.1867696</v>
      </c>
      <c r="F83" s="441">
        <f t="shared" ref="F83:F98" si="10">D83+E83</f>
        <v>512283728.32724684</v>
      </c>
    </row>
    <row r="84" spans="1:6">
      <c r="A84" s="3"/>
      <c r="B84" s="533">
        <v>0.3</v>
      </c>
      <c r="C84" s="534">
        <f t="shared" si="6"/>
        <v>425250000</v>
      </c>
      <c r="D84" s="441">
        <f t="shared" si="7"/>
        <v>208358740.14047724</v>
      </c>
      <c r="E84" s="441">
        <f t="shared" si="8"/>
        <v>364709985.8241235</v>
      </c>
      <c r="F84" s="441">
        <f t="shared" si="10"/>
        <v>573068725.9646008</v>
      </c>
    </row>
    <row r="85" spans="1:6">
      <c r="A85" s="3"/>
      <c r="B85" s="533">
        <v>0.35</v>
      </c>
      <c r="C85" s="534">
        <f t="shared" si="6"/>
        <v>496124999.99999994</v>
      </c>
      <c r="D85" s="441">
        <f t="shared" si="7"/>
        <v>208358740.14047724</v>
      </c>
      <c r="E85" s="441">
        <f t="shared" si="8"/>
        <v>425494983.4614774</v>
      </c>
      <c r="F85" s="441">
        <f>D85+E85</f>
        <v>633853723.6019547</v>
      </c>
    </row>
    <row r="86" spans="1:6">
      <c r="A86" s="3"/>
      <c r="B86" s="533">
        <v>0.4</v>
      </c>
      <c r="C86" s="534">
        <f t="shared" si="6"/>
        <v>567000000</v>
      </c>
      <c r="D86" s="441">
        <f t="shared" si="7"/>
        <v>208358740.14047724</v>
      </c>
      <c r="E86" s="441">
        <f t="shared" si="8"/>
        <v>486279981.09883142</v>
      </c>
      <c r="F86" s="441">
        <f t="shared" ref="F86:F98" si="11">D86+E86</f>
        <v>694638721.2393086</v>
      </c>
    </row>
    <row r="87" spans="1:6">
      <c r="A87" s="3"/>
      <c r="B87" s="533">
        <v>0.45</v>
      </c>
      <c r="C87" s="534">
        <f t="shared" si="6"/>
        <v>637875000</v>
      </c>
      <c r="D87" s="441">
        <f t="shared" si="7"/>
        <v>208358740.14047724</v>
      </c>
      <c r="E87" s="441">
        <f t="shared" si="8"/>
        <v>547064978.73618531</v>
      </c>
      <c r="F87" s="441">
        <f t="shared" si="11"/>
        <v>755423718.87666249</v>
      </c>
    </row>
    <row r="88" spans="1:6">
      <c r="A88" s="3"/>
      <c r="B88" s="533">
        <v>0.5</v>
      </c>
      <c r="C88" s="534">
        <f t="shared" si="6"/>
        <v>708750000</v>
      </c>
      <c r="D88" s="441">
        <f t="shared" si="7"/>
        <v>208358740.14047724</v>
      </c>
      <c r="E88" s="441">
        <f t="shared" si="8"/>
        <v>607849976.37353921</v>
      </c>
      <c r="F88" s="441">
        <f t="shared" si="11"/>
        <v>816208716.51401639</v>
      </c>
    </row>
    <row r="89" spans="1:6">
      <c r="A89" s="3"/>
      <c r="B89" s="533">
        <v>0.55000000000000004</v>
      </c>
      <c r="C89" s="534">
        <f t="shared" si="6"/>
        <v>779625000.00000012</v>
      </c>
      <c r="D89" s="441">
        <f t="shared" si="7"/>
        <v>208358740.14047724</v>
      </c>
      <c r="E89" s="441">
        <f t="shared" si="8"/>
        <v>668634974.01089323</v>
      </c>
      <c r="F89" s="441">
        <f>D89+E89</f>
        <v>876993714.15137053</v>
      </c>
    </row>
    <row r="90" spans="1:6">
      <c r="A90" s="3"/>
      <c r="B90" s="533">
        <v>0.6</v>
      </c>
      <c r="C90" s="534">
        <f t="shared" si="6"/>
        <v>850500000</v>
      </c>
      <c r="D90" s="441">
        <f t="shared" si="7"/>
        <v>208358740.14047724</v>
      </c>
      <c r="E90" s="441">
        <f t="shared" si="8"/>
        <v>729419971.648247</v>
      </c>
      <c r="F90" s="441">
        <f t="shared" ref="F90:F98" si="12">D90+E90</f>
        <v>937778711.78872418</v>
      </c>
    </row>
    <row r="91" spans="1:6">
      <c r="A91" s="3"/>
      <c r="B91" s="533">
        <v>0.65</v>
      </c>
      <c r="C91" s="534">
        <f t="shared" si="6"/>
        <v>921375000</v>
      </c>
      <c r="D91" s="441">
        <f t="shared" si="7"/>
        <v>208358740.14047724</v>
      </c>
      <c r="E91" s="441">
        <f t="shared" si="8"/>
        <v>790204969.28560102</v>
      </c>
      <c r="F91" s="441">
        <f t="shared" si="12"/>
        <v>998563709.42607832</v>
      </c>
    </row>
    <row r="92" spans="1:6">
      <c r="A92" s="3"/>
      <c r="B92" s="533">
        <v>0.7</v>
      </c>
      <c r="C92" s="534">
        <f t="shared" si="6"/>
        <v>992249999.99999988</v>
      </c>
      <c r="D92" s="441">
        <f t="shared" si="7"/>
        <v>208358740.14047724</v>
      </c>
      <c r="E92" s="441">
        <f t="shared" si="8"/>
        <v>850989966.9229548</v>
      </c>
      <c r="F92" s="441">
        <f t="shared" si="12"/>
        <v>1059348707.063432</v>
      </c>
    </row>
    <row r="93" spans="1:6">
      <c r="A93" s="3"/>
      <c r="B93" s="533">
        <v>0.75</v>
      </c>
      <c r="C93" s="534">
        <f t="shared" si="6"/>
        <v>1063125000</v>
      </c>
      <c r="D93" s="441">
        <f t="shared" si="7"/>
        <v>208358740.14047724</v>
      </c>
      <c r="E93" s="441">
        <f t="shared" si="8"/>
        <v>911774964.56030881</v>
      </c>
      <c r="F93" s="441">
        <f t="shared" si="12"/>
        <v>1120133704.7007861</v>
      </c>
    </row>
    <row r="94" spans="1:6">
      <c r="A94" s="3"/>
      <c r="B94" s="533">
        <v>0.8</v>
      </c>
      <c r="C94" s="534">
        <f t="shared" si="6"/>
        <v>1134000000</v>
      </c>
      <c r="D94" s="441">
        <f t="shared" si="7"/>
        <v>208358740.14047724</v>
      </c>
      <c r="E94" s="441">
        <f t="shared" si="8"/>
        <v>972559962.19766283</v>
      </c>
      <c r="F94" s="441">
        <f t="shared" si="12"/>
        <v>1180918702.33814</v>
      </c>
    </row>
    <row r="95" spans="1:6">
      <c r="A95" s="3"/>
      <c r="B95" s="533">
        <v>0.85</v>
      </c>
      <c r="C95" s="534">
        <f t="shared" si="6"/>
        <v>1204875000</v>
      </c>
      <c r="D95" s="441">
        <f t="shared" si="7"/>
        <v>208358740.14047724</v>
      </c>
      <c r="E95" s="441">
        <f t="shared" si="8"/>
        <v>1033344959.8350166</v>
      </c>
      <c r="F95" s="441">
        <f t="shared" si="12"/>
        <v>1241703699.9754939</v>
      </c>
    </row>
    <row r="96" spans="1:6">
      <c r="A96" s="3"/>
      <c r="B96" s="533">
        <v>0.9</v>
      </c>
      <c r="C96" s="534">
        <f t="shared" si="6"/>
        <v>1275750000</v>
      </c>
      <c r="D96" s="441">
        <f t="shared" si="7"/>
        <v>208358740.14047724</v>
      </c>
      <c r="E96" s="441">
        <f t="shared" si="8"/>
        <v>1094129957.4723706</v>
      </c>
      <c r="F96" s="441">
        <f t="shared" si="12"/>
        <v>1302488697.6128478</v>
      </c>
    </row>
    <row r="97" spans="1:6">
      <c r="A97" s="3"/>
      <c r="B97" s="533">
        <v>0.95</v>
      </c>
      <c r="C97" s="534">
        <f t="shared" si="6"/>
        <v>1346625000</v>
      </c>
      <c r="D97" s="441">
        <f t="shared" si="7"/>
        <v>208358740.14047724</v>
      </c>
      <c r="E97" s="441">
        <f>$E$98*B97</f>
        <v>1154914955.1097245</v>
      </c>
      <c r="F97" s="441">
        <f t="shared" si="12"/>
        <v>1363273695.2502017</v>
      </c>
    </row>
    <row r="98" spans="1:6">
      <c r="A98" s="3"/>
      <c r="B98" s="533">
        <v>1</v>
      </c>
      <c r="C98" s="534">
        <f t="shared" si="6"/>
        <v>1417500000</v>
      </c>
      <c r="D98" s="441">
        <f t="shared" si="7"/>
        <v>208358740.14047724</v>
      </c>
      <c r="E98" s="441">
        <f>$F$38+$F$40+$F$42</f>
        <v>1215699952.7470784</v>
      </c>
      <c r="F98" s="441">
        <f t="shared" si="12"/>
        <v>1424058692.8875556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workbookViewId="0">
      <selection activeCell="C19" sqref="C19"/>
    </sheetView>
  </sheetViews>
  <sheetFormatPr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11" t="s">
        <v>641</v>
      </c>
      <c r="B2" s="611"/>
      <c r="C2" s="613"/>
      <c r="D2" s="613"/>
      <c r="E2" s="613"/>
      <c r="F2" s="613" t="s">
        <v>200</v>
      </c>
      <c r="G2" s="595" t="s">
        <v>200</v>
      </c>
    </row>
    <row r="3" spans="1:7" ht="15.75">
      <c r="A3" s="645" t="s">
        <v>200</v>
      </c>
      <c r="B3" s="1050" t="s">
        <v>642</v>
      </c>
      <c r="C3" s="1050"/>
      <c r="D3" s="1050"/>
      <c r="E3" s="1050"/>
      <c r="F3" s="1050"/>
      <c r="G3" s="1051"/>
    </row>
    <row r="4" spans="1:7">
      <c r="A4" s="602" t="s">
        <v>444</v>
      </c>
      <c r="B4" s="646" t="s">
        <v>14</v>
      </c>
      <c r="C4" s="596" t="s">
        <v>2</v>
      </c>
      <c r="D4" s="596" t="s">
        <v>3</v>
      </c>
      <c r="E4" s="596" t="s">
        <v>4</v>
      </c>
      <c r="F4" s="596" t="s">
        <v>5</v>
      </c>
      <c r="G4" s="597" t="s">
        <v>6</v>
      </c>
    </row>
    <row r="5" spans="1:7">
      <c r="A5" s="647" t="s">
        <v>973</v>
      </c>
      <c r="B5" s="656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474" t="s">
        <v>200</v>
      </c>
    </row>
    <row r="6" spans="1:7">
      <c r="A6" s="648" t="s">
        <v>974</v>
      </c>
      <c r="B6" s="657" t="s">
        <v>975</v>
      </c>
      <c r="C6" s="623">
        <f>'E-IVA '!C17</f>
        <v>239439365.53553703</v>
      </c>
      <c r="D6" s="623">
        <f>'E-IVA '!D17</f>
        <v>241714481.08249867</v>
      </c>
      <c r="E6" s="623">
        <f>'E-IVA '!E17</f>
        <v>240668498.23927879</v>
      </c>
      <c r="F6" s="623">
        <f>'E-IVA '!F17</f>
        <v>240668498.23927879</v>
      </c>
      <c r="G6" s="660">
        <f>'E-IVA '!G17</f>
        <v>240668498.23927879</v>
      </c>
    </row>
    <row r="7" spans="1:7">
      <c r="A7" s="648" t="s">
        <v>976</v>
      </c>
      <c r="B7" s="657" t="s">
        <v>975</v>
      </c>
      <c r="C7" s="623">
        <f>'E-IVA '!C18</f>
        <v>295767.54789640522</v>
      </c>
      <c r="D7" s="623">
        <f>'E-IVA '!D18</f>
        <v>282582.71889640519</v>
      </c>
      <c r="E7" s="623">
        <f>'E-IVA '!E18</f>
        <v>282582.71889640519</v>
      </c>
      <c r="F7" s="623">
        <f>'E-IVA '!F18</f>
        <v>282582.71889640519</v>
      </c>
      <c r="G7" s="660">
        <f>'E-IVA '!G18</f>
        <v>282582.71889640519</v>
      </c>
    </row>
    <row r="8" spans="1:7">
      <c r="A8" s="648" t="s">
        <v>977</v>
      </c>
      <c r="B8" s="657" t="s">
        <v>975</v>
      </c>
      <c r="C8" s="623">
        <f>'E-IVA '!C19</f>
        <v>1062988.9829392312</v>
      </c>
      <c r="D8" s="623">
        <f>'E-IVA '!D19</f>
        <v>1049804.1539392313</v>
      </c>
      <c r="E8" s="623">
        <f>'E-IVA '!E19</f>
        <v>1049804.1539392313</v>
      </c>
      <c r="F8" s="623">
        <f>'E-IVA '!F19</f>
        <v>1049804.1539392313</v>
      </c>
      <c r="G8" s="660">
        <f>'E-IVA '!G19</f>
        <v>1049804.1539392313</v>
      </c>
    </row>
    <row r="9" spans="1:7">
      <c r="A9" s="648" t="s">
        <v>978</v>
      </c>
      <c r="B9" s="657" t="s">
        <v>200</v>
      </c>
      <c r="C9" s="623">
        <f>'F-2 Estructura'!B43*InfoInicial!$B$3</f>
        <v>1073212.6458769802</v>
      </c>
      <c r="D9" s="623">
        <f>'F-2 Estructura'!C43*InfoInicial!$B$3</f>
        <v>866759.81887697999</v>
      </c>
      <c r="E9" s="623">
        <f>'F-2 Estructura'!D43*InfoInicial!$B$3</f>
        <v>524965.69417698006</v>
      </c>
      <c r="F9" s="623">
        <f>'F-2 Estructura'!E43*InfoInicial!$B$3</f>
        <v>318512.86717697995</v>
      </c>
      <c r="G9" s="623">
        <f>'F-2 Estructura'!F43*InfoInicial!$B$3</f>
        <v>23278348.3968</v>
      </c>
    </row>
    <row r="10" spans="1:7">
      <c r="A10" s="649" t="s">
        <v>979</v>
      </c>
      <c r="B10" s="658" t="s">
        <v>975</v>
      </c>
      <c r="C10" s="623">
        <f>SUM(C6:C9)</f>
        <v>241871334.71224967</v>
      </c>
      <c r="D10" s="623">
        <f t="shared" ref="D10:G10" si="0">SUM(D6:D9)</f>
        <v>243913627.77421129</v>
      </c>
      <c r="E10" s="623">
        <f t="shared" si="0"/>
        <v>242525850.8062914</v>
      </c>
      <c r="F10" s="623">
        <f t="shared" si="0"/>
        <v>242319397.97929141</v>
      </c>
      <c r="G10" s="660">
        <f t="shared" si="0"/>
        <v>265279233.50891444</v>
      </c>
    </row>
    <row r="11" spans="1:7">
      <c r="A11" s="649" t="s">
        <v>200</v>
      </c>
      <c r="B11" s="658" t="s">
        <v>200</v>
      </c>
      <c r="C11" s="457" t="s">
        <v>200</v>
      </c>
      <c r="D11" s="457" t="s">
        <v>200</v>
      </c>
      <c r="E11" s="457" t="s">
        <v>200</v>
      </c>
      <c r="F11" s="457" t="s">
        <v>200</v>
      </c>
      <c r="G11" s="474" t="s">
        <v>200</v>
      </c>
    </row>
    <row r="12" spans="1:7">
      <c r="A12" s="648" t="s">
        <v>654</v>
      </c>
      <c r="B12" s="658" t="s">
        <v>975</v>
      </c>
      <c r="C12" s="911">
        <f>+C10</f>
        <v>241871334.71224967</v>
      </c>
      <c r="D12" s="911">
        <f>+D10</f>
        <v>243913627.77421129</v>
      </c>
      <c r="E12" s="911">
        <f t="shared" ref="D12:G12" si="1">+E10</f>
        <v>242525850.8062914</v>
      </c>
      <c r="F12" s="911">
        <f t="shared" si="1"/>
        <v>242319397.97929141</v>
      </c>
      <c r="G12" s="912">
        <f t="shared" si="1"/>
        <v>265279233.50891444</v>
      </c>
    </row>
    <row r="13" spans="1:7">
      <c r="A13" s="648" t="s">
        <v>655</v>
      </c>
      <c r="B13" s="658" t="s">
        <v>200</v>
      </c>
      <c r="C13" s="911">
        <f>'E-IVA '!C22</f>
        <v>297675000</v>
      </c>
      <c r="D13" s="911">
        <f>'E-IVA '!D22</f>
        <v>416745000</v>
      </c>
      <c r="E13" s="911">
        <f>'E-IVA '!E22</f>
        <v>416745000</v>
      </c>
      <c r="F13" s="911">
        <f>'E-IVA '!F22</f>
        <v>416745000</v>
      </c>
      <c r="G13" s="911">
        <f>'E-IVA '!G22</f>
        <v>416745000</v>
      </c>
    </row>
    <row r="14" spans="1:7">
      <c r="A14" s="649" t="s">
        <v>980</v>
      </c>
      <c r="B14" s="658" t="s">
        <v>200</v>
      </c>
      <c r="C14" s="911">
        <f>C13-C12</f>
        <v>55803665.287750334</v>
      </c>
      <c r="D14" s="911">
        <f t="shared" ref="D14:F14" si="2">D13-D12</f>
        <v>172831372.22578871</v>
      </c>
      <c r="E14" s="911">
        <f t="shared" si="2"/>
        <v>174219149.1937086</v>
      </c>
      <c r="F14" s="911">
        <f t="shared" si="2"/>
        <v>174425602.02070859</v>
      </c>
      <c r="G14" s="912">
        <f>G13-G12</f>
        <v>151465766.49108556</v>
      </c>
    </row>
    <row r="15" spans="1:7">
      <c r="A15" s="648" t="s">
        <v>200</v>
      </c>
      <c r="B15" s="658" t="s">
        <v>200</v>
      </c>
      <c r="C15" s="858" t="s">
        <v>200</v>
      </c>
      <c r="D15" s="858" t="s">
        <v>200</v>
      </c>
      <c r="E15" s="858" t="s">
        <v>200</v>
      </c>
      <c r="F15" s="858" t="s">
        <v>200</v>
      </c>
      <c r="G15" s="859" t="s">
        <v>200</v>
      </c>
    </row>
    <row r="16" spans="1:7">
      <c r="A16" s="649" t="s">
        <v>981</v>
      </c>
      <c r="B16" s="623">
        <f>'E-IVA '!B25</f>
        <v>0</v>
      </c>
      <c r="C16" s="919">
        <f>B18</f>
        <v>20477032.765919097</v>
      </c>
      <c r="D16" s="919">
        <f t="shared" ref="D16:G16" si="3">C18</f>
        <v>17208401.394349724</v>
      </c>
      <c r="E16" s="919">
        <f t="shared" si="3"/>
        <v>0</v>
      </c>
      <c r="F16" s="919">
        <f t="shared" si="3"/>
        <v>0</v>
      </c>
      <c r="G16" s="919">
        <f t="shared" si="3"/>
        <v>0</v>
      </c>
    </row>
    <row r="17" spans="1:7" s="918" customFormat="1">
      <c r="A17" s="917" t="s">
        <v>982</v>
      </c>
      <c r="B17" s="911">
        <f>'F-2 Estructura'!B33</f>
        <v>20477032.765919097</v>
      </c>
      <c r="C17" s="911">
        <f>'F-2 Estructura'!C33</f>
        <v>52535033.916180953</v>
      </c>
      <c r="D17" s="911">
        <f>'E-Cal Inv.'!E23</f>
        <v>12112306.262795007</v>
      </c>
      <c r="E17" s="911">
        <f>'E-Cal Inv.'!F23</f>
        <v>-89.90466406093212</v>
      </c>
      <c r="F17" s="911">
        <f>'E-Cal Inv.'!G23</f>
        <v>0</v>
      </c>
      <c r="G17" s="911">
        <f>'E-Cal Inv.'!H23</f>
        <v>0</v>
      </c>
    </row>
    <row r="18" spans="1:7">
      <c r="A18" s="649" t="s">
        <v>983</v>
      </c>
      <c r="B18" s="911">
        <f>B17</f>
        <v>20477032.765919097</v>
      </c>
      <c r="C18" s="911">
        <f>IF(C14&lt;SUM(C16:C17),SUM(C16:C17)-C14,0)</f>
        <v>17208401.394349724</v>
      </c>
      <c r="D18" s="911">
        <f>IF(D14&lt;SUM(D16:D17),SUM(D16:D17)-D14,0)</f>
        <v>0</v>
      </c>
      <c r="E18" s="911">
        <f t="shared" ref="D18:G18" si="4">IF(E14&lt;SUM(E16:E17),SUM(E16:E17)-E14,0)</f>
        <v>0</v>
      </c>
      <c r="F18" s="911">
        <f t="shared" si="4"/>
        <v>0</v>
      </c>
      <c r="G18" s="911">
        <f t="shared" si="4"/>
        <v>0</v>
      </c>
    </row>
    <row r="19" spans="1:7" s="918" customFormat="1">
      <c r="A19" s="917" t="s">
        <v>984</v>
      </c>
      <c r="B19" s="904">
        <f>B18-B17</f>
        <v>0</v>
      </c>
      <c r="C19" s="904">
        <f>+C16+C17-C18</f>
        <v>55803665.287750334</v>
      </c>
      <c r="D19" s="904">
        <f>+D16+D17-D18</f>
        <v>29320707.657144733</v>
      </c>
      <c r="E19" s="904">
        <f>+E16+E17-E18</f>
        <v>-89.90466406093212</v>
      </c>
      <c r="F19" s="904">
        <f t="shared" ref="D19:G19" si="5">+F16+F17-F18</f>
        <v>0</v>
      </c>
      <c r="G19" s="904">
        <f t="shared" si="5"/>
        <v>0</v>
      </c>
    </row>
    <row r="20" spans="1:7">
      <c r="A20" s="648" t="s">
        <v>200</v>
      </c>
      <c r="B20" s="457" t="s">
        <v>200</v>
      </c>
      <c r="C20" s="457" t="s">
        <v>200</v>
      </c>
      <c r="D20" s="457" t="s">
        <v>200</v>
      </c>
      <c r="E20" s="457" t="s">
        <v>200</v>
      </c>
      <c r="F20" s="457" t="s">
        <v>200</v>
      </c>
      <c r="G20" s="474" t="s">
        <v>200</v>
      </c>
    </row>
    <row r="21" spans="1:7">
      <c r="A21" s="650" t="s">
        <v>661</v>
      </c>
      <c r="B21" s="920">
        <v>0</v>
      </c>
      <c r="C21" s="920">
        <f>C14-C19</f>
        <v>0</v>
      </c>
      <c r="D21" s="920">
        <f t="shared" ref="D21:G21" si="6">D14-D19</f>
        <v>143510664.56864399</v>
      </c>
      <c r="E21" s="920">
        <f t="shared" si="6"/>
        <v>174219239.09837267</v>
      </c>
      <c r="F21" s="920">
        <f>F14-F19</f>
        <v>174425602.02070859</v>
      </c>
      <c r="G21" s="920">
        <f t="shared" si="6"/>
        <v>151465766.49108556</v>
      </c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9" workbookViewId="0">
      <selection activeCell="B4" sqref="B4"/>
    </sheetView>
  </sheetViews>
  <sheetFormatPr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65" t="s">
        <v>57</v>
      </c>
      <c r="H2" s="1055"/>
      <c r="I2" s="1055"/>
      <c r="J2" s="1055"/>
      <c r="K2" s="1055"/>
      <c r="L2" s="1055"/>
      <c r="M2" s="1056"/>
    </row>
    <row r="3" spans="1:13" ht="14.25" customHeight="1">
      <c r="A3" s="21" t="s">
        <v>58</v>
      </c>
      <c r="B3" s="22">
        <v>0.21</v>
      </c>
      <c r="G3" s="966" t="s">
        <v>59</v>
      </c>
      <c r="H3" s="1057"/>
      <c r="I3" s="1057"/>
      <c r="J3" s="1057"/>
      <c r="K3" s="1057"/>
      <c r="L3" s="1057"/>
      <c r="M3" s="1058"/>
    </row>
    <row r="4" spans="1:13" ht="12.75" customHeight="1">
      <c r="A4" s="21" t="s">
        <v>60</v>
      </c>
      <c r="B4" s="22">
        <v>0.35</v>
      </c>
      <c r="G4" s="1059"/>
      <c r="H4" s="1060"/>
      <c r="I4" s="1060"/>
      <c r="J4" s="1060"/>
      <c r="K4" s="1060"/>
      <c r="L4" s="1060"/>
      <c r="M4" s="1061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1059"/>
      <c r="H5" s="1060"/>
      <c r="I5" s="1060"/>
      <c r="J5" s="1060"/>
      <c r="K5" s="1060"/>
      <c r="L5" s="1060"/>
      <c r="M5" s="1061"/>
    </row>
    <row r="6" spans="1:13" ht="12.75" customHeight="1">
      <c r="G6" s="1062"/>
      <c r="H6" s="1063"/>
      <c r="I6" s="1063"/>
      <c r="J6" s="1063"/>
      <c r="K6" s="1063"/>
      <c r="L6" s="1063"/>
      <c r="M6" s="1064"/>
    </row>
    <row r="7" spans="1:13" ht="14.25" customHeight="1">
      <c r="A7" s="21" t="s">
        <v>63</v>
      </c>
      <c r="B7" s="4" t="s">
        <v>64</v>
      </c>
      <c r="G7" s="963" t="s">
        <v>65</v>
      </c>
      <c r="H7" s="1057"/>
      <c r="I7" s="1057"/>
      <c r="J7" s="1057"/>
      <c r="K7" s="1057"/>
      <c r="L7" s="1057"/>
      <c r="M7" s="1058"/>
    </row>
    <row r="8" spans="1:13" ht="12.75" customHeight="1">
      <c r="A8" s="23" t="s">
        <v>66</v>
      </c>
      <c r="B8" s="24">
        <v>30</v>
      </c>
      <c r="C8" s="4" t="s">
        <v>67</v>
      </c>
      <c r="G8" s="1062"/>
      <c r="H8" s="1063"/>
      <c r="I8" s="1063"/>
      <c r="J8" s="1063"/>
      <c r="K8" s="1063"/>
      <c r="L8" s="1063"/>
      <c r="M8" s="1064"/>
    </row>
    <row r="9" spans="1:13" ht="12.75" customHeight="1">
      <c r="A9" s="23" t="s">
        <v>68</v>
      </c>
      <c r="B9" s="24">
        <v>10</v>
      </c>
      <c r="C9" s="4" t="s">
        <v>67</v>
      </c>
      <c r="G9" s="967" t="s">
        <v>69</v>
      </c>
      <c r="H9" s="1055"/>
      <c r="I9" s="1055"/>
      <c r="J9" s="1055"/>
      <c r="K9" s="1055"/>
      <c r="L9" s="1055"/>
      <c r="M9" s="1056"/>
    </row>
    <row r="10" spans="1:13" ht="14.25" customHeight="1">
      <c r="A10" s="23" t="s">
        <v>70</v>
      </c>
      <c r="B10" s="24">
        <v>10</v>
      </c>
      <c r="C10" s="4" t="s">
        <v>67</v>
      </c>
      <c r="G10" s="963" t="s">
        <v>71</v>
      </c>
      <c r="H10" s="1057"/>
      <c r="I10" s="1057"/>
      <c r="J10" s="1057"/>
      <c r="K10" s="1057"/>
      <c r="L10" s="1057"/>
      <c r="M10" s="1058"/>
    </row>
    <row r="11" spans="1:13" ht="12.75" customHeight="1">
      <c r="A11" s="23" t="s">
        <v>72</v>
      </c>
      <c r="B11" s="24">
        <v>5</v>
      </c>
      <c r="C11" s="4" t="s">
        <v>67</v>
      </c>
      <c r="G11" s="1062"/>
      <c r="H11" s="1063"/>
      <c r="I11" s="1063"/>
      <c r="J11" s="1063"/>
      <c r="K11" s="1063"/>
      <c r="L11" s="1063"/>
      <c r="M11" s="1064"/>
    </row>
    <row r="12" spans="1:13" ht="14.25" customHeight="1">
      <c r="A12" s="23" t="s">
        <v>73</v>
      </c>
      <c r="B12" s="24">
        <v>5</v>
      </c>
      <c r="C12" s="4" t="s">
        <v>67</v>
      </c>
      <c r="G12" s="963" t="s">
        <v>74</v>
      </c>
      <c r="H12" s="1057"/>
      <c r="I12" s="1057"/>
      <c r="J12" s="1057"/>
      <c r="K12" s="1057"/>
      <c r="L12" s="1057"/>
      <c r="M12" s="1058"/>
    </row>
    <row r="13" spans="1:13" ht="12.75" customHeight="1">
      <c r="A13" s="23" t="s">
        <v>75</v>
      </c>
      <c r="B13" s="24">
        <v>5</v>
      </c>
      <c r="C13" s="4" t="s">
        <v>67</v>
      </c>
      <c r="G13" s="1062"/>
      <c r="H13" s="1063"/>
      <c r="I13" s="1063"/>
      <c r="J13" s="1063"/>
      <c r="K13" s="1063"/>
      <c r="L13" s="1063"/>
      <c r="M13" s="1064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1065" t="s">
        <v>78</v>
      </c>
      <c r="C16" s="1066"/>
      <c r="D16" s="1066"/>
      <c r="E16" s="1066"/>
      <c r="F16" s="1066"/>
      <c r="G16" s="1067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4" t="s">
        <v>101</v>
      </c>
      <c r="C35" s="1068"/>
      <c r="D35" s="1069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8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9" t="s">
        <v>56</v>
      </c>
      <c r="B1" s="590"/>
      <c r="C1" s="590"/>
      <c r="D1" s="590"/>
      <c r="E1" s="609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3" t="s">
        <v>985</v>
      </c>
      <c r="B3" s="594" t="s">
        <v>200</v>
      </c>
      <c r="C3" s="594" t="s">
        <v>200</v>
      </c>
      <c r="D3" s="594" t="s">
        <v>200</v>
      </c>
      <c r="E3" s="594" t="s">
        <v>200</v>
      </c>
      <c r="F3" s="594" t="s">
        <v>200</v>
      </c>
      <c r="G3" s="613" t="s">
        <v>200</v>
      </c>
      <c r="H3" s="687" t="s">
        <v>200</v>
      </c>
    </row>
    <row r="4" spans="1:8">
      <c r="A4" s="456" t="s">
        <v>200</v>
      </c>
      <c r="B4" s="480" t="s">
        <v>14</v>
      </c>
      <c r="C4" s="480" t="s">
        <v>2</v>
      </c>
      <c r="D4" s="480" t="s">
        <v>3</v>
      </c>
      <c r="E4" s="480" t="s">
        <v>4</v>
      </c>
      <c r="F4" s="480" t="s">
        <v>5</v>
      </c>
      <c r="G4" s="688" t="s">
        <v>6</v>
      </c>
      <c r="H4" s="630" t="s">
        <v>607</v>
      </c>
    </row>
    <row r="5" spans="1:8">
      <c r="A5" s="598" t="s">
        <v>986</v>
      </c>
      <c r="B5" s="616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617" t="s">
        <v>200</v>
      </c>
      <c r="H5" s="618" t="s">
        <v>200</v>
      </c>
    </row>
    <row r="6" spans="1:8">
      <c r="A6" s="158" t="s">
        <v>987</v>
      </c>
      <c r="B6" s="622" t="s">
        <v>200</v>
      </c>
      <c r="C6" s="623">
        <f>B29</f>
        <v>0</v>
      </c>
      <c r="D6" s="623">
        <f>C29</f>
        <v>116007502.58729477</v>
      </c>
      <c r="E6" s="623">
        <f t="shared" ref="D6:G6" si="0">D29</f>
        <v>472876255.83778661</v>
      </c>
      <c r="F6" s="623">
        <f>E29</f>
        <v>871135185.78376985</v>
      </c>
      <c r="G6" s="623">
        <f>F29</f>
        <v>1269319656.5964246</v>
      </c>
      <c r="H6" s="625">
        <f>SUM(C6:G6)</f>
        <v>2729338600.8052759</v>
      </c>
    </row>
    <row r="7" spans="1:8">
      <c r="A7" s="158" t="s">
        <v>988</v>
      </c>
      <c r="B7" s="622">
        <f>'F-2 Estructura'!B31</f>
        <v>111004825.70362911</v>
      </c>
      <c r="C7" s="622">
        <f>'F-2 Estructura'!C31</f>
        <v>299745873.96889424</v>
      </c>
      <c r="D7" s="699" t="s">
        <v>989</v>
      </c>
      <c r="E7" s="700" t="s">
        <v>989</v>
      </c>
      <c r="F7" s="700" t="s">
        <v>989</v>
      </c>
      <c r="G7" s="700" t="s">
        <v>989</v>
      </c>
      <c r="H7" s="625">
        <f>SUM(B7:G7)</f>
        <v>410750699.67252338</v>
      </c>
    </row>
    <row r="8" spans="1:8">
      <c r="A8" s="158" t="s">
        <v>990</v>
      </c>
      <c r="B8" s="622">
        <f>'F-2 Estructura'!B29</f>
        <v>0</v>
      </c>
      <c r="C8" s="622">
        <f>'F-2 Estructura'!C29</f>
        <v>799561.28871666663</v>
      </c>
      <c r="D8" s="699" t="s">
        <v>989</v>
      </c>
      <c r="E8" s="700" t="s">
        <v>989</v>
      </c>
      <c r="F8" s="700" t="s">
        <v>989</v>
      </c>
      <c r="G8" s="700" t="s">
        <v>989</v>
      </c>
      <c r="H8" s="625">
        <f t="shared" ref="H8:H11" si="1">SUM(B8:G8)</f>
        <v>799561.28871666663</v>
      </c>
    </row>
    <row r="9" spans="1:8">
      <c r="A9" s="158" t="s">
        <v>991</v>
      </c>
      <c r="B9" s="622">
        <f>'F-2 Estructura'!B30</f>
        <v>9831087</v>
      </c>
      <c r="C9" s="622">
        <f>'F-2 Estructura'!C30</f>
        <v>0</v>
      </c>
      <c r="D9" s="699" t="s">
        <v>989</v>
      </c>
      <c r="E9" s="700" t="s">
        <v>989</v>
      </c>
      <c r="F9" s="700" t="s">
        <v>989</v>
      </c>
      <c r="G9" s="700" t="s">
        <v>989</v>
      </c>
      <c r="H9" s="625">
        <f t="shared" si="1"/>
        <v>9831087</v>
      </c>
    </row>
    <row r="10" spans="1:8">
      <c r="A10" s="158" t="s">
        <v>992</v>
      </c>
      <c r="B10" s="662" t="s">
        <v>989</v>
      </c>
      <c r="C10" s="623">
        <f>'F-CRes'!B4</f>
        <v>1417500000</v>
      </c>
      <c r="D10" s="623">
        <f>'F-CRes'!C4</f>
        <v>1984500000</v>
      </c>
      <c r="E10" s="623">
        <f>'F-CRes'!D4</f>
        <v>1984500000</v>
      </c>
      <c r="F10" s="623">
        <f>'F-CRes'!E4</f>
        <v>1984500000</v>
      </c>
      <c r="G10" s="623">
        <f>'F-CRes'!F4</f>
        <v>1984500000</v>
      </c>
      <c r="H10" s="625">
        <f t="shared" si="1"/>
        <v>9355500000</v>
      </c>
    </row>
    <row r="11" spans="1:8">
      <c r="A11" s="158" t="s">
        <v>993</v>
      </c>
      <c r="B11" s="662" t="s">
        <v>989</v>
      </c>
      <c r="C11" s="623">
        <f>'F-IVA'!C19</f>
        <v>55803665.287750334</v>
      </c>
      <c r="D11" s="623">
        <f>'F-IVA'!D19</f>
        <v>29320707.657144733</v>
      </c>
      <c r="E11" s="623">
        <f>'F-IVA'!E19</f>
        <v>-89.90466406093212</v>
      </c>
      <c r="F11" s="623">
        <f>'F-IVA'!F19</f>
        <v>0</v>
      </c>
      <c r="G11" s="623">
        <f>'F-IVA'!G19</f>
        <v>0</v>
      </c>
      <c r="H11" s="625">
        <f t="shared" si="1"/>
        <v>85124283.040231004</v>
      </c>
    </row>
    <row r="12" spans="1:8">
      <c r="A12" s="627" t="s">
        <v>607</v>
      </c>
      <c r="B12" s="708">
        <f>SUM(B6:B11)</f>
        <v>120835912.70362911</v>
      </c>
      <c r="C12" s="708">
        <f t="shared" ref="C12:H12" si="2">SUM(C6:C11)</f>
        <v>1773849100.545361</v>
      </c>
      <c r="D12" s="708">
        <f t="shared" si="2"/>
        <v>2129828210.2444396</v>
      </c>
      <c r="E12" s="708">
        <f t="shared" si="2"/>
        <v>2457376165.9331226</v>
      </c>
      <c r="F12" s="708">
        <f t="shared" si="2"/>
        <v>2855635185.7837696</v>
      </c>
      <c r="G12" s="708">
        <f t="shared" si="2"/>
        <v>3253819656.5964246</v>
      </c>
      <c r="H12" s="708">
        <f t="shared" si="2"/>
        <v>12591344231.806747</v>
      </c>
    </row>
    <row r="13" spans="1:8">
      <c r="A13" s="701" t="s">
        <v>200</v>
      </c>
      <c r="B13" s="659"/>
      <c r="C13" s="658"/>
      <c r="D13" s="658"/>
      <c r="E13" s="658"/>
      <c r="F13" s="658"/>
      <c r="G13" s="702"/>
      <c r="H13" s="703"/>
    </row>
    <row r="14" spans="1:8">
      <c r="A14" s="701" t="s">
        <v>994</v>
      </c>
      <c r="B14" s="659"/>
      <c r="C14" s="658"/>
      <c r="D14" s="658"/>
      <c r="E14" s="658"/>
      <c r="F14" s="658"/>
      <c r="G14" s="702"/>
      <c r="H14" s="703"/>
    </row>
    <row r="15" spans="1:8">
      <c r="A15" s="628" t="s">
        <v>995</v>
      </c>
      <c r="B15" s="659">
        <f>'F-2 Estructura'!B8</f>
        <v>97131406.391249999</v>
      </c>
      <c r="C15" s="659">
        <f>'F-2 Estructura'!C8</f>
        <v>57111166.309357546</v>
      </c>
      <c r="D15" s="662" t="s">
        <v>989</v>
      </c>
      <c r="E15" s="656" t="s">
        <v>989</v>
      </c>
      <c r="F15" s="656" t="s">
        <v>989</v>
      </c>
      <c r="G15" s="656" t="s">
        <v>989</v>
      </c>
      <c r="H15" s="842">
        <f>SUM(B15:G15)</f>
        <v>154242572.70060754</v>
      </c>
    </row>
    <row r="16" spans="1:8">
      <c r="A16" s="628" t="s">
        <v>895</v>
      </c>
      <c r="B16" s="711">
        <f>'E-InvAT'!B24</f>
        <v>3227473.5464599999</v>
      </c>
      <c r="C16" s="711">
        <f>'E-InvAT'!C24</f>
        <v>196924186.49036428</v>
      </c>
      <c r="D16" s="711">
        <f>'E-InvAT'!D24</f>
        <v>57256205.759089112</v>
      </c>
      <c r="E16" s="711">
        <f>'E-InvAT'!E24</f>
        <v>-428.11744791269302</v>
      </c>
      <c r="F16" s="711">
        <f>'E-InvAT'!F24</f>
        <v>0</v>
      </c>
      <c r="G16" s="711">
        <f>'E-InvAT'!G24</f>
        <v>0</v>
      </c>
      <c r="H16" s="842">
        <f t="shared" ref="H16:H23" si="3">SUM(B16:G16)</f>
        <v>257407437.67846549</v>
      </c>
    </row>
    <row r="17" spans="1:12" ht="15">
      <c r="A17" s="628" t="s">
        <v>996</v>
      </c>
      <c r="B17" s="699">
        <v>0</v>
      </c>
      <c r="C17" s="837">
        <f>'F-CRes'!B5+'F-CRes'!B8+'F-CRes'!B9+'F-CRes'!B10</f>
        <v>1344664702.0996294</v>
      </c>
      <c r="D17" s="837">
        <f>'F-CRes'!C5+'F-CRes'!C8+'F-CRes'!C9+'F-CRes'!C10</f>
        <v>1341513376.4834318</v>
      </c>
      <c r="E17" s="837">
        <f>'F-CRes'!D5+'F-CRes'!D8+'F-CRes'!D9+'F-CRes'!D10</f>
        <v>1339199679.5639415</v>
      </c>
      <c r="F17" s="837">
        <f>'F-CRes'!E5+'F-CRes'!E8+'F-CRes'!E9+'F-CRes'!E10</f>
        <v>1338216142.7464936</v>
      </c>
      <c r="G17" s="837">
        <f>'F-CRes'!F5+'F-CRes'!F8+'F-CRes'!F9+'F-CRes'!F10</f>
        <v>1447548692.8875556</v>
      </c>
      <c r="H17" s="842">
        <f t="shared" si="3"/>
        <v>6811142593.7810516</v>
      </c>
    </row>
    <row r="18" spans="1:12" ht="15">
      <c r="A18" s="628" t="s">
        <v>997</v>
      </c>
      <c r="B18" s="711">
        <v>0</v>
      </c>
      <c r="C18" s="837">
        <f>'F-CRes'!B14</f>
        <v>25492354.265129697</v>
      </c>
      <c r="D18" s="837">
        <f>'F-CRes'!C14</f>
        <v>225045318.23079884</v>
      </c>
      <c r="E18" s="837">
        <f>'F-CRes'!D14</f>
        <v>225855112.15262052</v>
      </c>
      <c r="F18" s="837">
        <f>'F-CRes'!E14</f>
        <v>226199350.03872722</v>
      </c>
      <c r="G18" s="837">
        <f>'F-CRes'!F14</f>
        <v>187932957.48935553</v>
      </c>
      <c r="H18" s="842">
        <f t="shared" si="3"/>
        <v>890525092.17663193</v>
      </c>
    </row>
    <row r="19" spans="1:12">
      <c r="A19" s="628" t="s">
        <v>998</v>
      </c>
      <c r="B19" s="711">
        <v>0</v>
      </c>
      <c r="C19" s="877">
        <f>'F-Cred'!$E20</f>
        <v>1966217.4</v>
      </c>
      <c r="D19" s="877">
        <f>'F-Cred'!$E22</f>
        <v>1966217.4</v>
      </c>
      <c r="E19" s="877">
        <f>'F-Cred'!$E24</f>
        <v>1966217.4</v>
      </c>
      <c r="F19" s="877">
        <f>'F-Cred'!$E26</f>
        <v>1966217.4</v>
      </c>
      <c r="G19" s="877">
        <f>'F-Cred'!$E28</f>
        <v>1966217.4</v>
      </c>
      <c r="H19" s="842">
        <f t="shared" si="3"/>
        <v>9831087</v>
      </c>
    </row>
    <row r="20" spans="1:12">
      <c r="A20" s="628" t="s">
        <v>999</v>
      </c>
      <c r="B20" s="711">
        <v>0</v>
      </c>
      <c r="C20" s="717">
        <f>'F-CRes'!B12</f>
        <v>5098470.8530259402</v>
      </c>
      <c r="D20" s="717">
        <f>'F-CRes'!C12</f>
        <v>45009063.646159776</v>
      </c>
      <c r="E20" s="717">
        <f>'F-CRes'!D12</f>
        <v>45171022.430524111</v>
      </c>
      <c r="F20" s="717">
        <f>'F-CRes'!E12</f>
        <v>45239870.007745452</v>
      </c>
      <c r="G20" s="717">
        <f>'F-CRes'!F12</f>
        <v>37586591.497871108</v>
      </c>
      <c r="H20" s="842">
        <f t="shared" si="3"/>
        <v>178105018.43532637</v>
      </c>
      <c r="L20" s="817"/>
    </row>
    <row r="21" spans="1:12">
      <c r="A21" s="628" t="s">
        <v>1000</v>
      </c>
      <c r="B21" s="662" t="s">
        <v>989</v>
      </c>
      <c r="C21" s="656" t="s">
        <v>989</v>
      </c>
      <c r="D21" s="656" t="s">
        <v>989</v>
      </c>
      <c r="E21" s="656" t="s">
        <v>989</v>
      </c>
      <c r="F21" s="656" t="s">
        <v>989</v>
      </c>
      <c r="G21" s="656" t="s">
        <v>989</v>
      </c>
      <c r="H21" s="842">
        <f t="shared" si="3"/>
        <v>0</v>
      </c>
    </row>
    <row r="22" spans="1:12">
      <c r="A22" s="628" t="s">
        <v>1001</v>
      </c>
      <c r="B22" s="659">
        <f>'F-IVA'!B17</f>
        <v>20477032.765919097</v>
      </c>
      <c r="C22" s="659">
        <f>'F-IVA'!C17</f>
        <v>52535033.916180953</v>
      </c>
      <c r="D22" s="659">
        <f>'F-IVA'!D17</f>
        <v>12112306.262795007</v>
      </c>
      <c r="E22" s="659">
        <f>'F-IVA'!E17</f>
        <v>-89.90466406093212</v>
      </c>
      <c r="F22" s="659">
        <f>'F-IVA'!F17</f>
        <v>0</v>
      </c>
      <c r="G22" s="659">
        <f>'F-IVA'!G17</f>
        <v>0</v>
      </c>
      <c r="H22" s="842">
        <f t="shared" si="3"/>
        <v>85124283.040231004</v>
      </c>
    </row>
    <row r="23" spans="1:12">
      <c r="A23" s="628" t="s">
        <v>1002</v>
      </c>
      <c r="B23" s="662" t="s">
        <v>989</v>
      </c>
      <c r="C23" s="656" t="s">
        <v>989</v>
      </c>
      <c r="D23" s="656" t="s">
        <v>989</v>
      </c>
      <c r="E23" s="656" t="s">
        <v>989</v>
      </c>
      <c r="F23" s="656" t="s">
        <v>989</v>
      </c>
      <c r="G23" s="656" t="s">
        <v>989</v>
      </c>
      <c r="H23" s="842">
        <f t="shared" si="3"/>
        <v>0</v>
      </c>
    </row>
    <row r="24" spans="1:12">
      <c r="A24" s="627" t="s">
        <v>607</v>
      </c>
      <c r="B24" s="704">
        <f>SUM(B15:B23)</f>
        <v>120835912.70362911</v>
      </c>
      <c r="C24" s="704">
        <f t="shared" ref="C24:H24" si="4">SUM(C15:C23)</f>
        <v>1683792131.3336878</v>
      </c>
      <c r="D24" s="704">
        <f>SUM(D15:D23)</f>
        <v>1682902487.7822745</v>
      </c>
      <c r="E24" s="704">
        <f>SUM(E15:E23)</f>
        <v>1612191513.5249743</v>
      </c>
      <c r="F24" s="704">
        <f>SUM(F15:F23)</f>
        <v>1611621580.1929665</v>
      </c>
      <c r="G24" s="704">
        <f>SUM(G15:G23)</f>
        <v>1675034459.2747824</v>
      </c>
      <c r="H24" s="704">
        <f>SUM(H15:H23)</f>
        <v>8386378084.812314</v>
      </c>
    </row>
    <row r="25" spans="1:12">
      <c r="A25" s="705"/>
      <c r="B25" s="713" t="s">
        <v>200</v>
      </c>
      <c r="C25" s="658"/>
      <c r="D25" s="658"/>
      <c r="E25" s="658"/>
      <c r="F25" s="658"/>
      <c r="G25" s="702"/>
      <c r="H25" s="706"/>
    </row>
    <row r="26" spans="1:12">
      <c r="A26" s="705" t="s">
        <v>1003</v>
      </c>
      <c r="B26" s="721">
        <v>0</v>
      </c>
      <c r="C26" s="717">
        <f>C12-C24</f>
        <v>90056969.21167326</v>
      </c>
      <c r="D26" s="717">
        <f>D12-D24</f>
        <v>446925722.46216512</v>
      </c>
      <c r="E26" s="717">
        <f>E12-E24</f>
        <v>845184652.40814829</v>
      </c>
      <c r="F26" s="717">
        <f>F12-F24</f>
        <v>1244013605.5908031</v>
      </c>
      <c r="G26" s="717">
        <f>G12-G24</f>
        <v>1578785197.3216422</v>
      </c>
      <c r="H26" s="718">
        <f>SUM(B26:G26)</f>
        <v>4204966146.9944315</v>
      </c>
    </row>
    <row r="27" spans="1:12">
      <c r="A27" s="705" t="s">
        <v>1004</v>
      </c>
      <c r="B27" s="711">
        <v>0</v>
      </c>
      <c r="C27" s="717">
        <f>+'E-Inv AF y Am'!$D$58+(('F-Cred'!$G$18+'F-Cred'!$I$18)/3)</f>
        <v>25950533.375621509</v>
      </c>
      <c r="D27" s="717">
        <f>C27</f>
        <v>25950533.375621509</v>
      </c>
      <c r="E27" s="717">
        <f>C27</f>
        <v>25950533.375621509</v>
      </c>
      <c r="F27" s="717">
        <f>'E-Inv AF y Am'!E58</f>
        <v>25306051.005621508</v>
      </c>
      <c r="G27" s="717">
        <f>F27</f>
        <v>25306051.005621508</v>
      </c>
      <c r="H27" s="712">
        <f>SUM(B27:G27)</f>
        <v>128463702.13810754</v>
      </c>
    </row>
    <row r="28" spans="1:12">
      <c r="A28" s="705"/>
      <c r="B28" s="659" t="s">
        <v>200</v>
      </c>
      <c r="C28" s="658"/>
      <c r="D28" s="658"/>
      <c r="E28" s="658"/>
      <c r="F28" s="658"/>
      <c r="G28" s="702"/>
      <c r="H28" s="706"/>
    </row>
    <row r="29" spans="1:12">
      <c r="A29" s="628" t="s">
        <v>1005</v>
      </c>
      <c r="B29" s="711">
        <v>0</v>
      </c>
      <c r="C29" s="717">
        <f>C26+C27</f>
        <v>116007502.58729477</v>
      </c>
      <c r="D29" s="717">
        <f>D26+D27</f>
        <v>472876255.83778661</v>
      </c>
      <c r="E29" s="717">
        <f t="shared" ref="D29:G29" si="5">E26+E27</f>
        <v>871135185.78376985</v>
      </c>
      <c r="F29" s="717">
        <f t="shared" si="5"/>
        <v>1269319656.5964246</v>
      </c>
      <c r="G29" s="717">
        <f t="shared" si="5"/>
        <v>1604091248.3272636</v>
      </c>
      <c r="H29" s="718">
        <f>SUM(B29:G29)</f>
        <v>4333429849.1325397</v>
      </c>
    </row>
    <row r="30" spans="1:12">
      <c r="A30" s="707" t="s">
        <v>1006</v>
      </c>
      <c r="B30" s="714" t="s">
        <v>200</v>
      </c>
      <c r="C30" s="719">
        <f>C29-C6</f>
        <v>116007502.58729477</v>
      </c>
      <c r="D30" s="719">
        <f>D29-D6</f>
        <v>356868753.25049186</v>
      </c>
      <c r="E30" s="719">
        <f>E29-E6</f>
        <v>398258929.94598323</v>
      </c>
      <c r="F30" s="719">
        <f>F29-F6</f>
        <v>398184470.81265473</v>
      </c>
      <c r="G30" s="719">
        <f>G29-G6</f>
        <v>334771591.73083901</v>
      </c>
      <c r="H30" s="720">
        <f>SUM(C30:G30)</f>
        <v>1604091248.3272636</v>
      </c>
    </row>
    <row r="31" spans="1:12">
      <c r="A31" s="628"/>
      <c r="B31" s="628"/>
      <c r="C31" s="628"/>
      <c r="D31" s="628"/>
      <c r="E31" s="628"/>
      <c r="F31" s="628"/>
      <c r="G31" s="628"/>
      <c r="H31" s="628"/>
    </row>
    <row r="32" spans="1:12">
      <c r="A32" s="715" t="s">
        <v>502</v>
      </c>
      <c r="B32" s="716"/>
      <c r="C32" s="629"/>
      <c r="D32" s="628"/>
      <c r="E32" s="628"/>
      <c r="F32" s="628"/>
      <c r="G32" s="628"/>
      <c r="H32" s="628"/>
    </row>
    <row r="33" spans="1:8">
      <c r="A33" s="715" t="s">
        <v>1007</v>
      </c>
      <c r="B33" s="716"/>
      <c r="C33" s="629"/>
      <c r="D33" s="628"/>
      <c r="E33" s="628"/>
      <c r="F33" s="628"/>
      <c r="G33" s="628"/>
      <c r="H33" s="628"/>
    </row>
    <row r="34" spans="1:8">
      <c r="A34" s="159"/>
      <c r="B34" s="15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13" workbookViewId="0">
      <selection activeCell="G25" sqref="G25"/>
    </sheetView>
  </sheetViews>
  <sheetFormatPr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9" t="s">
        <v>56</v>
      </c>
      <c r="B1" s="590"/>
      <c r="C1" s="590"/>
      <c r="D1" s="590"/>
      <c r="E1" s="609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3" t="s">
        <v>1008</v>
      </c>
      <c r="B3" s="594" t="s">
        <v>200</v>
      </c>
      <c r="C3" s="594" t="s">
        <v>200</v>
      </c>
      <c r="D3" s="594" t="s">
        <v>200</v>
      </c>
      <c r="E3" s="594" t="s">
        <v>200</v>
      </c>
      <c r="F3" s="739" t="s">
        <v>200</v>
      </c>
      <c r="G3" s="740" t="s">
        <v>200</v>
      </c>
    </row>
    <row r="4" spans="1:7">
      <c r="A4" s="726" t="s">
        <v>200</v>
      </c>
      <c r="B4" s="603" t="s">
        <v>14</v>
      </c>
      <c r="C4" s="603" t="s">
        <v>2</v>
      </c>
      <c r="D4" s="603" t="s">
        <v>3</v>
      </c>
      <c r="E4" s="603" t="s">
        <v>4</v>
      </c>
      <c r="F4" s="737" t="s">
        <v>5</v>
      </c>
      <c r="G4" s="738" t="s">
        <v>6</v>
      </c>
    </row>
    <row r="5" spans="1:7">
      <c r="A5" s="471" t="s">
        <v>1009</v>
      </c>
      <c r="B5" s="916">
        <f>SUM(B7:B11)</f>
        <v>59031138.834210336</v>
      </c>
      <c r="C5" s="916">
        <f>SUM(C7:C11)</f>
        <v>333367564.01846874</v>
      </c>
      <c r="D5" s="916">
        <f>SUM(D7:D11)</f>
        <v>730284121.63370001</v>
      </c>
      <c r="E5" s="916">
        <f>SUM(E7:E11)</f>
        <v>1128542623.4622355</v>
      </c>
      <c r="F5" s="916">
        <f>SUM(F7:F11)</f>
        <v>1526727094.2748902</v>
      </c>
      <c r="G5" s="916">
        <f>SUM(G7:G11)</f>
        <v>1861498686.0057292</v>
      </c>
    </row>
    <row r="6" spans="1:7">
      <c r="A6" s="462" t="s">
        <v>1010</v>
      </c>
      <c r="B6" s="623" t="s">
        <v>200</v>
      </c>
      <c r="C6" s="623" t="s">
        <v>200</v>
      </c>
      <c r="D6" s="623" t="s">
        <v>200</v>
      </c>
      <c r="E6" s="623" t="s">
        <v>200</v>
      </c>
      <c r="F6" s="623" t="s">
        <v>200</v>
      </c>
      <c r="G6" s="660" t="s">
        <v>200</v>
      </c>
    </row>
    <row r="7" spans="1:7">
      <c r="A7" s="456" t="s">
        <v>1011</v>
      </c>
      <c r="B7" s="911">
        <f>'E-InvAT'!B6</f>
        <v>2268000</v>
      </c>
      <c r="C7" s="911">
        <f>'E-InvAT'!C6</f>
        <v>28350000</v>
      </c>
      <c r="D7" s="911">
        <f>'E-InvAT'!D6</f>
        <v>39690000</v>
      </c>
      <c r="E7" s="911">
        <f>'E-InvAT'!E6</f>
        <v>39690000</v>
      </c>
      <c r="F7" s="911">
        <f>'E-InvAT'!F6</f>
        <v>39690000</v>
      </c>
      <c r="G7" s="912">
        <f>'E-InvAT'!G6</f>
        <v>39690000</v>
      </c>
    </row>
    <row r="8" spans="1:7">
      <c r="A8" s="456" t="s">
        <v>1012</v>
      </c>
      <c r="B8" s="911">
        <f>'F- CFyU'!B29</f>
        <v>0</v>
      </c>
      <c r="C8" s="911">
        <f>'F- CFyU'!C29</f>
        <v>116007502.58729477</v>
      </c>
      <c r="D8" s="911">
        <f>'F- CFyU'!D29</f>
        <v>472876255.83778661</v>
      </c>
      <c r="E8" s="911">
        <f>'F- CFyU'!E29</f>
        <v>871135185.78376985</v>
      </c>
      <c r="F8" s="911">
        <f>'F- CFyU'!F29</f>
        <v>1269319656.5964246</v>
      </c>
      <c r="G8" s="911">
        <f>'F- CFyU'!G29</f>
        <v>1604091248.3272636</v>
      </c>
    </row>
    <row r="9" spans="1:7">
      <c r="A9" s="462" t="s">
        <v>1013</v>
      </c>
      <c r="B9" s="911">
        <f>'E-InvAT'!B7</f>
        <v>0</v>
      </c>
      <c r="C9" s="911">
        <f>'E-InvAT'!C7</f>
        <v>116506849.3150685</v>
      </c>
      <c r="D9" s="911">
        <f>'E-InvAT'!D7</f>
        <v>163109589.04109588</v>
      </c>
      <c r="E9" s="911">
        <f>'E-InvAT'!E7</f>
        <v>163109589.04109588</v>
      </c>
      <c r="F9" s="911">
        <f>'E-InvAT'!F7</f>
        <v>163109589.04109588</v>
      </c>
      <c r="G9" s="912">
        <f>'E-InvAT'!G7</f>
        <v>163109589.04109588</v>
      </c>
    </row>
    <row r="10" spans="1:7">
      <c r="A10" s="462" t="s">
        <v>1014</v>
      </c>
      <c r="B10" s="911">
        <f>SUM('E-InvAT'!B10:B13)</f>
        <v>959473.54645999998</v>
      </c>
      <c r="C10" s="911">
        <f>SUM('E-InvAT'!C10:C13)</f>
        <v>55294810.721755765</v>
      </c>
      <c r="D10" s="911">
        <f>SUM('E-InvAT'!D10:D13)</f>
        <v>54608276.754817523</v>
      </c>
      <c r="E10" s="911">
        <f>SUM('E-InvAT'!E10:E13)</f>
        <v>54607848.637369618</v>
      </c>
      <c r="F10" s="911">
        <f>SUM('E-InvAT'!F10:F13)</f>
        <v>54607848.637369618</v>
      </c>
      <c r="G10" s="911">
        <f>SUM('E-InvAT'!G10:G13)</f>
        <v>54607848.637369618</v>
      </c>
    </row>
    <row r="11" spans="1:7">
      <c r="A11" s="462" t="s">
        <v>1015</v>
      </c>
      <c r="B11" s="911">
        <f>'F-IVA'!C19</f>
        <v>55803665.287750334</v>
      </c>
      <c r="C11" s="911">
        <f>+'F-IVA'!D19-'F-IVA'!D17</f>
        <v>17208401.394349724</v>
      </c>
      <c r="D11" s="911">
        <f>+'F-IVA'!E19-'F-IVA'!E17</f>
        <v>0</v>
      </c>
      <c r="E11" s="911">
        <f>+'F-IVA'!F19-'F-IVA'!F17</f>
        <v>0</v>
      </c>
      <c r="F11" s="911">
        <f>+'F-IVA'!G19-'F-IVA'!G17</f>
        <v>0</v>
      </c>
      <c r="G11" s="911">
        <f>+'F-IVA'!H19-'F-IVA'!H17</f>
        <v>0</v>
      </c>
    </row>
    <row r="12" spans="1:7">
      <c r="A12" s="462" t="s">
        <v>1016</v>
      </c>
      <c r="B12" s="915">
        <f>B17+B22+B23</f>
        <v>61804773.869418763</v>
      </c>
      <c r="C12" s="915">
        <f>C17+C22+C23</f>
        <v>128292039.32498603</v>
      </c>
      <c r="D12" s="915">
        <f>D17+D22+D23</f>
        <v>102341505.94936451</v>
      </c>
      <c r="E12" s="915">
        <f>E17+E22+E23</f>
        <v>76390972.573743001</v>
      </c>
      <c r="F12" s="915">
        <f>F17+F22+F23</f>
        <v>51084921.568121493</v>
      </c>
      <c r="G12" s="915">
        <f>G17+G22+G23</f>
        <v>25778870.562499993</v>
      </c>
    </row>
    <row r="13" spans="1:7">
      <c r="A13" s="462" t="s">
        <v>1017</v>
      </c>
      <c r="B13" s="623" t="s">
        <v>200</v>
      </c>
      <c r="C13" s="623" t="s">
        <v>200</v>
      </c>
      <c r="D13" s="623" t="s">
        <v>200</v>
      </c>
      <c r="E13" s="623" t="s">
        <v>200</v>
      </c>
      <c r="F13" s="623" t="s">
        <v>200</v>
      </c>
      <c r="G13" s="660" t="s">
        <v>200</v>
      </c>
    </row>
    <row r="14" spans="1:7">
      <c r="A14" s="456" t="s">
        <v>1018</v>
      </c>
      <c r="B14" s="905">
        <f>'F-2 Estructura'!B7</f>
        <v>35990357.759999998</v>
      </c>
      <c r="C14" s="905">
        <f>B17</f>
        <v>35990357.759999998</v>
      </c>
      <c r="D14" s="905">
        <f>C17</f>
        <v>74223426.307486027</v>
      </c>
      <c r="E14" s="905">
        <f t="shared" ref="D14:G14" si="0">D17</f>
        <v>55345328.545614518</v>
      </c>
      <c r="F14" s="905">
        <f t="shared" si="0"/>
        <v>36467230.783743009</v>
      </c>
      <c r="G14" s="905">
        <f t="shared" si="0"/>
        <v>18233615.391871501</v>
      </c>
    </row>
    <row r="15" spans="1:7">
      <c r="A15" s="456" t="s">
        <v>1019</v>
      </c>
      <c r="B15" s="623"/>
      <c r="C15" s="911">
        <f>'F-2 Estructura'!C7</f>
        <v>57111166.309357546</v>
      </c>
      <c r="D15" s="623">
        <v>0</v>
      </c>
      <c r="E15" s="623">
        <f>'F-2 Estructura'!E7</f>
        <v>0</v>
      </c>
      <c r="F15" s="623">
        <f>'F-2 Estructura'!F7</f>
        <v>0</v>
      </c>
      <c r="G15" s="660">
        <f>'F-2 Estructura'!G7</f>
        <v>0</v>
      </c>
    </row>
    <row r="16" spans="1:7">
      <c r="A16" s="456" t="s">
        <v>1020</v>
      </c>
      <c r="C16" s="905">
        <f>'Ej 50-66'!B113+'E-Inv AF y Am'!D55</f>
        <v>18878097.761871509</v>
      </c>
      <c r="D16" s="905">
        <f>'Ej 50-66'!B114+'E-Inv AF y Am'!E55</f>
        <v>18878097.761871509</v>
      </c>
      <c r="E16" s="905">
        <f>'Ej 50-66'!B115+'E-Inv AF y Am'!D55</f>
        <v>18878097.761871509</v>
      </c>
      <c r="F16" s="905">
        <f>'E-Inv AF y Am'!E55</f>
        <v>18233615.391871508</v>
      </c>
      <c r="G16" s="905">
        <f>'E-Inv AF y Am'!E55</f>
        <v>18233615.391871508</v>
      </c>
    </row>
    <row r="17" spans="1:7">
      <c r="A17" s="456" t="s">
        <v>1021</v>
      </c>
      <c r="B17" s="905">
        <f>B14+B15-B16</f>
        <v>35990357.759999998</v>
      </c>
      <c r="C17" s="905">
        <f>C14+C15-C16</f>
        <v>74223426.307486027</v>
      </c>
      <c r="D17" s="905">
        <f t="shared" ref="C17:G17" si="1">D14+D15-D16</f>
        <v>55345328.545614518</v>
      </c>
      <c r="E17" s="905">
        <f t="shared" si="1"/>
        <v>36467230.783743009</v>
      </c>
      <c r="F17" s="905">
        <f t="shared" si="1"/>
        <v>18233615.391871501</v>
      </c>
      <c r="G17" s="905">
        <f t="shared" si="1"/>
        <v>0</v>
      </c>
    </row>
    <row r="18" spans="1:7">
      <c r="A18" s="462" t="s">
        <v>506</v>
      </c>
      <c r="B18" s="623" t="s">
        <v>200</v>
      </c>
      <c r="C18" s="623" t="s">
        <v>200</v>
      </c>
      <c r="D18" s="623" t="s">
        <v>200</v>
      </c>
      <c r="E18" s="623" t="s">
        <v>200</v>
      </c>
      <c r="F18" s="623" t="s">
        <v>200</v>
      </c>
      <c r="G18" s="660" t="s">
        <v>200</v>
      </c>
    </row>
    <row r="19" spans="1:7">
      <c r="A19" s="456" t="s">
        <v>1018</v>
      </c>
      <c r="B19" s="905">
        <f>'F-2 Estructura'!B6</f>
        <v>61141048.631250001</v>
      </c>
      <c r="C19" s="905">
        <f>B22</f>
        <v>61141048.631250001</v>
      </c>
      <c r="D19" s="905">
        <f>C22</f>
        <v>54068613.017499998</v>
      </c>
      <c r="E19" s="905">
        <f>D22</f>
        <v>46996177.403749995</v>
      </c>
      <c r="F19" s="905">
        <f t="shared" ref="D19:G19" si="2">E22</f>
        <v>39923741.789999992</v>
      </c>
      <c r="G19" s="906">
        <f>F22</f>
        <v>32851306.176249992</v>
      </c>
    </row>
    <row r="20" spans="1:7">
      <c r="A20" s="456" t="s">
        <v>1022</v>
      </c>
      <c r="B20" s="699"/>
      <c r="C20" s="699"/>
      <c r="D20" s="699">
        <v>0</v>
      </c>
      <c r="E20" s="699">
        <v>0</v>
      </c>
      <c r="F20" s="699">
        <v>0</v>
      </c>
      <c r="G20" s="660">
        <v>0</v>
      </c>
    </row>
    <row r="21" spans="1:7">
      <c r="A21" s="456" t="s">
        <v>1023</v>
      </c>
      <c r="B21" s="699"/>
      <c r="C21" s="905">
        <f>'E-Inv AF y Am'!$D$53</f>
        <v>7072435.6137500005</v>
      </c>
      <c r="D21" s="905">
        <f>'E-Inv AF y Am'!$D$53</f>
        <v>7072435.6137500005</v>
      </c>
      <c r="E21" s="905">
        <f>'E-Inv AF y Am'!$D$53</f>
        <v>7072435.6137500005</v>
      </c>
      <c r="F21" s="905">
        <f>'E-Inv AF y Am'!$E$53</f>
        <v>7072435.6137500005</v>
      </c>
      <c r="G21" s="905">
        <f>'E-Inv AF y Am'!$E$53</f>
        <v>7072435.6137500005</v>
      </c>
    </row>
    <row r="22" spans="1:7">
      <c r="A22" s="456" t="s">
        <v>1021</v>
      </c>
      <c r="B22" s="905">
        <f>B19+B20-B21</f>
        <v>61141048.631250001</v>
      </c>
      <c r="C22" s="905">
        <f>C19+C20-C21</f>
        <v>54068613.017499998</v>
      </c>
      <c r="D22" s="905">
        <f t="shared" ref="C22:G22" si="3">D19+D20-D21</f>
        <v>46996177.403749995</v>
      </c>
      <c r="E22" s="905">
        <f t="shared" si="3"/>
        <v>39923741.789999992</v>
      </c>
      <c r="F22" s="905">
        <f t="shared" si="3"/>
        <v>32851306.176249992</v>
      </c>
      <c r="G22" s="906">
        <f>G19+G20-G21</f>
        <v>25778870.562499993</v>
      </c>
    </row>
    <row r="23" spans="1:7">
      <c r="A23" s="462" t="s">
        <v>1024</v>
      </c>
      <c r="B23" s="911">
        <f>'F- CFyU'!B22-'F- CFyU'!C11</f>
        <v>-35326632.521831237</v>
      </c>
      <c r="C23" s="911">
        <v>0</v>
      </c>
      <c r="D23" s="911">
        <v>0</v>
      </c>
      <c r="E23" s="911">
        <v>0</v>
      </c>
      <c r="F23" s="911">
        <v>0</v>
      </c>
      <c r="G23" s="911">
        <v>0</v>
      </c>
    </row>
    <row r="24" spans="1:7">
      <c r="A24" s="462" t="s">
        <v>1025</v>
      </c>
      <c r="B24" s="881">
        <f>B12+B5</f>
        <v>120835912.70362911</v>
      </c>
      <c r="C24" s="881">
        <f t="shared" ref="C24:G24" si="4">C12+C5</f>
        <v>461659603.34345478</v>
      </c>
      <c r="D24" s="881">
        <f t="shared" si="4"/>
        <v>832625627.58306456</v>
      </c>
      <c r="E24" s="881">
        <f t="shared" si="4"/>
        <v>1204933596.0359786</v>
      </c>
      <c r="F24" s="881">
        <f t="shared" si="4"/>
        <v>1577812015.8430116</v>
      </c>
      <c r="G24" s="881">
        <f t="shared" si="4"/>
        <v>1887277556.5682292</v>
      </c>
    </row>
    <row r="25" spans="1:7">
      <c r="A25" s="937" t="s">
        <v>1026</v>
      </c>
      <c r="B25" s="938">
        <f>B27</f>
        <v>1966217.4</v>
      </c>
      <c r="C25" s="938">
        <f>C27+C26</f>
        <v>2765778.6887166668</v>
      </c>
      <c r="D25" s="938">
        <f>D27+D26</f>
        <v>2765778.6887166668</v>
      </c>
      <c r="E25" s="938">
        <f>E27+E26</f>
        <v>2765778.6887166668</v>
      </c>
      <c r="F25" s="938">
        <f>F27+F26</f>
        <v>2765778.6887166668</v>
      </c>
      <c r="G25" s="939">
        <f>G26+G27</f>
        <v>2765778.6887166668</v>
      </c>
    </row>
    <row r="26" spans="1:7">
      <c r="A26" s="937" t="s">
        <v>1027</v>
      </c>
      <c r="B26" s="938">
        <v>0</v>
      </c>
      <c r="C26" s="938">
        <f>'F-Cred'!D6</f>
        <v>799561.28871666663</v>
      </c>
      <c r="D26" s="938">
        <f>C26</f>
        <v>799561.28871666663</v>
      </c>
      <c r="E26" s="938">
        <f>'F-Cred'!$D$6</f>
        <v>799561.28871666663</v>
      </c>
      <c r="F26" s="938">
        <f>E26</f>
        <v>799561.28871666663</v>
      </c>
      <c r="G26" s="938">
        <f>'F-Cred'!$D$6</f>
        <v>799561.28871666663</v>
      </c>
    </row>
    <row r="27" spans="1:7">
      <c r="A27" s="937" t="s">
        <v>1028</v>
      </c>
      <c r="B27" s="938">
        <f>'F-Cred'!$E20</f>
        <v>1966217.4</v>
      </c>
      <c r="C27" s="938">
        <f>'F-Cred'!$E22</f>
        <v>1966217.4</v>
      </c>
      <c r="D27" s="938">
        <f>'F-Cred'!$E24</f>
        <v>1966217.4</v>
      </c>
      <c r="E27" s="938">
        <f>'F-Cred'!$E26</f>
        <v>1966217.4</v>
      </c>
      <c r="F27" s="938">
        <f>'F-Cred'!$E28</f>
        <v>1966217.4</v>
      </c>
      <c r="G27" s="938">
        <f>'F-Cred'!E22</f>
        <v>1966217.4</v>
      </c>
    </row>
    <row r="28" spans="1:7">
      <c r="A28" s="937" t="s">
        <v>1029</v>
      </c>
      <c r="B28" s="938">
        <f>B29</f>
        <v>7864869.5999999996</v>
      </c>
      <c r="C28" s="938">
        <f>C29</f>
        <v>5898652.1999999993</v>
      </c>
      <c r="D28" s="938">
        <f>D29</f>
        <v>3932434.7999999993</v>
      </c>
      <c r="E28" s="938">
        <f t="shared" ref="E28:F28" si="5">E29</f>
        <v>1966217.3999999994</v>
      </c>
      <c r="F28" s="938">
        <f t="shared" si="5"/>
        <v>0</v>
      </c>
      <c r="G28" s="939">
        <f>G29</f>
        <v>-1966217.4</v>
      </c>
    </row>
    <row r="29" spans="1:7">
      <c r="A29" s="937" t="s">
        <v>1028</v>
      </c>
      <c r="B29" s="938">
        <f>'F-Cred'!E30-'F-Cred'!E20</f>
        <v>7864869.5999999996</v>
      </c>
      <c r="C29" s="938">
        <f>B29-B27</f>
        <v>5898652.1999999993</v>
      </c>
      <c r="D29" s="938">
        <f>C29-C27</f>
        <v>3932434.7999999993</v>
      </c>
      <c r="E29" s="938">
        <f>D29-D27</f>
        <v>1966217.3999999994</v>
      </c>
      <c r="F29" s="938">
        <f>E29-E27</f>
        <v>0</v>
      </c>
      <c r="G29" s="938">
        <f>F29-F27</f>
        <v>-1966217.4</v>
      </c>
    </row>
    <row r="30" spans="1:7">
      <c r="A30" s="937" t="s">
        <v>1030</v>
      </c>
      <c r="B30" s="938">
        <f>B28+B25</f>
        <v>9831087</v>
      </c>
      <c r="C30" s="938">
        <f>C28+C25</f>
        <v>8664430.888716666</v>
      </c>
      <c r="D30" s="938">
        <f>D28+D25</f>
        <v>6698213.4887166657</v>
      </c>
      <c r="E30" s="938">
        <f t="shared" ref="E30:F30" si="6">E28+E25</f>
        <v>4731996.0887166662</v>
      </c>
      <c r="F30" s="938">
        <f t="shared" si="6"/>
        <v>2765778.6887166668</v>
      </c>
      <c r="G30" s="938">
        <f>G28+G25</f>
        <v>799561.28871666687</v>
      </c>
    </row>
    <row r="31" spans="1:7">
      <c r="A31" s="937" t="s">
        <v>1031</v>
      </c>
      <c r="B31" s="938">
        <f>SUM(B32:B34)</f>
        <v>111004825.70362911</v>
      </c>
      <c r="C31" s="938">
        <f t="shared" ref="C31:G31" si="7">SUM(C32:C34)</f>
        <v>452995172.45473832</v>
      </c>
      <c r="D31" s="938">
        <f>SUM(D32:D34)</f>
        <v>825927414.09434783</v>
      </c>
      <c r="E31" s="938">
        <f t="shared" si="7"/>
        <v>1200201599.9472618</v>
      </c>
      <c r="F31" s="938">
        <f t="shared" si="7"/>
        <v>1575046237.1542957</v>
      </c>
      <c r="G31" s="938">
        <f>SUM(G32:G34)</f>
        <v>1886477995.2795134</v>
      </c>
    </row>
    <row r="32" spans="1:7">
      <c r="A32" s="937" t="s">
        <v>1032</v>
      </c>
      <c r="B32" s="938">
        <f>'F-2 Estructura'!B31</f>
        <v>111004825.70362911</v>
      </c>
      <c r="C32" s="938">
        <f>'F-2 Estructura'!B31+'F-2 Estructura'!C31</f>
        <v>410750699.67252338</v>
      </c>
      <c r="D32" s="938">
        <f>C32</f>
        <v>410750699.67252338</v>
      </c>
      <c r="E32" s="938">
        <f>D32</f>
        <v>410750699.67252338</v>
      </c>
      <c r="F32" s="938">
        <f>E32</f>
        <v>410750699.67252338</v>
      </c>
      <c r="G32" s="938">
        <f>F32</f>
        <v>410750699.67252338</v>
      </c>
    </row>
    <row r="33" spans="1:10">
      <c r="A33" s="937" t="s">
        <v>1033</v>
      </c>
      <c r="B33" s="940">
        <v>0</v>
      </c>
      <c r="C33" s="938">
        <f>'F-CRes'!B15</f>
        <v>42244472.782214925</v>
      </c>
      <c r="D33" s="938">
        <f>'F-CRes'!C15</f>
        <v>372932241.63960958</v>
      </c>
      <c r="E33" s="938">
        <f>'F-CRes'!D15</f>
        <v>374274185.85291398</v>
      </c>
      <c r="F33" s="938">
        <f>'F-CRes'!E15</f>
        <v>374844637.20703369</v>
      </c>
      <c r="G33" s="939">
        <f>'F-CRes'!F15</f>
        <v>311431758.1252178</v>
      </c>
    </row>
    <row r="34" spans="1:10">
      <c r="A34" s="937" t="s">
        <v>1034</v>
      </c>
      <c r="B34" s="941">
        <v>0</v>
      </c>
      <c r="C34" s="938">
        <f>B33+B34</f>
        <v>0</v>
      </c>
      <c r="D34" s="938">
        <f>C33</f>
        <v>42244472.782214925</v>
      </c>
      <c r="E34" s="938">
        <f t="shared" ref="E34:F34" si="8">D33+D34</f>
        <v>415176714.42182451</v>
      </c>
      <c r="F34" s="938">
        <f t="shared" si="8"/>
        <v>789450900.27473855</v>
      </c>
      <c r="G34" s="938">
        <f>F33+F34</f>
        <v>1164295537.4817722</v>
      </c>
    </row>
    <row r="35" spans="1:10">
      <c r="A35" s="942" t="s">
        <v>1035</v>
      </c>
      <c r="B35" s="943">
        <f>B31+B30</f>
        <v>120835912.70362911</v>
      </c>
      <c r="C35" s="943">
        <f>C31+C30</f>
        <v>461659603.34345496</v>
      </c>
      <c r="D35" s="943">
        <f>D31+D30</f>
        <v>832625627.58306456</v>
      </c>
      <c r="E35" s="943">
        <f>E31+E30</f>
        <v>1204933596.0359786</v>
      </c>
      <c r="F35" s="943">
        <f>F31+F30</f>
        <v>1577812015.8430123</v>
      </c>
      <c r="G35" s="943">
        <f>G31+G30</f>
        <v>1887277556.5682299</v>
      </c>
      <c r="J35" t="s">
        <v>1036</v>
      </c>
    </row>
    <row r="36" spans="1:10">
      <c r="F36" s="159"/>
      <c r="G36" s="159"/>
    </row>
    <row r="38" spans="1:10">
      <c r="A38" s="875" t="s">
        <v>1037</v>
      </c>
      <c r="B38" s="876" t="str">
        <f>IF(ROUND(B24,3)=ROUND(B35,3),"OK","MAL")</f>
        <v>OK</v>
      </c>
      <c r="C38" s="876" t="str">
        <f>IF(ROUND(C24,3)=ROUND(C35,3),"OK","MAL")</f>
        <v>OK</v>
      </c>
      <c r="D38" s="876" t="str">
        <f t="shared" ref="D38:G38" si="9">IF(ROUND(D24,3)=ROUND(D35,3),"OK","MAL")</f>
        <v>OK</v>
      </c>
      <c r="E38" s="876" t="str">
        <f t="shared" si="9"/>
        <v>OK</v>
      </c>
      <c r="F38" s="876" t="str">
        <f>IF(ROUND(F24,3)=ROUND(F35,3),"OK","MAL")</f>
        <v>OK</v>
      </c>
      <c r="G38" s="876" t="str">
        <f t="shared" si="9"/>
        <v>OK</v>
      </c>
    </row>
    <row r="40" spans="1:10">
      <c r="A40" t="s">
        <v>1038</v>
      </c>
      <c r="B40" s="817">
        <f>B24-B35</f>
        <v>0</v>
      </c>
      <c r="C40" s="817">
        <f t="shared" ref="C40:G40" si="10">C24-C35</f>
        <v>0</v>
      </c>
      <c r="D40" s="817">
        <f>D24-D35</f>
        <v>0</v>
      </c>
      <c r="E40" s="817">
        <f t="shared" si="10"/>
        <v>0</v>
      </c>
      <c r="F40" s="817">
        <f t="shared" si="10"/>
        <v>0</v>
      </c>
      <c r="G40" s="817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workbookViewId="0">
      <selection activeCell="F41" sqref="F41"/>
    </sheetView>
  </sheetViews>
  <sheetFormatPr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9" t="s">
        <v>56</v>
      </c>
      <c r="B1" s="590"/>
      <c r="C1" s="590"/>
      <c r="D1" s="590"/>
      <c r="E1" s="590"/>
      <c r="F1" s="590"/>
      <c r="G1" s="609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11" t="s">
        <v>1039</v>
      </c>
      <c r="B3" s="612"/>
      <c r="C3" s="612"/>
      <c r="D3" s="612"/>
      <c r="E3" s="613" t="s">
        <v>200</v>
      </c>
      <c r="F3" s="613" t="s">
        <v>200</v>
      </c>
      <c r="G3" s="613" t="s">
        <v>200</v>
      </c>
      <c r="H3" s="613" t="s">
        <v>200</v>
      </c>
      <c r="I3" s="613" t="s">
        <v>200</v>
      </c>
      <c r="J3" s="613" t="s">
        <v>200</v>
      </c>
      <c r="K3" s="613" t="s">
        <v>200</v>
      </c>
      <c r="L3" s="613" t="s">
        <v>200</v>
      </c>
      <c r="M3" s="613" t="s">
        <v>200</v>
      </c>
      <c r="N3" s="595" t="s">
        <v>200</v>
      </c>
    </row>
    <row r="4" spans="1:15" ht="24">
      <c r="A4" s="602" t="s">
        <v>684</v>
      </c>
      <c r="B4" s="646" t="s">
        <v>995</v>
      </c>
      <c r="C4" s="646" t="s">
        <v>1040</v>
      </c>
      <c r="D4" s="646" t="s">
        <v>687</v>
      </c>
      <c r="E4" s="646" t="s">
        <v>61</v>
      </c>
      <c r="F4" s="646" t="s">
        <v>688</v>
      </c>
      <c r="G4" s="646" t="s">
        <v>689</v>
      </c>
      <c r="H4" s="646" t="s">
        <v>1041</v>
      </c>
      <c r="I4" s="646" t="s">
        <v>1042</v>
      </c>
      <c r="J4" s="646" t="s">
        <v>295</v>
      </c>
      <c r="K4" s="646" t="s">
        <v>691</v>
      </c>
      <c r="L4" s="646" t="s">
        <v>692</v>
      </c>
      <c r="M4" s="727" t="s">
        <v>693</v>
      </c>
      <c r="N4" s="728" t="s">
        <v>694</v>
      </c>
    </row>
    <row r="5" spans="1:15">
      <c r="A5" s="647">
        <v>0</v>
      </c>
      <c r="B5" s="623">
        <f>'F- CFyU'!B15</f>
        <v>97131406.391249999</v>
      </c>
      <c r="C5" s="623">
        <f>'F- CFyU'!B$16</f>
        <v>3227473.5464599999</v>
      </c>
      <c r="D5" s="623">
        <f>'F-IVA'!B17</f>
        <v>20477032.765919097</v>
      </c>
      <c r="F5" s="817"/>
      <c r="G5" s="734">
        <f>SUM(B5:F5)</f>
        <v>120835912.70362911</v>
      </c>
      <c r="H5" s="623" t="s">
        <v>200</v>
      </c>
      <c r="I5" s="734">
        <f>'F-Cred'!G18+'F-Cred'!I18</f>
        <v>1933447.1099999999</v>
      </c>
      <c r="J5" s="734" t="s">
        <v>200</v>
      </c>
      <c r="K5" s="623" t="s">
        <v>200</v>
      </c>
      <c r="L5" s="734">
        <f>SUM(H5:K5)</f>
        <v>1933447.1099999999</v>
      </c>
      <c r="M5" s="834">
        <f>L5-G5</f>
        <v>-118902465.59362911</v>
      </c>
      <c r="N5" s="833">
        <f>M5</f>
        <v>-118902465.59362911</v>
      </c>
      <c r="O5" s="946"/>
    </row>
    <row r="6" spans="1:15">
      <c r="A6" s="649">
        <v>1</v>
      </c>
      <c r="B6" s="623">
        <f>'F- CFyU'!C15</f>
        <v>57111166.309357546</v>
      </c>
      <c r="C6" s="623">
        <f>'F- CFyU'!C16</f>
        <v>196924186.49036428</v>
      </c>
      <c r="D6" s="623">
        <f>'F-IVA'!C17</f>
        <v>52535033.916180953</v>
      </c>
      <c r="E6" s="623">
        <f>'F-CRes'!B12</f>
        <v>5098470.8530259402</v>
      </c>
      <c r="F6" s="623">
        <f>'F-CRes'!B14</f>
        <v>25492354.265129697</v>
      </c>
      <c r="G6" s="734">
        <f>SUM(B6:F6)</f>
        <v>337161211.8340584</v>
      </c>
      <c r="H6" s="623">
        <f>'F-CRes'!B11</f>
        <v>72835297.900370568</v>
      </c>
      <c r="I6" s="734">
        <f>'F-Cred'!G20</f>
        <v>5203385.5639380002</v>
      </c>
      <c r="J6" s="734">
        <f>'F- CFyU'!C27</f>
        <v>25950533.375621509</v>
      </c>
      <c r="K6" s="623">
        <f>'F-IVA'!C19</f>
        <v>55803665.287750334</v>
      </c>
      <c r="L6" s="734">
        <f>SUM(H6:K6)</f>
        <v>159792882.12768042</v>
      </c>
      <c r="M6" s="834">
        <f>L6-G6</f>
        <v>-177368329.70637798</v>
      </c>
      <c r="N6" s="833">
        <f>M6+N5</f>
        <v>-296270795.3000071</v>
      </c>
      <c r="O6" s="946"/>
    </row>
    <row r="7" spans="1:15">
      <c r="A7" s="649">
        <v>2</v>
      </c>
      <c r="B7" s="623" t="s">
        <v>200</v>
      </c>
      <c r="C7" s="623">
        <f>'F- CFyU'!D16</f>
        <v>57256205.759089112</v>
      </c>
      <c r="D7" s="623">
        <f>'F-IVA'!D17</f>
        <v>12112306.262795007</v>
      </c>
      <c r="E7" s="623">
        <f>'F-CRes'!C12</f>
        <v>45009063.646159776</v>
      </c>
      <c r="F7" s="623">
        <f>'F-CRes'!C14</f>
        <v>225045318.23079884</v>
      </c>
      <c r="G7" s="734">
        <f>SUM(B7:F7)</f>
        <v>339422893.89884269</v>
      </c>
      <c r="H7" s="623">
        <f>'F-CRes'!C11</f>
        <v>642986623.51656818</v>
      </c>
      <c r="I7" s="734">
        <f>'F-Cred'!$G22</f>
        <v>4466054.0389380008</v>
      </c>
      <c r="J7" s="734">
        <f>'F- CFyU'!D27</f>
        <v>25950533.375621509</v>
      </c>
      <c r="K7" s="623">
        <f>'F-IVA'!D19</f>
        <v>29320707.657144733</v>
      </c>
      <c r="L7" s="734">
        <f>SUM(H7:K7)</f>
        <v>702723918.58827257</v>
      </c>
      <c r="M7" s="834">
        <f>L7-G7</f>
        <v>363301024.68942988</v>
      </c>
      <c r="N7" s="833">
        <f>M7+N6</f>
        <v>67030229.389422774</v>
      </c>
      <c r="O7" s="946"/>
    </row>
    <row r="8" spans="1:15">
      <c r="A8" s="649">
        <v>3</v>
      </c>
      <c r="B8" s="623" t="s">
        <v>200</v>
      </c>
      <c r="C8" s="623">
        <f>'F- CFyU'!E16</f>
        <v>-428.11744791269302</v>
      </c>
      <c r="D8" s="623">
        <f>'F-IVA'!E17</f>
        <v>-89.90466406093212</v>
      </c>
      <c r="E8" s="623">
        <f>'F-CRes'!D12</f>
        <v>45171022.430524111</v>
      </c>
      <c r="F8" s="623">
        <f>'F-CRes'!D14</f>
        <v>225855112.15262052</v>
      </c>
      <c r="G8" s="734">
        <f>SUM(B8:F8)</f>
        <v>271025616.56103265</v>
      </c>
      <c r="H8" s="623">
        <f>'F-CRes'!D11</f>
        <v>645300320.43605864</v>
      </c>
      <c r="I8" s="734">
        <f>'F-Cred'!$G24</f>
        <v>3482945.3389380001</v>
      </c>
      <c r="J8" s="734">
        <f>'F- CFyU'!E27</f>
        <v>25950533.375621509</v>
      </c>
      <c r="K8" s="623">
        <f>'F-IVA'!E19</f>
        <v>-89.90466406093212</v>
      </c>
      <c r="L8" s="734">
        <f>SUM(H8:K8)</f>
        <v>674733709.24595416</v>
      </c>
      <c r="M8" s="834">
        <f>L8-G8</f>
        <v>403708092.6849215</v>
      </c>
      <c r="N8" s="833">
        <f>M8+N7</f>
        <v>470738322.07434428</v>
      </c>
      <c r="O8" s="946"/>
    </row>
    <row r="9" spans="1:15">
      <c r="A9" s="649">
        <v>4</v>
      </c>
      <c r="B9" s="623" t="s">
        <v>200</v>
      </c>
      <c r="C9" s="623">
        <f>'F- CFyU'!G16</f>
        <v>0</v>
      </c>
      <c r="D9" s="623">
        <f>'F-IVA'!F17</f>
        <v>0</v>
      </c>
      <c r="E9" s="623">
        <f>'F-CRes'!E12</f>
        <v>45239870.007745452</v>
      </c>
      <c r="F9" s="623">
        <f>'F-CRes'!E14</f>
        <v>226199350.03872722</v>
      </c>
      <c r="G9" s="734">
        <f>SUM(B9:F9)</f>
        <v>271439220.04647267</v>
      </c>
      <c r="H9" s="623">
        <f>'F-CRes'!E11</f>
        <v>646283857.25350642</v>
      </c>
      <c r="I9" s="734">
        <f>'F-Cred'!$G26</f>
        <v>2499836.638938</v>
      </c>
      <c r="J9" s="734">
        <f>'F- CFyU'!F27</f>
        <v>25306051.005621508</v>
      </c>
      <c r="K9" s="623">
        <f>'F-IVA'!F19</f>
        <v>0</v>
      </c>
      <c r="L9" s="734">
        <f>SUM(H9:K9)</f>
        <v>674089744.89806592</v>
      </c>
      <c r="M9" s="834">
        <f>L9-G9</f>
        <v>402650524.85159326</v>
      </c>
      <c r="N9" s="833">
        <f>M9+N8</f>
        <v>873388846.92593753</v>
      </c>
      <c r="O9" s="946"/>
    </row>
    <row r="10" spans="1:15">
      <c r="A10" s="649">
        <v>5</v>
      </c>
      <c r="B10" s="623">
        <f>-'E-Inv AF y Am'!G58</f>
        <v>-25778870.5625</v>
      </c>
      <c r="C10" s="623">
        <f>'F- CFyU'!G16-'F- CFyU'!H16</f>
        <v>-257407437.67846549</v>
      </c>
      <c r="D10" s="623">
        <f>'F-IVA'!G17</f>
        <v>0</v>
      </c>
      <c r="E10" s="623">
        <f>'F-CRes'!F12</f>
        <v>37586591.497871108</v>
      </c>
      <c r="F10" s="623">
        <f>'F-CRes'!F14</f>
        <v>187932957.48935553</v>
      </c>
      <c r="G10" s="734">
        <f>SUM(B10:F10)</f>
        <v>-57666759.25373885</v>
      </c>
      <c r="H10" s="623">
        <f>'F-CRes'!F11</f>
        <v>536951307.1124444</v>
      </c>
      <c r="I10" s="734">
        <f>'F-Cred'!$G28</f>
        <v>1516727.9389379998</v>
      </c>
      <c r="J10" s="734">
        <f>'F- CFyU'!G27</f>
        <v>25306051.005621508</v>
      </c>
      <c r="K10" s="623">
        <f>'F-IVA'!G19</f>
        <v>0</v>
      </c>
      <c r="L10" s="734">
        <f>SUM(H10:K10)</f>
        <v>563774086.05700397</v>
      </c>
      <c r="M10" s="834">
        <f>L10-G10</f>
        <v>621440845.31074286</v>
      </c>
      <c r="N10" s="833">
        <f>M10+N9</f>
        <v>1494829692.2366805</v>
      </c>
      <c r="O10" s="946"/>
    </row>
    <row r="11" spans="1:15">
      <c r="A11" s="649" t="s">
        <v>200</v>
      </c>
      <c r="B11" s="623" t="s">
        <v>200</v>
      </c>
      <c r="C11" s="623" t="s">
        <v>200</v>
      </c>
      <c r="D11" s="623" t="s">
        <v>200</v>
      </c>
      <c r="E11" s="623" t="s">
        <v>200</v>
      </c>
      <c r="F11" s="623" t="s">
        <v>200</v>
      </c>
      <c r="G11" s="734" t="s">
        <v>200</v>
      </c>
      <c r="H11" s="623" t="s">
        <v>200</v>
      </c>
      <c r="I11" s="734" t="s">
        <v>200</v>
      </c>
      <c r="J11" s="734" t="s">
        <v>200</v>
      </c>
      <c r="K11" s="623" t="s">
        <v>200</v>
      </c>
      <c r="L11" s="734" t="s">
        <v>200</v>
      </c>
      <c r="M11" s="624" t="s">
        <v>200</v>
      </c>
      <c r="N11" s="625" t="s">
        <v>200</v>
      </c>
    </row>
    <row r="12" spans="1:15">
      <c r="A12" s="650" t="s">
        <v>695</v>
      </c>
      <c r="B12" s="626">
        <f>SUM(B5:B10)</f>
        <v>128463702.13810754</v>
      </c>
      <c r="C12" s="626">
        <f>SUM(C5:C10)</f>
        <v>0</v>
      </c>
      <c r="D12" s="626">
        <f>SUM(D5:D10)</f>
        <v>85124283.040231004</v>
      </c>
      <c r="E12" s="626">
        <f>SUM(E6:E10)</f>
        <v>178105018.43532637</v>
      </c>
      <c r="F12" s="626">
        <f>SUM(F6:F10)</f>
        <v>890525092.17663193</v>
      </c>
      <c r="G12" s="823">
        <f>SUM(G5:G10)</f>
        <v>1282218095.7902966</v>
      </c>
      <c r="H12" s="626">
        <f>SUM(H5:H10)</f>
        <v>2544357406.2189484</v>
      </c>
      <c r="I12" s="823">
        <f>SUM(I5:I10)</f>
        <v>19102396.629689999</v>
      </c>
      <c r="J12" s="823">
        <f>SUM(J5:J10)</f>
        <v>128463702.13810754</v>
      </c>
      <c r="K12" s="626">
        <f>SUM(K5:K10)</f>
        <v>85124283.040231004</v>
      </c>
      <c r="L12" s="823">
        <f>SUM(L5:L10)</f>
        <v>2777047788.0269771</v>
      </c>
      <c r="M12" s="626">
        <f>SUM(M5:M10)</f>
        <v>1494829692.2366805</v>
      </c>
      <c r="N12" s="626">
        <f>SUM(N5:N10)</f>
        <v>2490813829.732749</v>
      </c>
    </row>
    <row r="13" spans="1:1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696</v>
      </c>
      <c r="D14" s="825">
        <f>M12</f>
        <v>1494829692.2366805</v>
      </c>
      <c r="E14" s="158"/>
      <c r="F14" s="158"/>
      <c r="G14" s="158"/>
      <c r="H14" s="822"/>
      <c r="I14" s="158"/>
      <c r="J14" s="158"/>
      <c r="K14" s="158"/>
      <c r="L14" s="158"/>
      <c r="M14" s="158"/>
      <c r="N14" s="158"/>
    </row>
    <row r="15" spans="1:15">
      <c r="A15" s="598"/>
      <c r="B15" s="158"/>
      <c r="C15" s="158" t="s">
        <v>697</v>
      </c>
      <c r="D15" s="729">
        <f>A8-N10/M10</f>
        <v>0.59457444177295482</v>
      </c>
      <c r="E15" s="158" t="s">
        <v>1043</v>
      </c>
      <c r="F15" s="158"/>
      <c r="G15" s="158"/>
      <c r="H15" s="822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1044</v>
      </c>
      <c r="D16" s="832">
        <f>IRR(M5:M10)</f>
        <v>0.91168826272022985</v>
      </c>
      <c r="E16" s="158"/>
      <c r="F16" s="158"/>
      <c r="G16" s="158"/>
      <c r="H16" s="158"/>
      <c r="I16" s="158"/>
      <c r="J16" s="598"/>
      <c r="K16" s="158"/>
      <c r="L16" s="158"/>
      <c r="M16" s="158"/>
      <c r="N16" s="158"/>
    </row>
    <row r="17" spans="1:14">
      <c r="A17" s="158"/>
      <c r="B17" s="158"/>
      <c r="C17" s="158" t="s">
        <v>1045</v>
      </c>
      <c r="D17" s="948">
        <f>NPV(D19,M6:M10)+M5</f>
        <v>372954659.57463592</v>
      </c>
      <c r="F17" s="158" t="s">
        <v>1045</v>
      </c>
      <c r="G17" s="158"/>
      <c r="H17" s="158"/>
      <c r="I17" s="158"/>
      <c r="J17" s="730"/>
      <c r="K17" s="158"/>
      <c r="L17" s="158"/>
      <c r="M17" s="158"/>
      <c r="N17" s="158"/>
    </row>
    <row r="18" spans="1:14">
      <c r="A18" s="158"/>
      <c r="B18" s="158"/>
      <c r="D18" s="729" t="s">
        <v>200</v>
      </c>
      <c r="E18" s="158"/>
      <c r="F18" s="158"/>
      <c r="G18" s="158"/>
      <c r="H18" s="158"/>
      <c r="I18" s="158"/>
      <c r="J18" s="730"/>
      <c r="K18" s="158"/>
      <c r="L18" s="158"/>
      <c r="M18" s="158"/>
      <c r="N18" s="158"/>
    </row>
    <row r="19" spans="1:14" ht="15.75">
      <c r="A19" s="731"/>
      <c r="B19" s="158"/>
      <c r="C19" s="158" t="s">
        <v>1046</v>
      </c>
      <c r="D19" s="947">
        <v>0.35</v>
      </c>
      <c r="E19" s="158"/>
      <c r="F19" s="158"/>
      <c r="G19" s="158"/>
      <c r="H19" s="158"/>
      <c r="I19" s="158"/>
      <c r="J19" s="730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30"/>
      <c r="K20" s="158"/>
      <c r="L20" s="158"/>
      <c r="M20" s="158"/>
      <c r="N20" s="158"/>
    </row>
    <row r="21" spans="1:14">
      <c r="A21" s="59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11" t="s">
        <v>1047</v>
      </c>
      <c r="B22" s="612"/>
      <c r="C22" s="612"/>
      <c r="D22" s="613" t="s">
        <v>200</v>
      </c>
      <c r="E22" s="613" t="s">
        <v>200</v>
      </c>
      <c r="F22" s="613" t="s">
        <v>200</v>
      </c>
      <c r="G22" s="613" t="s">
        <v>200</v>
      </c>
      <c r="H22" s="595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602" t="s">
        <v>684</v>
      </c>
      <c r="B23" s="646" t="s">
        <v>1048</v>
      </c>
      <c r="C23" s="646" t="s">
        <v>689</v>
      </c>
      <c r="D23" s="646" t="s">
        <v>1000</v>
      </c>
      <c r="E23" s="646" t="s">
        <v>1049</v>
      </c>
      <c r="F23" s="646" t="s">
        <v>692</v>
      </c>
      <c r="G23" s="727" t="s">
        <v>693</v>
      </c>
      <c r="H23" s="728" t="s">
        <v>694</v>
      </c>
      <c r="I23" s="158"/>
      <c r="J23" s="158"/>
      <c r="K23" s="1082" t="s">
        <v>699</v>
      </c>
      <c r="L23" s="1083"/>
      <c r="M23" s="158"/>
      <c r="N23" s="158"/>
    </row>
    <row r="24" spans="1:14">
      <c r="A24" s="647">
        <v>0</v>
      </c>
      <c r="B24" s="623">
        <f>'F-2 Estructura'!B31</f>
        <v>111004825.70362911</v>
      </c>
      <c r="C24" s="623">
        <f>B24</f>
        <v>111004825.70362911</v>
      </c>
      <c r="D24" s="623" t="str">
        <f>'F- CFyU'!B21</f>
        <v xml:space="preserve"> $                   -  </v>
      </c>
      <c r="E24" s="623" t="s">
        <v>200</v>
      </c>
      <c r="F24" s="623">
        <f>SUM(D24:E24)</f>
        <v>0</v>
      </c>
      <c r="G24" s="624">
        <f>F24-C24</f>
        <v>-111004825.70362911</v>
      </c>
      <c r="H24" s="625">
        <f>G24</f>
        <v>-111004825.70362911</v>
      </c>
      <c r="I24" s="158"/>
      <c r="J24" s="158"/>
      <c r="K24" s="1082" t="s">
        <v>700</v>
      </c>
      <c r="L24" s="1083"/>
      <c r="M24" s="158"/>
      <c r="N24" s="158"/>
    </row>
    <row r="25" spans="1:14">
      <c r="A25" s="649">
        <v>1</v>
      </c>
      <c r="B25" s="623">
        <f>'F-2 Estructura'!C31</f>
        <v>299745873.96889424</v>
      </c>
      <c r="C25" s="623">
        <f>B25</f>
        <v>299745873.96889424</v>
      </c>
      <c r="D25" s="623" t="str">
        <f>'F- CFyU'!C21</f>
        <v xml:space="preserve"> $                   -  </v>
      </c>
      <c r="E25" s="623">
        <f>'F- CFyU'!C30</f>
        <v>116007502.58729477</v>
      </c>
      <c r="F25" s="623">
        <f>SUM(D25:E25)</f>
        <v>116007502.58729477</v>
      </c>
      <c r="G25" s="624">
        <f>F25-C25</f>
        <v>-183738371.38159949</v>
      </c>
      <c r="H25" s="625">
        <f>G25+H24</f>
        <v>-294743197.08522856</v>
      </c>
      <c r="I25" s="158"/>
      <c r="J25" s="158"/>
      <c r="K25" s="835" t="s">
        <v>295</v>
      </c>
      <c r="L25" s="836" t="str">
        <f>IF(B12=J12,"OK","MAL")</f>
        <v>OK</v>
      </c>
      <c r="M25" s="158"/>
      <c r="N25" s="158"/>
    </row>
    <row r="26" spans="1:14">
      <c r="A26" s="649">
        <v>2</v>
      </c>
      <c r="B26" s="623">
        <v>0</v>
      </c>
      <c r="C26" s="623">
        <f>B26</f>
        <v>0</v>
      </c>
      <c r="D26" s="623" t="str">
        <f>'F- CFyU'!D21</f>
        <v xml:space="preserve"> $                   -  </v>
      </c>
      <c r="E26" s="623">
        <f>'F- CFyU'!D30</f>
        <v>356868753.25049186</v>
      </c>
      <c r="F26" s="623">
        <f>SUM(D26:E26)</f>
        <v>356868753.25049186</v>
      </c>
      <c r="G26" s="624">
        <f>F26-C26</f>
        <v>356868753.25049186</v>
      </c>
      <c r="H26" s="625">
        <f>G26+H25</f>
        <v>62125556.165263295</v>
      </c>
      <c r="I26" s="158"/>
      <c r="J26" s="158"/>
      <c r="K26" s="835" t="s">
        <v>701</v>
      </c>
      <c r="L26" s="836" t="str">
        <f>IF(D12=K12,"OK","MAL")</f>
        <v>OK</v>
      </c>
      <c r="M26" s="158"/>
      <c r="N26" s="158"/>
    </row>
    <row r="27" spans="1:14">
      <c r="A27" s="649">
        <v>3</v>
      </c>
      <c r="B27" s="623">
        <v>0</v>
      </c>
      <c r="C27" s="623">
        <f>B27</f>
        <v>0</v>
      </c>
      <c r="D27" s="623" t="str">
        <f>'F- CFyU'!E21</f>
        <v xml:space="preserve"> $                   -  </v>
      </c>
      <c r="E27" s="623">
        <f>'F- CFyU'!E30</f>
        <v>398258929.94598323</v>
      </c>
      <c r="F27" s="623">
        <f>SUM(D27:E27)</f>
        <v>398258929.94598323</v>
      </c>
      <c r="G27" s="624">
        <f>F27-C27</f>
        <v>398258929.94598323</v>
      </c>
      <c r="H27" s="625">
        <f>G27+H26</f>
        <v>460384486.11124653</v>
      </c>
      <c r="I27" s="158"/>
      <c r="J27" s="158"/>
      <c r="K27" s="835" t="s">
        <v>702</v>
      </c>
      <c r="L27" s="836" t="str">
        <f>IF(C12=0,"OK","MAL")</f>
        <v>OK</v>
      </c>
      <c r="M27" s="158"/>
      <c r="N27" s="158"/>
    </row>
    <row r="28" spans="1:14">
      <c r="A28" s="649">
        <v>4</v>
      </c>
      <c r="B28" s="623">
        <v>0</v>
      </c>
      <c r="C28" s="623">
        <f>B28</f>
        <v>0</v>
      </c>
      <c r="D28" s="623">
        <f>'F- CFyU'!F2</f>
        <v>0</v>
      </c>
      <c r="E28" s="623">
        <f>'F- CFyU'!F30</f>
        <v>398184470.81265473</v>
      </c>
      <c r="F28" s="623">
        <f>SUM(D28:E28)</f>
        <v>398184470.81265473</v>
      </c>
      <c r="G28" s="624">
        <f>F28-C28</f>
        <v>398184470.81265473</v>
      </c>
      <c r="H28" s="625">
        <f>G28+H27</f>
        <v>858568956.92390132</v>
      </c>
      <c r="I28" s="158"/>
      <c r="J28" s="158"/>
      <c r="K28" s="835" t="s">
        <v>703</v>
      </c>
      <c r="L28" s="836" t="str">
        <f>IF((H12-F12-E12+I12)=M12,IF(M12=N10,"OK","MAL"),"MAL")</f>
        <v>OK</v>
      </c>
      <c r="M28" s="158"/>
      <c r="N28" s="158"/>
    </row>
    <row r="29" spans="1:14">
      <c r="A29" s="649">
        <v>5</v>
      </c>
      <c r="B29" s="623">
        <f>B10+C10+'F-Cred'!D6</f>
        <v>-282386746.95224881</v>
      </c>
      <c r="C29" s="623">
        <f>B29</f>
        <v>-282386746.95224881</v>
      </c>
      <c r="D29" s="623" t="str">
        <f>'F- CFyU'!G21</f>
        <v xml:space="preserve"> $                   -  </v>
      </c>
      <c r="E29" s="623">
        <f>'F- CFyU'!G30</f>
        <v>334771591.73083901</v>
      </c>
      <c r="F29" s="623">
        <f>SUM(D29:E29)</f>
        <v>334771591.73083901</v>
      </c>
      <c r="G29" s="624">
        <f>F29-C29</f>
        <v>617158338.68308783</v>
      </c>
      <c r="H29" s="625">
        <f>G29+H28</f>
        <v>1475727295.6069891</v>
      </c>
      <c r="I29" s="158"/>
      <c r="J29" s="158"/>
      <c r="K29" s="1082" t="s">
        <v>1050</v>
      </c>
      <c r="L29" s="1083"/>
      <c r="M29" s="158"/>
      <c r="N29" s="158"/>
    </row>
    <row r="30" spans="1:14">
      <c r="A30" s="649" t="s">
        <v>200</v>
      </c>
      <c r="B30" s="623" t="s">
        <v>200</v>
      </c>
      <c r="C30" s="623" t="s">
        <v>200</v>
      </c>
      <c r="D30" s="623" t="s">
        <v>200</v>
      </c>
      <c r="E30" s="623" t="s">
        <v>200</v>
      </c>
      <c r="F30" s="623" t="s">
        <v>200</v>
      </c>
      <c r="G30" s="624" t="s">
        <v>200</v>
      </c>
      <c r="H30" s="625" t="s">
        <v>200</v>
      </c>
      <c r="I30" s="158"/>
      <c r="J30" s="158"/>
      <c r="K30" s="835" t="s">
        <v>1051</v>
      </c>
      <c r="L30" s="836" t="str">
        <f>IF((H12-E12-F12)=G31,"OK","MAL")</f>
        <v>OK</v>
      </c>
      <c r="M30" s="158"/>
      <c r="N30" s="158"/>
    </row>
    <row r="31" spans="1:14" ht="15">
      <c r="A31" s="650" t="s">
        <v>695</v>
      </c>
      <c r="B31" s="626">
        <f>SUM(B24:B29)</f>
        <v>128363952.72027457</v>
      </c>
      <c r="C31" s="626">
        <f>SUM(C24:C29)</f>
        <v>128363952.72027457</v>
      </c>
      <c r="D31" s="626">
        <f>SUM(D24:D29)</f>
        <v>0</v>
      </c>
      <c r="E31" s="626">
        <f>SUM(E24:E29)</f>
        <v>1604091248.3272636</v>
      </c>
      <c r="F31" s="626">
        <f>SUM(F24:F29)</f>
        <v>1604091248.3272636</v>
      </c>
      <c r="G31" s="626">
        <f>SUM(G24:G29)</f>
        <v>1475727295.6069891</v>
      </c>
      <c r="H31" s="626">
        <f>SUM(H24:H29)</f>
        <v>2451058272.0185423</v>
      </c>
      <c r="I31" s="158"/>
      <c r="J31" s="158"/>
      <c r="K31" s="835" t="s">
        <v>1052</v>
      </c>
      <c r="L31" s="836" t="str">
        <f>IF(('F- CFyU'!H30-'F- CFyU'!H7-'F- CFyU'!H8+'F- CFyU'!H15-'F- CFyU'!H27+'F- CFyU'!H16)='F- Form'!G31,"OK","MAL")</f>
        <v>OK</v>
      </c>
      <c r="M31" s="661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5" t="s">
        <v>1053</v>
      </c>
      <c r="L32" s="836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22"/>
      <c r="H33" s="945"/>
      <c r="I33" s="945"/>
      <c r="J33" s="158"/>
      <c r="K33" s="835" t="s">
        <v>1054</v>
      </c>
      <c r="L33" s="836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696</v>
      </c>
      <c r="D34" s="825">
        <f>H12-F12-E12</f>
        <v>1475727295.6069901</v>
      </c>
      <c r="E34" s="158" t="s">
        <v>1055</v>
      </c>
      <c r="F34" s="158"/>
      <c r="G34" s="158"/>
      <c r="H34" s="945"/>
      <c r="I34" s="944"/>
      <c r="J34" s="158"/>
      <c r="K34" s="835" t="s">
        <v>1056</v>
      </c>
      <c r="L34" s="836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697</v>
      </c>
      <c r="D35" s="729">
        <f>A27-H29/G29</f>
        <v>0.60883519980311185</v>
      </c>
      <c r="E35" s="158" t="s">
        <v>1057</v>
      </c>
      <c r="F35" s="732"/>
      <c r="G35" s="158"/>
      <c r="H35" s="944"/>
      <c r="I35" s="944"/>
      <c r="J35" s="158"/>
      <c r="K35" s="1082" t="s">
        <v>1058</v>
      </c>
      <c r="L35" s="1083"/>
      <c r="M35" s="158"/>
      <c r="N35" s="158"/>
    </row>
    <row r="36" spans="1:14" ht="15">
      <c r="A36" s="158"/>
      <c r="B36" s="158"/>
      <c r="C36" s="158" t="s">
        <v>1059</v>
      </c>
      <c r="D36" s="832">
        <f>IRR(G24:G29)</f>
        <v>0.91743510839644027</v>
      </c>
      <c r="E36" s="158"/>
      <c r="F36" s="158"/>
      <c r="G36" s="158"/>
      <c r="H36" s="944"/>
      <c r="I36" s="944"/>
      <c r="J36" s="158"/>
      <c r="K36" s="835" t="s">
        <v>1060</v>
      </c>
      <c r="L36" s="836" t="str">
        <f>IF(SUM('F-Balance'!B35:G35)=SUM('F-Balance'!B24:G24),"OK","MAL")</f>
        <v>OK</v>
      </c>
      <c r="M36" s="158"/>
      <c r="N36" s="158"/>
    </row>
    <row r="37" spans="1:14" ht="15">
      <c r="C37" t="s">
        <v>1045</v>
      </c>
      <c r="D37" s="817">
        <f>NPV(D38,G25:G29)+G24</f>
        <v>368089970.06897736</v>
      </c>
      <c r="H37" s="944"/>
      <c r="I37" s="944"/>
      <c r="K37" s="732"/>
      <c r="L37" s="732"/>
    </row>
    <row r="38" spans="1:14" ht="15">
      <c r="C38" t="s">
        <v>1046</v>
      </c>
      <c r="D38" s="226">
        <v>0.35</v>
      </c>
      <c r="H38" s="944"/>
      <c r="I38" s="944"/>
      <c r="K38" s="732"/>
      <c r="L38" s="732"/>
    </row>
    <row r="40" spans="1:14" ht="15">
      <c r="L40" s="837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5.9">
      <c r="A1" s="111" t="s">
        <v>1061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45">
      <c r="A2" s="112" t="s">
        <v>1062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14.45">
      <c r="D3" s="112"/>
      <c r="E3" s="112"/>
      <c r="F3" s="112"/>
      <c r="G3" s="112"/>
      <c r="H3" s="112"/>
      <c r="I3" s="112" t="s">
        <v>1063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4.45">
      <c r="A4" s="113" t="s">
        <v>1064</v>
      </c>
      <c r="B4" s="114">
        <v>0.37</v>
      </c>
      <c r="C4" s="112" t="s">
        <v>1065</v>
      </c>
      <c r="D4" s="112"/>
      <c r="E4" s="112"/>
      <c r="F4" s="112"/>
      <c r="G4" s="112"/>
      <c r="H4" s="112"/>
      <c r="I4" s="112" t="s">
        <v>1066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4.45">
      <c r="A5" s="113" t="s">
        <v>1067</v>
      </c>
      <c r="B5" s="115"/>
      <c r="C5" s="116" t="s">
        <v>1068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">
      <c r="A7" s="117" t="s">
        <v>1069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 ht="14.45">
      <c r="A8" s="112" t="s">
        <v>1070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 ht="14.4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 ht="14.45">
      <c r="A10" s="120" t="s">
        <v>1071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 ht="14.45">
      <c r="A11" s="112" t="s">
        <v>1072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14.4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 ht="14.45">
      <c r="A13" s="121"/>
      <c r="B13" s="122" t="s">
        <v>1073</v>
      </c>
      <c r="C13" s="122" t="s">
        <v>1074</v>
      </c>
      <c r="D13" s="122" t="s">
        <v>1075</v>
      </c>
      <c r="E13" s="112"/>
      <c r="F13" s="112"/>
      <c r="G13" s="112"/>
      <c r="H13" s="112"/>
      <c r="I13" s="122" t="s">
        <v>1073</v>
      </c>
      <c r="J13" s="122" t="s">
        <v>1074</v>
      </c>
      <c r="K13" s="122" t="s">
        <v>1075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 ht="14.45">
      <c r="A14" s="123" t="s">
        <v>698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 ht="14.45">
      <c r="A15" s="123" t="s">
        <v>1076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1077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4.45">
      <c r="A16" s="123" t="s">
        <v>1078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1079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14.45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ht="14.4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4.45">
      <c r="A19" s="120" t="s">
        <v>1080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ht="14.45">
      <c r="A20" s="112" t="s">
        <v>1081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14.45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4.45">
      <c r="A22" s="121"/>
      <c r="B22" s="122" t="s">
        <v>1082</v>
      </c>
      <c r="C22" s="122" t="s">
        <v>1074</v>
      </c>
      <c r="D22" s="122" t="s">
        <v>1083</v>
      </c>
      <c r="E22" s="112"/>
      <c r="F22" s="112"/>
      <c r="G22" s="112"/>
      <c r="H22" s="112"/>
      <c r="I22" s="122" t="s">
        <v>1082</v>
      </c>
      <c r="J22" s="122" t="s">
        <v>1074</v>
      </c>
      <c r="K22" s="122" t="s">
        <v>1083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4.45">
      <c r="A23" s="123" t="s">
        <v>698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14.45">
      <c r="A24" s="123" t="s">
        <v>1076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1084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14.45">
      <c r="A25" s="123" t="s">
        <v>1078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14.45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4.45">
      <c r="A27" s="129" t="s">
        <v>1085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14.4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14.45">
      <c r="A29" s="129" t="s">
        <v>1086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 ht="14.45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">
      <c r="A31" s="117" t="s">
        <v>1087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ht="14.45">
      <c r="A32" s="112" t="s">
        <v>1088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ht="14.45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ht="14.45">
      <c r="A34" s="130"/>
      <c r="B34" s="131" t="s">
        <v>698</v>
      </c>
      <c r="C34" s="131" t="s">
        <v>1076</v>
      </c>
      <c r="D34" s="131" t="s">
        <v>1078</v>
      </c>
      <c r="E34" s="112"/>
      <c r="H34" s="1052" t="s">
        <v>1089</v>
      </c>
      <c r="I34" s="1075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1090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52" t="s">
        <v>1091</v>
      </c>
      <c r="I35" s="1075"/>
      <c r="J35" s="132">
        <v>100.25</v>
      </c>
      <c r="K35" s="133" t="s">
        <v>1092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28.9">
      <c r="A36" s="134" t="s">
        <v>1093</v>
      </c>
      <c r="B36" s="124"/>
      <c r="C36" s="124"/>
      <c r="D36" s="124"/>
      <c r="E36" s="112"/>
      <c r="H36" s="1052" t="s">
        <v>1094</v>
      </c>
      <c r="I36" s="1075"/>
      <c r="J36" s="137">
        <v>185</v>
      </c>
      <c r="K36" s="133" t="s">
        <v>1095</v>
      </c>
      <c r="L36" s="112" t="s">
        <v>1096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ht="14.45">
      <c r="A37" s="120"/>
      <c r="B37" s="112"/>
      <c r="C37" s="112"/>
      <c r="D37" s="112"/>
      <c r="E37" s="112"/>
      <c r="H37" s="1052" t="s">
        <v>1097</v>
      </c>
      <c r="I37" s="1075"/>
      <c r="J37" s="137">
        <v>300</v>
      </c>
      <c r="K37" s="133" t="s">
        <v>1095</v>
      </c>
      <c r="L37" s="112" t="s">
        <v>1098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ht="14.45">
      <c r="A38" s="120"/>
      <c r="B38" s="112"/>
      <c r="C38" s="112"/>
      <c r="D38" s="112"/>
      <c r="E38" s="112"/>
      <c r="H38" s="1052" t="s">
        <v>1099</v>
      </c>
      <c r="I38" s="1075"/>
      <c r="J38" s="138">
        <f>AVERAGE(5,6.003,3.39)</f>
        <v>4.7976666666666672</v>
      </c>
      <c r="K38" s="133" t="s">
        <v>1095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ht="14.45">
      <c r="A39" s="112"/>
      <c r="B39" s="112"/>
      <c r="C39" s="112"/>
      <c r="D39" s="112"/>
      <c r="E39" s="112"/>
      <c r="F39" s="112"/>
      <c r="G39" s="112"/>
      <c r="H39" s="1052" t="s">
        <v>1100</v>
      </c>
      <c r="I39" s="1075"/>
      <c r="J39" s="139">
        <f>AVERAGE(5,6.003,3.39)*0.38</f>
        <v>1.8231133333333336</v>
      </c>
      <c r="K39" s="133" t="s">
        <v>1095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ht="14.45">
      <c r="A40" s="140" t="s">
        <v>1101</v>
      </c>
      <c r="B40" s="112"/>
      <c r="C40" s="112"/>
      <c r="D40" s="112"/>
      <c r="E40" s="112"/>
      <c r="F40" s="112"/>
      <c r="G40" s="112"/>
      <c r="H40" s="1052" t="s">
        <v>1102</v>
      </c>
      <c r="I40" s="1075"/>
      <c r="J40" s="139">
        <f>AVERAGE(5,6.003,3.39)*0.62</f>
        <v>2.9745533333333336</v>
      </c>
      <c r="K40" s="133" t="s">
        <v>1095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ht="14.4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ht="14.45">
      <c r="A42" s="129" t="s">
        <v>1103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ht="14.4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">
      <c r="A44" s="117" t="s">
        <v>1104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ht="14.45">
      <c r="A45" s="112" t="s">
        <v>1105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ht="14.45">
      <c r="A46" s="112" t="s">
        <v>1106</v>
      </c>
      <c r="B46" s="112"/>
      <c r="C46" s="112"/>
      <c r="D46" s="112"/>
      <c r="E46" s="112"/>
      <c r="F46" s="112"/>
      <c r="G46" s="112"/>
      <c r="H46" s="112"/>
      <c r="I46" s="122" t="s">
        <v>1107</v>
      </c>
      <c r="J46" s="122" t="s">
        <v>1108</v>
      </c>
      <c r="K46" s="122" t="s">
        <v>1109</v>
      </c>
      <c r="L46" s="122" t="s">
        <v>1110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ht="14.45">
      <c r="A47" s="112"/>
      <c r="B47" s="112" t="s">
        <v>1111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1112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ht="14.45">
      <c r="A48" s="112"/>
      <c r="B48" s="112" t="s">
        <v>1113</v>
      </c>
      <c r="C48" s="112"/>
      <c r="D48" s="112"/>
      <c r="E48" s="112"/>
      <c r="F48" s="112"/>
      <c r="G48" s="112"/>
      <c r="H48" s="141" t="s">
        <v>1114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1115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ht="14.45">
      <c r="A49" s="112"/>
      <c r="B49" s="112" t="s">
        <v>1116</v>
      </c>
      <c r="C49" s="112"/>
      <c r="D49" s="112"/>
      <c r="E49" s="112"/>
      <c r="F49" s="112"/>
      <c r="G49" s="112"/>
      <c r="H49" s="141" t="s">
        <v>1117</v>
      </c>
      <c r="I49" s="142">
        <v>33238920</v>
      </c>
      <c r="J49" s="142">
        <f>I49*0.5</f>
        <v>16619460</v>
      </c>
      <c r="K49" s="144"/>
      <c r="L49" s="144"/>
      <c r="M49" s="112" t="s">
        <v>1118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ht="14.45">
      <c r="A50" s="112"/>
      <c r="B50" s="112" t="s">
        <v>1119</v>
      </c>
      <c r="C50" s="112"/>
      <c r="D50" s="112"/>
      <c r="E50" s="112"/>
      <c r="F50" s="112"/>
      <c r="G50" s="112"/>
      <c r="H50" s="141" t="s">
        <v>609</v>
      </c>
      <c r="I50" s="143">
        <v>30</v>
      </c>
      <c r="J50" s="143">
        <f>I50*2</f>
        <v>60</v>
      </c>
      <c r="K50" s="144"/>
      <c r="L50" s="144"/>
      <c r="M50" s="112" t="s">
        <v>1120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ht="14.45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ht="14.45">
      <c r="A52" s="112"/>
      <c r="B52" s="131" t="s">
        <v>698</v>
      </c>
      <c r="C52" s="131" t="s">
        <v>1076</v>
      </c>
      <c r="D52" s="131" t="s">
        <v>1078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ht="14.45">
      <c r="A53" s="134" t="s">
        <v>1074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ht="14.45">
      <c r="A54" s="134" t="s">
        <v>1121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ht="14.4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ht="14.4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ht="14.45">
      <c r="A57" s="129" t="s">
        <v>1122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ht="14.4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ht="14.4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ht="14.4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ht="14.4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14.4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ht="14.4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ht="14.4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ht="14.4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ht="14.4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ht="14.4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ht="14.4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ht="14.4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ht="14.4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ht="14.4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ht="14.4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ht="14.4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ht="14.4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ht="14.4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ht="14.4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ht="14.4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ht="14.4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ht="14.4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ht="14.4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14.4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14.4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 ht="14.4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 ht="14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 ht="14.4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 ht="14.4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 ht="14.4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 ht="14.4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 ht="14.4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 ht="14.4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 ht="14.4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 ht="14.4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 ht="14.4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 ht="14.4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 ht="14.4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 ht="14.4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 ht="14.4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 ht="14.4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 ht="14.4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 ht="14.4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 ht="14.4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 ht="14.4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 ht="14.4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 ht="14.4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 ht="14.4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 ht="14.4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 ht="14.4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 ht="14.4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 ht="14.4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 ht="14.4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 ht="14.4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 ht="14.4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 ht="14.4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 ht="14.4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 ht="14.4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 ht="14.4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 ht="14.4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 ht="14.4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 ht="14.4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 ht="14.4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 ht="14.4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 ht="14.4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 ht="14.4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 ht="14.4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 ht="14.4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 ht="14.4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 ht="14.4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 ht="14.4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 ht="14.4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 ht="14.4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 ht="14.4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 ht="14.4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 ht="14.4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 ht="14.4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 ht="14.4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 ht="14.4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 ht="14.4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 ht="14.4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 ht="14.4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 ht="14.4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 ht="14.4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 ht="14.4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 ht="14.4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 ht="14.4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 ht="14.4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 ht="14.4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 ht="14.4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 ht="14.4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 ht="14.4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 ht="14.4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 ht="14.4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 ht="14.4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 ht="14.4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 ht="14.4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 ht="14.4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 ht="14.4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 ht="14.4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 ht="14.4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 ht="14.4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 ht="14.4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 ht="14.4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 ht="14.4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 ht="14.4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 ht="14.4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 ht="14.4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 ht="14.4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 ht="14.4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 ht="14.4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 ht="14.4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 ht="14.4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 ht="14.4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 ht="14.4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 ht="14.4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 ht="14.4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 ht="14.4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 ht="14.4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 ht="14.4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 ht="14.4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 ht="14.4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 ht="14.4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 ht="14.4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 ht="14.4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 ht="14.4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 ht="14.4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 ht="14.4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 ht="14.4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 ht="14.4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 ht="14.4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 ht="14.4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 ht="14.4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 ht="14.4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 ht="14.4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 ht="14.4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 ht="14.4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 ht="14.4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 ht="14.4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 ht="14.4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 ht="14.4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 ht="14.4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 ht="14.4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 ht="14.4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 ht="14.4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 ht="14.4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 ht="14.4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 ht="14.4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 ht="14.4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 ht="14.4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 ht="14.4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 ht="14.4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 ht="14.4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 ht="14.4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 ht="14.4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 ht="14.4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 ht="14.4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 ht="14.4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 ht="14.4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 ht="14.4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 ht="14.4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 ht="14.4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 ht="14.4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 ht="14.4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 ht="14.4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 ht="14.4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 ht="14.4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 ht="14.4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 ht="14.4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 ht="14.4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 ht="14.4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 ht="14.4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 ht="14.4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 ht="14.4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 ht="14.4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 ht="14.4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 ht="14.4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 ht="14.4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 ht="14.4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 ht="14.4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 ht="14.4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 ht="14.4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 ht="14.4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 ht="14.4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 ht="14.4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 ht="14.4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 ht="14.4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 ht="14.4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 ht="14.4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 ht="14.4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 ht="14.4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 ht="14.4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 ht="14.4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 ht="14.4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 ht="14.4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 ht="14.4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 ht="14.4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 ht="14.4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 ht="14.4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 ht="14.4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 ht="14.4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 ht="14.4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 ht="14.4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 ht="14.4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 ht="14.4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 ht="14.4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 ht="14.4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 ht="14.4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 ht="14.4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 ht="14.4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 ht="14.4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 ht="14.4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 ht="14.4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 ht="14.4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 ht="14.4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 ht="14.4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 ht="14.4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 ht="14.4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 ht="14.4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 ht="14.4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 ht="14.4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 ht="14.4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 ht="14.4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 ht="14.4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 ht="14.4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 ht="14.4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 ht="14.4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 ht="14.4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 ht="14.4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 ht="14.4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 ht="14.4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 ht="14.4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 ht="14.4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 ht="14.4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 ht="14.4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 ht="14.4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 ht="14.4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 ht="14.4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 ht="14.4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 ht="14.4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 ht="14.4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 ht="14.4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 ht="14.4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 ht="14.4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 ht="14.4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 ht="14.4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 ht="14.4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 ht="14.4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 ht="14.4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 ht="14.4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 ht="14.4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 ht="14.4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 ht="14.4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 ht="14.4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 ht="14.4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 ht="14.4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 ht="14.4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 ht="14.4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 ht="14.4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 ht="14.4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 ht="14.4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 ht="14.4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 ht="14.4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 ht="14.4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 ht="14.4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 ht="14.4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 ht="14.4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 ht="14.4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 ht="14.4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 ht="14.4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 ht="14.4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 ht="14.4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 ht="14.4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 ht="14.4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 ht="14.4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 ht="14.4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 ht="14.4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 ht="14.4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 ht="14.4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 ht="14.4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 ht="14.4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 ht="14.4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 ht="14.4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 ht="14.4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 ht="14.4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 ht="14.4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 ht="14.4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 ht="14.4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 ht="14.4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 ht="14.4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 ht="14.4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 ht="14.4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 ht="14.4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 ht="14.4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 ht="14.4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 ht="14.4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 ht="14.4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 ht="14.4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 ht="14.4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 ht="14.4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 ht="14.4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 ht="14.4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 ht="14.4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 ht="14.4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 ht="14.4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 ht="14.4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 ht="14.4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 ht="14.45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 ht="14.45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 ht="14.45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 ht="14.45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 ht="14.45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 ht="14.45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 ht="14.45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 ht="14.45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 ht="14.45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 ht="14.45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 ht="14.45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 ht="14.45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 ht="14.45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 ht="14.45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 ht="14.45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 ht="14.45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 ht="14.45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 ht="14.45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 ht="14.45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 ht="14.45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 ht="14.45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 ht="14.45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 ht="14.45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 ht="14.45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 ht="14.45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 ht="14.45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 ht="14.45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 ht="14.45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 ht="14.45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 ht="14.45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 ht="14.45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 ht="14.45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 ht="14.45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 ht="14.45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 ht="14.45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 ht="14.45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 ht="14.45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 ht="14.45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 ht="14.45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 ht="14.45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 ht="14.45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 ht="14.45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 ht="14.45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 ht="14.45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 ht="14.45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 ht="14.45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 ht="14.45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 ht="14.45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 ht="14.45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 ht="14.45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 ht="14.45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 ht="14.45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 ht="14.45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 ht="14.45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 ht="14.45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 ht="14.45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 ht="14.45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 ht="14.45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 ht="14.45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 ht="14.45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 ht="14.45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 ht="14.45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 ht="14.45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 ht="14.45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 ht="14.45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 ht="14.45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 ht="14.45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 ht="14.45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 ht="14.45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 ht="14.45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 ht="14.45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 ht="14.45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 ht="14.45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 ht="14.45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 ht="14.45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 ht="14.45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 ht="14.45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 ht="14.45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 ht="14.45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 ht="14.45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 ht="14.45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 ht="14.45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 ht="14.45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 ht="14.45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 ht="14.45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 ht="14.45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 ht="14.45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 ht="14.45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 ht="14.45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 ht="14.45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 ht="14.45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 ht="14.45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 ht="14.45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 ht="14.45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 ht="14.45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 ht="14.45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 ht="14.45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 ht="14.45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 ht="14.45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 ht="14.45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 ht="14.45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 ht="14.45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 ht="14.45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 ht="14.45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 ht="14.45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 ht="14.45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 ht="14.45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 ht="14.45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 ht="14.45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 ht="14.45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 ht="14.45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 ht="14.45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 ht="14.45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 ht="14.45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 ht="14.45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 ht="14.45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 ht="14.45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 ht="14.45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 ht="14.45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 ht="14.45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 ht="14.45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 ht="14.45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 ht="14.45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 ht="14.45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 ht="14.45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 ht="14.45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 ht="14.45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 ht="14.45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 ht="14.45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 ht="14.45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 ht="14.45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 ht="14.45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 ht="14.45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 ht="14.45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 ht="14.45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 ht="14.45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 ht="14.45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 ht="14.45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 ht="14.45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 ht="14.45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 ht="14.45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 ht="14.45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 ht="14.45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 ht="14.45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 ht="14.45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 ht="14.45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 ht="14.45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 ht="14.45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 ht="14.45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 ht="14.45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 ht="14.45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 ht="14.45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 ht="14.45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 ht="14.45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 ht="14.45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 ht="14.45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 ht="14.45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 ht="14.45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 ht="14.45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 ht="14.45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 ht="14.45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 ht="14.45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 ht="14.45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 ht="14.45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 ht="14.45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 ht="14.45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 ht="14.45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 ht="14.45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 ht="14.45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 ht="14.45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 ht="14.45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 ht="14.45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 ht="14.45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 ht="14.45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 ht="14.45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 ht="14.45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 ht="14.45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 ht="14.45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 ht="14.45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 ht="14.45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 ht="14.45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 ht="14.45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 ht="14.45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 ht="14.45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 ht="14.45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 ht="14.45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 ht="14.45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 ht="14.45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 ht="14.45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 ht="14.45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 ht="14.45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 ht="14.45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 ht="14.45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 ht="14.45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 ht="14.45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 ht="14.45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 ht="14.45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 ht="14.45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 ht="14.45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 ht="14.45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 ht="14.45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 ht="14.45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 ht="14.45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 ht="14.45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 ht="14.45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 ht="14.45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 ht="14.45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 ht="14.45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 ht="14.45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 ht="14.45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 ht="14.45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 ht="14.45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 ht="14.45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 ht="14.45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 ht="14.45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 ht="14.45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 ht="14.45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 ht="14.45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 ht="14.45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 ht="14.45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 ht="14.45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 ht="14.45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 ht="14.45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 ht="14.45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 ht="14.45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 ht="14.45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 ht="14.45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 ht="14.45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 ht="14.45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 ht="14.45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 ht="14.45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 ht="14.45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 ht="14.45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 ht="14.45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 ht="14.45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 ht="14.45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 ht="14.45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 ht="14.45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 ht="14.45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 ht="14.45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 ht="14.45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 ht="14.45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 ht="14.45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 ht="14.45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 ht="14.45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 ht="14.45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 ht="14.45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 ht="14.45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 ht="14.45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 ht="14.45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 ht="14.45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 ht="14.45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 ht="14.45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 ht="14.45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 ht="14.45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 ht="14.45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 ht="14.45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 ht="14.45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 ht="14.45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 ht="14.45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 ht="14.45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 ht="14.45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 ht="14.45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 ht="14.45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 ht="14.45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 ht="14.45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 ht="14.45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 ht="14.45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 ht="14.45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 ht="14.45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 ht="14.45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 ht="14.45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 ht="14.45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 ht="14.45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 ht="14.45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 ht="14.45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 ht="14.45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 ht="14.45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 ht="14.45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 ht="14.45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 ht="14.45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 ht="14.45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 ht="14.45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 ht="14.45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 ht="14.45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 ht="14.45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 ht="14.45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 ht="14.45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 ht="14.45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 ht="14.45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 ht="14.45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 ht="14.45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 ht="14.45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 ht="14.45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 ht="14.45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 ht="14.45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 ht="14.45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 ht="14.45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 ht="14.45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 ht="14.45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 ht="14.45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 ht="14.45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 ht="14.45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 ht="14.45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 ht="14.45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 ht="14.45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 ht="14.45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 ht="14.45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 ht="14.45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 ht="14.45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 ht="14.45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 ht="14.45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 ht="14.45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 ht="14.45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 ht="14.45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 ht="14.45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 ht="14.45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 ht="14.45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 ht="14.45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 ht="14.45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 ht="14.45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 ht="14.45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 ht="14.45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 ht="14.45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 ht="14.45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 ht="14.45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 ht="14.45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 ht="14.45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 ht="14.45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 ht="14.45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 ht="14.45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 ht="14.45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 ht="14.45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 ht="14.45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 ht="14.45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 ht="14.45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 ht="14.45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 ht="14.45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 ht="14.45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 ht="14.45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 ht="14.45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 ht="14.45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 ht="14.45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 ht="14.45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 ht="14.45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 ht="14.45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 ht="14.45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 ht="14.45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 ht="14.45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 ht="14.45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 ht="14.45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 ht="14.45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 ht="14.45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 ht="14.45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 ht="14.45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 ht="14.45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 ht="14.45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 ht="14.45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 ht="14.45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 ht="14.45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 ht="14.45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 ht="14.45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 ht="14.45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 ht="14.45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 ht="14.45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 ht="14.45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 ht="14.45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 ht="14.45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 ht="14.45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 ht="14.45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 ht="14.45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 ht="14.45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 ht="14.45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 ht="14.45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 ht="14.45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 ht="14.45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 ht="14.45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 ht="14.45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 ht="14.45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 ht="14.45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 ht="14.45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 ht="14.45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 ht="14.45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 ht="14.45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 ht="14.45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 ht="14.45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 ht="14.45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 ht="14.45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 ht="14.45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 ht="14.45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 ht="14.45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 ht="14.45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 ht="14.45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 ht="14.45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 ht="14.45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 ht="14.45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 ht="14.45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 ht="14.45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 ht="14.45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 ht="14.45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 ht="14.45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 ht="14.45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 ht="14.45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 ht="14.45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 ht="14.45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 ht="14.45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 ht="14.45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 ht="14.45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 ht="14.45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 ht="14.45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 ht="14.45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 ht="14.45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 ht="14.45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 ht="14.45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 ht="14.45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 ht="14.45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 ht="14.45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 ht="14.45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 ht="14.45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 ht="14.45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 ht="14.45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 ht="14.45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 ht="14.45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 ht="14.45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 ht="14.45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 ht="14.45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 ht="14.45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 ht="14.45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 ht="14.45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 ht="14.45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 ht="14.45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 ht="14.45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 ht="14.45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 ht="14.45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 ht="14.45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 ht="14.45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 ht="14.45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 ht="14.45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 ht="14.45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 ht="14.45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 ht="14.45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 ht="14.45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 ht="14.45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 ht="14.45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 ht="14.45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 ht="14.45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 ht="14.45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 ht="14.45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 ht="14.45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 ht="14.45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 ht="14.45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 ht="14.45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 ht="14.45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 ht="14.45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 ht="14.45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 ht="14.45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 ht="14.45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 ht="14.45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 ht="14.45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 ht="14.45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 ht="14.45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 ht="14.45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 ht="14.45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 ht="14.45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 ht="14.45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 ht="14.45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 ht="14.45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 ht="14.45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 ht="14.45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 ht="14.45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 ht="14.45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 ht="14.45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 ht="14.45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 ht="14.45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 ht="14.45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 ht="14.45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 ht="14.45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 ht="14.45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 ht="14.45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 ht="14.45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 ht="14.45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 ht="14.45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 ht="14.45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 ht="14.45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 ht="14.45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 ht="14.45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 ht="14.45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 ht="14.45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 ht="14.45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 ht="14.45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 ht="14.45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 ht="14.45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 ht="14.45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 ht="14.45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 ht="14.45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 ht="14.45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 ht="14.45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 ht="14.45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 ht="14.45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 ht="14.45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 ht="14.45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 ht="14.45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 ht="14.45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 ht="14.45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 ht="14.45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 ht="14.45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 ht="14.45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 ht="14.45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 ht="14.45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 ht="14.45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 ht="14.45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 ht="14.45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 ht="14.45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 ht="14.45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 ht="14.45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 ht="14.45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 ht="14.45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 ht="14.45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 ht="14.45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 ht="14.45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 ht="14.45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 ht="14.45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 ht="14.45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 ht="14.45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 ht="14.45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 ht="14.45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 ht="14.45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 ht="14.45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 ht="14.45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 ht="14.45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 ht="14.45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 ht="14.45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 ht="14.45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 ht="14.45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 ht="14.45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 ht="14.45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 ht="14.45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 ht="14.45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 ht="14.45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 ht="14.45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 ht="14.45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 ht="14.45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 ht="14.45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 ht="14.45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 ht="14.45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 ht="14.45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 ht="14.45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 ht="14.45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 ht="14.45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 ht="14.45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 ht="14.45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 ht="14.45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 ht="14.45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 ht="14.45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 ht="14.45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 ht="14.45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 ht="14.45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 ht="14.45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 ht="14.45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 ht="14.45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 ht="14.45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 ht="14.45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 ht="14.45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 ht="14.45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 ht="14.45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 ht="14.45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 ht="14.45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 ht="14.45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 ht="14.45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 ht="14.45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 ht="14.45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 ht="14.45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 ht="14.45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 ht="14.45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 ht="14.45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 ht="14.45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 ht="14.45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 ht="14.45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 ht="14.45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 ht="14.45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 ht="14.45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 ht="14.45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 ht="14.45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 ht="14.45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 ht="14.45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 ht="14.45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 ht="14.45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 ht="14.45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 ht="14.45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 ht="14.45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 ht="14.45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 ht="14.45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 ht="14.45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 ht="14.45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 ht="14.45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 ht="14.45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 ht="14.45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 ht="14.45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 ht="14.45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 ht="14.45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 ht="14.45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 ht="14.45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 ht="14.45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 ht="14.45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 ht="14.45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 ht="14.45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 ht="14.45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 ht="14.45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 ht="14.45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 ht="14.45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 ht="14.45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 ht="14.45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 ht="14.45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 ht="14.45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 ht="14.45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 ht="14.45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 ht="14.45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 ht="14.45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 ht="14.45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 ht="14.45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 ht="14.45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 ht="14.45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 ht="14.45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 ht="14.45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 ht="14.45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 ht="14.45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 ht="14.45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 ht="14.45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 ht="14.45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 ht="14.45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 ht="14.45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 ht="14.45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 ht="14.45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 ht="14.45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 ht="14.45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 ht="14.45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 ht="14.45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 ht="14.45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 ht="14.45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workbookViewId="0">
      <selection activeCell="M19" sqref="M19"/>
    </sheetView>
  </sheetViews>
  <sheetFormatPr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73" t="s">
        <v>108</v>
      </c>
      <c r="C2" s="974"/>
      <c r="D2" s="974"/>
      <c r="E2" s="974"/>
      <c r="F2" s="975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68" t="s">
        <v>109</v>
      </c>
      <c r="C4" s="969"/>
      <c r="D4" s="969"/>
      <c r="E4" s="969"/>
      <c r="F4" s="970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9">
        <f>770000*InfoInicial!B31</f>
        <v>111650000</v>
      </c>
      <c r="E6" s="559">
        <f>D6*C6</f>
        <v>111650000</v>
      </c>
      <c r="F6" s="287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56" t="s">
        <v>117</v>
      </c>
      <c r="C9" s="971"/>
      <c r="D9" s="971"/>
      <c r="E9" s="971"/>
      <c r="F9" s="972"/>
      <c r="G9" t="s">
        <v>118</v>
      </c>
    </row>
    <row r="10" spans="1:27" ht="12.75" customHeight="1">
      <c r="B10" s="320" t="s">
        <v>119</v>
      </c>
      <c r="C10" s="320" t="s">
        <v>111</v>
      </c>
      <c r="D10" s="320" t="s">
        <v>120</v>
      </c>
      <c r="E10" s="320" t="s">
        <v>121</v>
      </c>
      <c r="F10" s="320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8" t="s">
        <v>123</v>
      </c>
      <c r="C11" s="289">
        <v>6</v>
      </c>
      <c r="D11" s="290">
        <f>21999</f>
        <v>21999</v>
      </c>
      <c r="E11" s="290">
        <f>C11*D11</f>
        <v>131994</v>
      </c>
      <c r="F11" s="574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8" t="s">
        <v>125</v>
      </c>
      <c r="C12" s="289">
        <v>9</v>
      </c>
      <c r="D12" s="290">
        <f>31000</f>
        <v>31000</v>
      </c>
      <c r="E12" s="290">
        <f t="shared" ref="E11:E32" si="0">C12*D12</f>
        <v>279000</v>
      </c>
      <c r="F12" s="287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8" t="s">
        <v>127</v>
      </c>
      <c r="C13" s="289">
        <v>4</v>
      </c>
      <c r="D13" s="290">
        <f>148999</f>
        <v>148999</v>
      </c>
      <c r="E13" s="290">
        <f t="shared" si="0"/>
        <v>595996</v>
      </c>
      <c r="F13" s="291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8" t="s">
        <v>129</v>
      </c>
      <c r="C14" s="289">
        <v>9</v>
      </c>
      <c r="D14" s="290">
        <v>179999</v>
      </c>
      <c r="E14" s="290">
        <f t="shared" si="0"/>
        <v>1619991</v>
      </c>
      <c r="F14" s="287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8" t="s">
        <v>131</v>
      </c>
      <c r="C15" s="289">
        <v>11</v>
      </c>
      <c r="D15" s="290">
        <f>101290</f>
        <v>101290</v>
      </c>
      <c r="E15" s="290">
        <f t="shared" si="0"/>
        <v>1114190</v>
      </c>
      <c r="F15" s="574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8" t="s">
        <v>133</v>
      </c>
      <c r="C16" s="289">
        <v>3</v>
      </c>
      <c r="D16" s="290">
        <v>35800</v>
      </c>
      <c r="E16" s="290">
        <f t="shared" si="0"/>
        <v>107400</v>
      </c>
      <c r="F16" s="291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8" t="s">
        <v>135</v>
      </c>
      <c r="C17" s="289">
        <v>8</v>
      </c>
      <c r="D17" s="290">
        <v>49000</v>
      </c>
      <c r="E17" s="290">
        <f t="shared" si="0"/>
        <v>392000</v>
      </c>
      <c r="F17" s="291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8" t="s">
        <v>137</v>
      </c>
      <c r="C18" s="289">
        <v>1</v>
      </c>
      <c r="D18" s="290">
        <v>24499</v>
      </c>
      <c r="E18" s="290">
        <f t="shared" si="0"/>
        <v>24499</v>
      </c>
      <c r="F18" s="291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8" t="s">
        <v>139</v>
      </c>
      <c r="C19" s="289">
        <v>6</v>
      </c>
      <c r="D19" s="290">
        <v>4577</v>
      </c>
      <c r="E19" s="290">
        <f t="shared" si="0"/>
        <v>27462</v>
      </c>
      <c r="F19" s="291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8" t="s">
        <v>141</v>
      </c>
      <c r="C20" s="289">
        <v>1</v>
      </c>
      <c r="D20" s="290">
        <v>27999</v>
      </c>
      <c r="E20" s="290">
        <f t="shared" si="0"/>
        <v>27999</v>
      </c>
      <c r="F20" s="291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2" t="s">
        <v>143</v>
      </c>
      <c r="C21" s="289">
        <v>1</v>
      </c>
      <c r="D21" s="290">
        <v>44099</v>
      </c>
      <c r="E21" s="290">
        <f t="shared" si="0"/>
        <v>44099</v>
      </c>
      <c r="F21" s="291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8" t="s">
        <v>145</v>
      </c>
      <c r="C22" s="289">
        <v>1</v>
      </c>
      <c r="D22" s="290">
        <v>6419</v>
      </c>
      <c r="E22" s="290">
        <f t="shared" si="0"/>
        <v>6419</v>
      </c>
      <c r="F22" s="291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8" t="s">
        <v>147</v>
      </c>
      <c r="C23" s="289">
        <v>1</v>
      </c>
      <c r="D23" s="290">
        <v>30299</v>
      </c>
      <c r="E23" s="290">
        <f t="shared" si="0"/>
        <v>30299</v>
      </c>
      <c r="F23" s="291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8" t="s">
        <v>149</v>
      </c>
      <c r="C24" s="289">
        <v>1</v>
      </c>
      <c r="D24" s="290">
        <f>39999</f>
        <v>39999</v>
      </c>
      <c r="E24" s="290">
        <f t="shared" si="0"/>
        <v>39999</v>
      </c>
      <c r="F24" s="291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8" t="s">
        <v>151</v>
      </c>
      <c r="C25" s="289">
        <v>1</v>
      </c>
      <c r="D25" s="290">
        <v>52799</v>
      </c>
      <c r="E25" s="290">
        <f t="shared" si="0"/>
        <v>52799</v>
      </c>
      <c r="F25" s="291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8" t="s">
        <v>153</v>
      </c>
      <c r="C26" s="289">
        <v>1</v>
      </c>
      <c r="D26" s="290">
        <v>2757</v>
      </c>
      <c r="E26" s="290">
        <f t="shared" si="0"/>
        <v>2757</v>
      </c>
      <c r="F26" s="291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8" t="s">
        <v>155</v>
      </c>
      <c r="C27" s="289">
        <v>1</v>
      </c>
      <c r="D27" s="290">
        <v>128752</v>
      </c>
      <c r="E27" s="290">
        <f t="shared" si="0"/>
        <v>128752</v>
      </c>
      <c r="F27" s="287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8" t="s">
        <v>157</v>
      </c>
      <c r="C28" s="289">
        <v>11</v>
      </c>
      <c r="D28" s="290">
        <f>122484</f>
        <v>122484</v>
      </c>
      <c r="E28" s="290">
        <f t="shared" si="0"/>
        <v>1347324</v>
      </c>
      <c r="F28" s="287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8" t="s">
        <v>159</v>
      </c>
      <c r="C29" s="289">
        <v>4</v>
      </c>
      <c r="D29" s="290">
        <f>3800</f>
        <v>3800</v>
      </c>
      <c r="E29" s="290">
        <f t="shared" si="0"/>
        <v>15200</v>
      </c>
      <c r="F29" s="291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8" t="s">
        <v>161</v>
      </c>
      <c r="C30" s="289">
        <v>1</v>
      </c>
      <c r="D30" s="290">
        <f>18100</f>
        <v>18100</v>
      </c>
      <c r="E30" s="290">
        <f t="shared" si="0"/>
        <v>18100</v>
      </c>
      <c r="F30" s="291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8" t="s">
        <v>163</v>
      </c>
      <c r="C31" s="289">
        <v>4</v>
      </c>
      <c r="D31" s="290">
        <f>17900</f>
        <v>17900</v>
      </c>
      <c r="E31" s="290">
        <f t="shared" si="0"/>
        <v>71600</v>
      </c>
      <c r="F31" s="291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7" t="s">
        <v>165</v>
      </c>
      <c r="C32" s="293">
        <v>10</v>
      </c>
      <c r="D32" s="294">
        <f>1615</f>
        <v>1615</v>
      </c>
      <c r="E32" s="294">
        <f t="shared" si="0"/>
        <v>16150</v>
      </c>
      <c r="F32" s="578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5" t="s">
        <v>167</v>
      </c>
      <c r="C33" s="576">
        <v>2</v>
      </c>
      <c r="D33" s="290">
        <v>59900</v>
      </c>
      <c r="E33" s="290">
        <f>C33*D33</f>
        <v>119800</v>
      </c>
      <c r="F33" s="295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5" t="s">
        <v>169</v>
      </c>
      <c r="C34" s="576">
        <v>1</v>
      </c>
      <c r="D34" s="290">
        <v>137000</v>
      </c>
      <c r="E34" s="290">
        <f>D34*C34</f>
        <v>137000</v>
      </c>
      <c r="F34" s="584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5" t="s">
        <v>171</v>
      </c>
      <c r="C35" s="576">
        <v>3</v>
      </c>
      <c r="D35" s="290">
        <v>62000</v>
      </c>
      <c r="E35" s="290">
        <f>D35*C35</f>
        <v>186000</v>
      </c>
      <c r="F35" s="584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5" t="s">
        <v>173</v>
      </c>
      <c r="C36" s="576">
        <v>3</v>
      </c>
      <c r="D36" s="290">
        <v>45000</v>
      </c>
      <c r="E36" s="290">
        <f>D36*C36</f>
        <v>135000</v>
      </c>
      <c r="F36" s="584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9" t="s">
        <v>175</v>
      </c>
      <c r="C37" s="580">
        <f>SUM(C11:C33)</f>
        <v>97</v>
      </c>
      <c r="D37" s="581">
        <f>SUM(D11:D33)</f>
        <v>1154085</v>
      </c>
      <c r="E37" s="582">
        <f>SUM(E11:E36)</f>
        <v>6671829</v>
      </c>
      <c r="F37" s="583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1" t="s">
        <v>176</v>
      </c>
      <c r="C40" s="322" t="s">
        <v>111</v>
      </c>
      <c r="D40" s="323" t="s">
        <v>112</v>
      </c>
      <c r="E40" s="322" t="s">
        <v>113</v>
      </c>
      <c r="F40" s="323" t="s">
        <v>114</v>
      </c>
    </row>
    <row r="41" spans="1:27" ht="12.75" customHeight="1">
      <c r="B41" s="296" t="s">
        <v>177</v>
      </c>
      <c r="C41" s="289">
        <f>6</f>
        <v>6</v>
      </c>
      <c r="D41" s="297">
        <f>5500*InfoInicial!B31</f>
        <v>797500</v>
      </c>
      <c r="E41" s="298">
        <f>C41*D41+(0.05*D41*C41)</f>
        <v>5024250</v>
      </c>
      <c r="F41" s="299" t="s">
        <v>178</v>
      </c>
      <c r="G41" t="s">
        <v>179</v>
      </c>
    </row>
    <row r="42" spans="1:27" ht="12.75" customHeight="1">
      <c r="B42" s="296" t="s">
        <v>180</v>
      </c>
      <c r="C42" s="289">
        <f>21</f>
        <v>21</v>
      </c>
      <c r="D42" s="297">
        <f>45*InfoInicial!B31</f>
        <v>6525</v>
      </c>
      <c r="E42" s="298">
        <f>C42*D42</f>
        <v>137025</v>
      </c>
      <c r="F42" s="300" t="s">
        <v>178</v>
      </c>
    </row>
    <row r="43" spans="1:27" ht="12.75" customHeight="1">
      <c r="B43" s="296" t="s">
        <v>181</v>
      </c>
      <c r="C43" s="289">
        <f>3</f>
        <v>3</v>
      </c>
      <c r="D43" s="297">
        <f>6200*InfoInicial!B31</f>
        <v>899000</v>
      </c>
      <c r="E43" s="298">
        <f>C43*D43+(0.05*D43*C43)</f>
        <v>2831850</v>
      </c>
      <c r="F43" s="300" t="s">
        <v>178</v>
      </c>
      <c r="G43" t="s">
        <v>179</v>
      </c>
    </row>
    <row r="44" spans="1:27" ht="12.75" customHeight="1">
      <c r="B44" s="296" t="s">
        <v>182</v>
      </c>
      <c r="C44" s="289">
        <f>6</f>
        <v>6</v>
      </c>
      <c r="D44" s="297">
        <f>6000*InfoInicial!B31</f>
        <v>870000</v>
      </c>
      <c r="E44" s="298">
        <f t="shared" ref="E43:E44" si="1">C44*D44+(0.05*D44*C44)</f>
        <v>5481000</v>
      </c>
      <c r="F44" s="300" t="s">
        <v>178</v>
      </c>
      <c r="G44" t="s">
        <v>179</v>
      </c>
    </row>
    <row r="45" spans="1:27" ht="12.75" customHeight="1">
      <c r="B45" s="296" t="s">
        <v>183</v>
      </c>
      <c r="C45" s="289">
        <f>4</f>
        <v>4</v>
      </c>
      <c r="D45" s="297">
        <f>4780*InfoInicial!B31</f>
        <v>693100</v>
      </c>
      <c r="E45" s="298">
        <f>C45*D45+(0.05*D45*C45)</f>
        <v>2911020</v>
      </c>
      <c r="F45" s="300" t="s">
        <v>178</v>
      </c>
      <c r="G45" t="s">
        <v>179</v>
      </c>
    </row>
    <row r="46" spans="1:27" ht="12.75" customHeight="1">
      <c r="A46" s="159"/>
      <c r="B46" s="301" t="s">
        <v>175</v>
      </c>
      <c r="C46" s="301">
        <f>SUM(C41:C45)</f>
        <v>40</v>
      </c>
      <c r="D46" s="302">
        <f>SUM(D41:D45)</f>
        <v>3266125</v>
      </c>
      <c r="E46" s="303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4" t="s">
        <v>184</v>
      </c>
      <c r="C48" s="322" t="s">
        <v>111</v>
      </c>
      <c r="D48" s="323" t="s">
        <v>112</v>
      </c>
      <c r="E48" s="322" t="s">
        <v>113</v>
      </c>
      <c r="F48" s="323" t="s">
        <v>114</v>
      </c>
      <c r="G48" s="207"/>
    </row>
    <row r="49" spans="1:7" ht="12.75" customHeight="1">
      <c r="A49" s="159"/>
      <c r="B49" s="304" t="s">
        <v>185</v>
      </c>
      <c r="C49" s="305">
        <v>1</v>
      </c>
      <c r="D49" s="306">
        <f>17000*1.21*InfoInicial!B31</f>
        <v>2982650</v>
      </c>
      <c r="E49" s="307">
        <f>D49*C49+0.05*(C49*D49)</f>
        <v>3131782.5</v>
      </c>
      <c r="F49" s="300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76" t="s">
        <v>186</v>
      </c>
      <c r="C51" s="977"/>
      <c r="D51" s="977"/>
      <c r="E51" s="977"/>
      <c r="F51" s="978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56" t="s">
        <v>187</v>
      </c>
      <c r="C53" s="971"/>
      <c r="D53" s="971"/>
      <c r="E53" s="971"/>
      <c r="F53" s="972"/>
      <c r="G53" s="159"/>
    </row>
    <row r="54" spans="1:7" ht="12.75" customHeight="1">
      <c r="B54" s="159"/>
      <c r="C54" s="193"/>
      <c r="D54" s="325" t="s">
        <v>188</v>
      </c>
      <c r="E54" s="326" t="s">
        <v>122</v>
      </c>
      <c r="F54" s="159"/>
    </row>
    <row r="55" spans="1:7" ht="12.75" customHeight="1">
      <c r="C55" s="308" t="s">
        <v>187</v>
      </c>
      <c r="D55" s="309">
        <v>44640</v>
      </c>
      <c r="E55" s="310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56" t="s">
        <v>190</v>
      </c>
      <c r="C57" s="971"/>
      <c r="D57" s="971"/>
      <c r="E57" s="971"/>
      <c r="F57" s="972"/>
      <c r="G57" s="159"/>
    </row>
    <row r="58" spans="1:7" ht="13.15">
      <c r="B58" s="325" t="s">
        <v>191</v>
      </c>
      <c r="C58" s="325" t="s">
        <v>192</v>
      </c>
      <c r="D58" s="327" t="s">
        <v>188</v>
      </c>
      <c r="E58" s="327" t="s">
        <v>122</v>
      </c>
      <c r="F58" s="159"/>
    </row>
    <row r="59" spans="1:7" ht="12.75" customHeight="1">
      <c r="B59" s="311">
        <v>1865</v>
      </c>
      <c r="C59" s="311">
        <v>200</v>
      </c>
      <c r="D59" s="311">
        <f>B59*C59</f>
        <v>373000</v>
      </c>
      <c r="E59" s="312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56" t="s">
        <v>194</v>
      </c>
      <c r="C62" s="971"/>
      <c r="D62" s="971"/>
      <c r="E62" s="971"/>
      <c r="F62" s="972"/>
      <c r="G62" s="159"/>
    </row>
    <row r="63" spans="1:7" ht="12.75" customHeight="1">
      <c r="B63" s="320" t="s">
        <v>195</v>
      </c>
      <c r="C63" s="320" t="s">
        <v>111</v>
      </c>
      <c r="D63" s="320" t="s">
        <v>112</v>
      </c>
      <c r="E63" s="320" t="s">
        <v>122</v>
      </c>
      <c r="F63" s="159"/>
    </row>
    <row r="64" spans="1:7" ht="12.75" customHeight="1">
      <c r="B64" s="313" t="s">
        <v>196</v>
      </c>
      <c r="C64" s="288">
        <v>1</v>
      </c>
      <c r="D64" s="314">
        <f>2210+1020000</f>
        <v>1022210</v>
      </c>
      <c r="E64" s="315" t="s">
        <v>197</v>
      </c>
      <c r="F64" t="s">
        <v>198</v>
      </c>
    </row>
    <row r="65" spans="1:7" ht="12.75" customHeight="1">
      <c r="B65" s="313" t="s">
        <v>199</v>
      </c>
      <c r="C65" s="288">
        <v>1</v>
      </c>
      <c r="D65" s="314">
        <v>9750</v>
      </c>
      <c r="E65" s="316" t="s">
        <v>200</v>
      </c>
      <c r="F65" t="s">
        <v>201</v>
      </c>
    </row>
    <row r="66" spans="1:7" ht="12.75" customHeight="1">
      <c r="B66" s="313" t="s">
        <v>202</v>
      </c>
      <c r="C66" s="288">
        <v>1</v>
      </c>
      <c r="D66" s="314">
        <f>54700</f>
        <v>54700</v>
      </c>
      <c r="E66" s="317" t="s">
        <v>200</v>
      </c>
      <c r="F66" t="s">
        <v>203</v>
      </c>
    </row>
    <row r="67" spans="1:7" ht="12.75" customHeight="1">
      <c r="B67" s="313" t="s">
        <v>204</v>
      </c>
      <c r="C67" s="288">
        <v>1</v>
      </c>
      <c r="D67" s="314">
        <v>1563</v>
      </c>
      <c r="E67" s="316" t="s">
        <v>200</v>
      </c>
      <c r="F67" t="s">
        <v>203</v>
      </c>
    </row>
    <row r="68" spans="1:7" ht="12.75" customHeight="1">
      <c r="B68" s="313" t="s">
        <v>205</v>
      </c>
      <c r="C68" s="288">
        <v>1</v>
      </c>
      <c r="D68" s="314">
        <f>SUM(D66:D67)</f>
        <v>56263</v>
      </c>
      <c r="E68" s="315" t="s">
        <v>206</v>
      </c>
      <c r="F68" t="s">
        <v>207</v>
      </c>
    </row>
    <row r="69" spans="1:7" ht="12.75" customHeight="1">
      <c r="B69" s="313" t="s">
        <v>188</v>
      </c>
      <c r="C69" s="313" t="s">
        <v>200</v>
      </c>
      <c r="D69" s="318">
        <v>59900</v>
      </c>
      <c r="E69" s="319"/>
    </row>
    <row r="70" spans="1:7" ht="12.75" customHeight="1"/>
    <row r="71" spans="1:7" ht="12.75" customHeight="1">
      <c r="B71" s="968" t="s">
        <v>208</v>
      </c>
      <c r="C71" s="969"/>
      <c r="D71" s="969"/>
      <c r="E71" s="969"/>
      <c r="F71" s="970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60" t="s">
        <v>113</v>
      </c>
      <c r="G72" s="560"/>
    </row>
    <row r="73" spans="1:7" ht="12.75" customHeight="1">
      <c r="A73" s="159"/>
      <c r="B73" s="195" t="s">
        <v>211</v>
      </c>
      <c r="C73" s="561">
        <v>110000</v>
      </c>
      <c r="D73" s="195" t="s">
        <v>212</v>
      </c>
      <c r="E73" s="561">
        <f>C73*'InfoInicial-CálcAux'!C27</f>
        <v>18394200</v>
      </c>
      <c r="F73" s="562" t="s">
        <v>213</v>
      </c>
    </row>
    <row r="74" spans="1:7" ht="12.75" customHeight="1">
      <c r="A74" s="159"/>
      <c r="B74" s="195" t="s">
        <v>214</v>
      </c>
      <c r="C74" s="195"/>
      <c r="D74" s="195"/>
      <c r="E74" s="561">
        <v>1700000</v>
      </c>
      <c r="F74" s="562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1">
        <f>C75*'InfoInicial-CálcAux'!G31</f>
        <v>3515040</v>
      </c>
      <c r="F75" s="562" t="s">
        <v>218</v>
      </c>
    </row>
    <row r="76" spans="1:7" ht="12.75" customHeight="1">
      <c r="A76" s="159"/>
      <c r="B76" s="195" t="s">
        <v>219</v>
      </c>
      <c r="C76" s="195"/>
      <c r="D76" s="195"/>
      <c r="E76" s="561">
        <v>140600</v>
      </c>
      <c r="F76" s="562" t="s">
        <v>220</v>
      </c>
    </row>
    <row r="77" spans="1:7" ht="12.75" customHeight="1">
      <c r="A77" s="159"/>
      <c r="B77" s="195" t="s">
        <v>221</v>
      </c>
      <c r="C77" s="195"/>
      <c r="D77" s="195"/>
      <c r="E77" s="561">
        <v>1800000</v>
      </c>
      <c r="F77" s="562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1">
        <f>E87</f>
        <v>808420</v>
      </c>
      <c r="F78" s="562"/>
    </row>
    <row r="79" spans="1:7" ht="12.75" customHeight="1">
      <c r="B79" s="567" t="s">
        <v>224</v>
      </c>
      <c r="C79" s="159"/>
      <c r="D79" s="159"/>
      <c r="E79" s="568">
        <f>SUM(E73:E78)</f>
        <v>26358260</v>
      </c>
    </row>
    <row r="80" spans="1:7" ht="12.75" customHeight="1"/>
    <row r="81" spans="2:6" ht="12.75" customHeight="1"/>
    <row r="82" spans="2:6" ht="12.75" customHeight="1">
      <c r="B82" s="968" t="s">
        <v>222</v>
      </c>
      <c r="C82" s="969"/>
      <c r="D82" s="969"/>
      <c r="E82" s="969"/>
      <c r="F82" s="970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1">
        <f>12138</f>
        <v>12138</v>
      </c>
      <c r="D84" s="195">
        <f>20</f>
        <v>20</v>
      </c>
      <c r="E84" s="561">
        <f>C84*D84</f>
        <v>242760</v>
      </c>
      <c r="F84" s="566" t="s">
        <v>226</v>
      </c>
    </row>
    <row r="85" spans="2:6" ht="12.75" customHeight="1">
      <c r="B85" s="195" t="s">
        <v>227</v>
      </c>
      <c r="C85" s="561">
        <f>275000</f>
        <v>275000</v>
      </c>
      <c r="D85" s="195">
        <f>2</f>
        <v>2</v>
      </c>
      <c r="E85" s="561">
        <f>C85*D85</f>
        <v>550000</v>
      </c>
      <c r="F85" s="566" t="s">
        <v>228</v>
      </c>
    </row>
    <row r="86" spans="2:6" ht="12.75" customHeight="1">
      <c r="B86" s="195" t="s">
        <v>229</v>
      </c>
      <c r="C86" s="561">
        <f>522</f>
        <v>522</v>
      </c>
      <c r="D86" s="195">
        <f>30</f>
        <v>30</v>
      </c>
      <c r="E86" s="561">
        <f>C86*D86</f>
        <v>15660</v>
      </c>
      <c r="F86" s="566" t="s">
        <v>230</v>
      </c>
    </row>
    <row r="87" spans="2:6" ht="12.75" customHeight="1">
      <c r="B87" s="569" t="s">
        <v>224</v>
      </c>
      <c r="E87" s="570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F17" sqref="F17"/>
    </sheetView>
  </sheetViews>
  <sheetFormatPr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</f>
        <v>234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19571760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131737320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A178" zoomScale="70" zoomScaleNormal="70" workbookViewId="0">
      <selection activeCell="A190" sqref="A190"/>
    </sheetView>
  </sheetViews>
  <sheetFormatPr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79" t="s">
        <v>241</v>
      </c>
      <c r="C2" s="980"/>
      <c r="D2" s="980"/>
      <c r="E2" s="980"/>
      <c r="F2" s="980"/>
      <c r="G2" s="980"/>
      <c r="H2" s="980"/>
      <c r="I2" s="980"/>
      <c r="J2" s="980"/>
      <c r="K2" s="981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8" t="s">
        <v>249</v>
      </c>
      <c r="C4" s="329" t="s">
        <v>250</v>
      </c>
      <c r="D4" s="330"/>
      <c r="E4" s="331">
        <v>1</v>
      </c>
      <c r="F4" s="332">
        <v>1</v>
      </c>
      <c r="G4" s="333" t="s">
        <v>238</v>
      </c>
      <c r="H4" s="334">
        <f>18930/50</f>
        <v>378.6</v>
      </c>
      <c r="I4" s="335">
        <f>H4*'InfoInicial-CálcAux'!$C$7</f>
        <v>204444000</v>
      </c>
      <c r="J4" s="336">
        <f>H4*'InfoInicial-CálcAux'!$D$7</f>
        <v>286221600</v>
      </c>
      <c r="K4" s="337" t="s">
        <v>251</v>
      </c>
      <c r="M4" s="159"/>
    </row>
    <row r="5" spans="1:14" ht="13.5" customHeight="1">
      <c r="B5" s="328" t="s">
        <v>252</v>
      </c>
      <c r="C5" s="338" t="s">
        <v>253</v>
      </c>
      <c r="D5" s="339"/>
      <c r="E5" s="331">
        <v>1</v>
      </c>
      <c r="F5" s="332">
        <v>2</v>
      </c>
      <c r="G5" s="340" t="s">
        <v>238</v>
      </c>
      <c r="H5" s="341">
        <f>(3600/6)/100</f>
        <v>6</v>
      </c>
      <c r="I5" s="335">
        <f>H5*'InfoInicial-CálcAux'!$C$7</f>
        <v>3240000</v>
      </c>
      <c r="J5" s="342">
        <f>H5*'InfoInicial-CálcAux'!$D$7</f>
        <v>4536000</v>
      </c>
      <c r="K5" s="343" t="s">
        <v>254</v>
      </c>
      <c r="M5" s="159"/>
    </row>
    <row r="6" spans="1:14" ht="12.75" customHeight="1">
      <c r="B6" s="328" t="s">
        <v>255</v>
      </c>
      <c r="C6" s="329" t="s">
        <v>256</v>
      </c>
      <c r="D6" s="330"/>
      <c r="E6" s="331">
        <v>4</v>
      </c>
      <c r="F6" s="332">
        <v>2.5</v>
      </c>
      <c r="G6" s="340" t="s">
        <v>257</v>
      </c>
      <c r="H6" s="344">
        <v>500</v>
      </c>
      <c r="I6" s="335">
        <f>H6*'InfoInicial-CálcAux'!$C$7+('InfoInicial-CálcAux'!$L$17/2.5)*H6</f>
        <v>601800000</v>
      </c>
      <c r="J6" s="342">
        <f>H6*'InfoInicial-CálcAux'!$D$7</f>
        <v>378000000</v>
      </c>
      <c r="K6" s="343" t="s">
        <v>258</v>
      </c>
      <c r="M6" s="159"/>
    </row>
    <row r="7" spans="1:14" ht="12.75" customHeight="1">
      <c r="B7" s="346" t="s">
        <v>259</v>
      </c>
      <c r="C7" s="347" t="s">
        <v>260</v>
      </c>
      <c r="D7" s="348"/>
      <c r="E7" s="332">
        <v>4</v>
      </c>
      <c r="F7" s="332">
        <v>4</v>
      </c>
      <c r="G7" s="340" t="s">
        <v>257</v>
      </c>
      <c r="H7" s="341">
        <f>'CA Inv AT'!B2</f>
        <v>234</v>
      </c>
      <c r="I7" s="345">
        <f>H7*'InfoInicial-CálcAux'!L17</f>
        <v>388206000</v>
      </c>
      <c r="J7" s="349">
        <f>H7*'InfoInicial-CálcAux'!D5*1000</f>
        <v>442260000</v>
      </c>
      <c r="K7" s="350" t="s">
        <v>261</v>
      </c>
      <c r="L7" s="159"/>
      <c r="M7" s="159"/>
    </row>
    <row r="8" spans="1:14" ht="12.75" customHeight="1">
      <c r="B8" s="346" t="s">
        <v>262</v>
      </c>
      <c r="C8" s="329" t="s">
        <v>263</v>
      </c>
      <c r="D8" s="351"/>
      <c r="E8" s="352">
        <v>1</v>
      </c>
      <c r="F8" s="352">
        <v>1</v>
      </c>
      <c r="G8" s="353" t="s">
        <v>238</v>
      </c>
      <c r="H8" s="354">
        <v>13.7</v>
      </c>
      <c r="I8" s="355">
        <f>H8*'InfoInicial-CálcAux'!C7</f>
        <v>7398000</v>
      </c>
      <c r="J8" s="356">
        <f>H8*'InfoInicial-CálcAux'!$D$7</f>
        <v>10357200</v>
      </c>
      <c r="K8" s="357" t="s">
        <v>264</v>
      </c>
      <c r="M8" s="159"/>
    </row>
    <row r="9" spans="1:14" ht="12.75" customHeight="1">
      <c r="D9" s="159"/>
      <c r="E9" s="358" t="s">
        <v>265</v>
      </c>
      <c r="F9" s="359"/>
      <c r="G9" s="360" t="s">
        <v>224</v>
      </c>
      <c r="H9" s="573">
        <f>SUM(H4:H8)</f>
        <v>1132.3</v>
      </c>
      <c r="I9" s="361">
        <f>SUM(I4:I8)</f>
        <v>1205088000</v>
      </c>
      <c r="J9" s="362">
        <f>SUM(J4:J8)</f>
        <v>1121374800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3.9">
      <c r="A14" s="159"/>
      <c r="B14" s="986" t="s">
        <v>267</v>
      </c>
      <c r="C14" s="987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988" t="s">
        <v>273</v>
      </c>
      <c r="C15" s="989"/>
      <c r="D15" s="363">
        <v>451829</v>
      </c>
      <c r="E15" s="364">
        <f>D15*1.43</f>
        <v>646115.47</v>
      </c>
      <c r="F15" s="365">
        <v>1</v>
      </c>
      <c r="G15" s="366">
        <f>E15*F15</f>
        <v>646115.47</v>
      </c>
      <c r="H15" s="990" t="s">
        <v>274</v>
      </c>
      <c r="I15" s="993">
        <f>SUM(G15:G24)</f>
        <v>3277058.07</v>
      </c>
      <c r="J15" s="368">
        <f>D15*0.83</f>
        <v>375018.07</v>
      </c>
      <c r="K15" s="369" t="s">
        <v>275</v>
      </c>
      <c r="L15" s="159"/>
    </row>
    <row r="16" spans="1:14" ht="12.75" customHeight="1">
      <c r="A16" s="159"/>
      <c r="B16" s="982" t="s">
        <v>276</v>
      </c>
      <c r="C16" s="983"/>
      <c r="D16" s="372">
        <v>285884</v>
      </c>
      <c r="E16" s="366">
        <f>D16*1.43</f>
        <v>408814.12</v>
      </c>
      <c r="F16" s="373">
        <v>1</v>
      </c>
      <c r="G16" s="366">
        <f t="shared" ref="G16:G28" si="0">E16*F16</f>
        <v>408814.12</v>
      </c>
      <c r="H16" s="991"/>
      <c r="I16" s="994"/>
      <c r="J16" s="374">
        <f t="shared" ref="J16:J28" si="1">D16*0.83</f>
        <v>237283.72</v>
      </c>
      <c r="K16" s="369" t="s">
        <v>275</v>
      </c>
      <c r="L16" s="159"/>
    </row>
    <row r="17" spans="1:12" ht="12.75" customHeight="1">
      <c r="A17" s="159"/>
      <c r="B17" s="982" t="s">
        <v>277</v>
      </c>
      <c r="C17" s="983"/>
      <c r="D17" s="372">
        <v>137602</v>
      </c>
      <c r="E17" s="366">
        <f t="shared" ref="E17:E28" si="2">D17*1.43</f>
        <v>196770.86</v>
      </c>
      <c r="F17" s="373">
        <v>1</v>
      </c>
      <c r="G17" s="366">
        <f t="shared" si="0"/>
        <v>196770.86</v>
      </c>
      <c r="H17" s="991"/>
      <c r="I17" s="994"/>
      <c r="J17" s="374">
        <f t="shared" si="1"/>
        <v>114209.65999999999</v>
      </c>
      <c r="K17" s="369" t="s">
        <v>278</v>
      </c>
      <c r="L17" s="159"/>
    </row>
    <row r="18" spans="1:12" ht="12.75" customHeight="1">
      <c r="A18" s="159"/>
      <c r="B18" s="370" t="s">
        <v>279</v>
      </c>
      <c r="C18" s="371"/>
      <c r="D18" s="372">
        <v>101156</v>
      </c>
      <c r="E18" s="366">
        <f t="shared" ref="E18:E27" si="3">D18*1.43</f>
        <v>144653.07999999999</v>
      </c>
      <c r="F18" s="373">
        <v>1</v>
      </c>
      <c r="G18" s="366">
        <f t="shared" ref="G18:G27" si="4">E18*F18</f>
        <v>144653.07999999999</v>
      </c>
      <c r="H18" s="991"/>
      <c r="I18" s="994"/>
      <c r="J18" s="374">
        <f t="shared" ref="J18:J27" si="5">D18*0.83</f>
        <v>83959.48</v>
      </c>
      <c r="K18" s="369" t="s">
        <v>278</v>
      </c>
      <c r="L18" s="159"/>
    </row>
    <row r="19" spans="1:12" ht="12.75" customHeight="1">
      <c r="A19" s="159"/>
      <c r="B19" s="370" t="s">
        <v>280</v>
      </c>
      <c r="C19" s="371"/>
      <c r="D19" s="372">
        <v>90584</v>
      </c>
      <c r="E19" s="366">
        <f t="shared" si="3"/>
        <v>129535.12</v>
      </c>
      <c r="F19" s="373">
        <v>1</v>
      </c>
      <c r="G19" s="366">
        <f t="shared" si="4"/>
        <v>129535.12</v>
      </c>
      <c r="H19" s="991"/>
      <c r="I19" s="994"/>
      <c r="J19" s="374">
        <f t="shared" si="5"/>
        <v>75184.72</v>
      </c>
      <c r="K19" s="369" t="s">
        <v>275</v>
      </c>
      <c r="L19" s="159"/>
    </row>
    <row r="20" spans="1:12" ht="12.75" customHeight="1">
      <c r="A20" s="159"/>
      <c r="B20" s="370" t="s">
        <v>281</v>
      </c>
      <c r="C20" s="371"/>
      <c r="D20" s="372">
        <v>108008</v>
      </c>
      <c r="E20" s="366">
        <f t="shared" si="3"/>
        <v>154451.44</v>
      </c>
      <c r="F20" s="373">
        <v>1</v>
      </c>
      <c r="G20" s="366">
        <f t="shared" si="4"/>
        <v>154451.44</v>
      </c>
      <c r="H20" s="991"/>
      <c r="I20" s="994"/>
      <c r="J20" s="374">
        <f t="shared" si="5"/>
        <v>89646.64</v>
      </c>
      <c r="K20" s="369" t="s">
        <v>282</v>
      </c>
      <c r="L20" s="159"/>
    </row>
    <row r="21" spans="1:12" ht="12.75" customHeight="1">
      <c r="A21" s="159"/>
      <c r="B21" s="370" t="s">
        <v>283</v>
      </c>
      <c r="C21" s="371"/>
      <c r="D21" s="372">
        <v>90584</v>
      </c>
      <c r="E21" s="366">
        <f t="shared" si="3"/>
        <v>129535.12</v>
      </c>
      <c r="F21" s="373">
        <v>1</v>
      </c>
      <c r="G21" s="366">
        <f t="shared" si="4"/>
        <v>129535.12</v>
      </c>
      <c r="H21" s="991"/>
      <c r="I21" s="994"/>
      <c r="J21" s="374">
        <f t="shared" si="5"/>
        <v>75184.72</v>
      </c>
      <c r="K21" s="369" t="s">
        <v>275</v>
      </c>
      <c r="L21" s="159"/>
    </row>
    <row r="22" spans="1:12" ht="12.75" customHeight="1">
      <c r="A22" s="159"/>
      <c r="B22" s="370" t="s">
        <v>284</v>
      </c>
      <c r="C22" s="371"/>
      <c r="D22" s="372">
        <v>106644</v>
      </c>
      <c r="E22" s="366">
        <f t="shared" si="3"/>
        <v>152500.91999999998</v>
      </c>
      <c r="F22" s="373">
        <v>1</v>
      </c>
      <c r="G22" s="366">
        <f t="shared" si="4"/>
        <v>152500.91999999998</v>
      </c>
      <c r="H22" s="991"/>
      <c r="I22" s="994"/>
      <c r="J22" s="374">
        <f t="shared" si="5"/>
        <v>88514.51999999999</v>
      </c>
      <c r="K22" s="369" t="s">
        <v>278</v>
      </c>
      <c r="L22" s="159"/>
    </row>
    <row r="23" spans="1:12" ht="12.75" customHeight="1">
      <c r="A23" s="159"/>
      <c r="B23" s="370" t="s">
        <v>285</v>
      </c>
      <c r="C23" s="371"/>
      <c r="D23" s="372">
        <v>106013</v>
      </c>
      <c r="E23" s="366">
        <f t="shared" si="3"/>
        <v>151598.59</v>
      </c>
      <c r="F23" s="373">
        <v>8</v>
      </c>
      <c r="G23" s="366">
        <f t="shared" si="4"/>
        <v>1212788.72</v>
      </c>
      <c r="H23" s="991"/>
      <c r="I23" s="994"/>
      <c r="J23" s="374">
        <f t="shared" si="5"/>
        <v>87990.79</v>
      </c>
      <c r="K23" s="369" t="s">
        <v>278</v>
      </c>
      <c r="L23" s="159"/>
    </row>
    <row r="24" spans="1:12" ht="12.75" customHeight="1">
      <c r="A24" s="159"/>
      <c r="B24" s="982" t="s">
        <v>286</v>
      </c>
      <c r="C24" s="983"/>
      <c r="D24" s="372">
        <v>71254</v>
      </c>
      <c r="E24" s="366">
        <f t="shared" si="3"/>
        <v>101893.22</v>
      </c>
      <c r="F24" s="373">
        <v>1</v>
      </c>
      <c r="G24" s="366">
        <f t="shared" si="4"/>
        <v>101893.22</v>
      </c>
      <c r="H24" s="992"/>
      <c r="I24" s="995"/>
      <c r="J24" s="374">
        <f t="shared" si="5"/>
        <v>59140.82</v>
      </c>
      <c r="K24" s="376" t="s">
        <v>287</v>
      </c>
      <c r="L24" s="159"/>
    </row>
    <row r="25" spans="1:12" s="242" customFormat="1" ht="14.25" customHeight="1">
      <c r="A25" s="241"/>
      <c r="B25" s="988" t="s">
        <v>288</v>
      </c>
      <c r="C25" s="989"/>
      <c r="D25" s="367">
        <v>137602</v>
      </c>
      <c r="E25" s="377">
        <f t="shared" si="3"/>
        <v>196770.86</v>
      </c>
      <c r="F25" s="365">
        <v>1</v>
      </c>
      <c r="G25" s="377">
        <f t="shared" si="4"/>
        <v>196770.86</v>
      </c>
      <c r="H25" s="990" t="s">
        <v>289</v>
      </c>
      <c r="I25" s="993">
        <f>SUM(G25:G28)</f>
        <v>3884899.59</v>
      </c>
      <c r="J25" s="367">
        <f t="shared" si="5"/>
        <v>114209.65999999999</v>
      </c>
      <c r="K25" s="378" t="s">
        <v>290</v>
      </c>
      <c r="L25" s="241"/>
    </row>
    <row r="26" spans="1:12" ht="12.75" customHeight="1">
      <c r="A26" s="159"/>
      <c r="B26" s="982" t="s">
        <v>291</v>
      </c>
      <c r="C26" s="983"/>
      <c r="D26" s="372">
        <v>120963</v>
      </c>
      <c r="E26" s="366">
        <f t="shared" si="3"/>
        <v>172977.09</v>
      </c>
      <c r="F26" s="373">
        <v>1</v>
      </c>
      <c r="G26" s="366">
        <f t="shared" si="4"/>
        <v>172977.09</v>
      </c>
      <c r="H26" s="991"/>
      <c r="I26" s="994"/>
      <c r="J26" s="372">
        <f t="shared" si="5"/>
        <v>100399.29</v>
      </c>
      <c r="K26" s="379" t="s">
        <v>292</v>
      </c>
      <c r="L26" s="159"/>
    </row>
    <row r="27" spans="1:12" ht="12.75" customHeight="1">
      <c r="A27" s="159"/>
      <c r="B27" s="982" t="s">
        <v>293</v>
      </c>
      <c r="C27" s="983"/>
      <c r="D27" s="372">
        <v>118340</v>
      </c>
      <c r="E27" s="366">
        <f t="shared" si="3"/>
        <v>169226.19999999998</v>
      </c>
      <c r="F27" s="373">
        <v>1</v>
      </c>
      <c r="G27" s="366">
        <f t="shared" si="4"/>
        <v>169226.19999999998</v>
      </c>
      <c r="H27" s="991"/>
      <c r="I27" s="994"/>
      <c r="J27" s="372">
        <f t="shared" si="5"/>
        <v>98222.2</v>
      </c>
      <c r="K27" s="380" t="s">
        <v>292</v>
      </c>
      <c r="L27" s="159"/>
    </row>
    <row r="28" spans="1:12" ht="12.75" customHeight="1">
      <c r="A28" s="159"/>
      <c r="B28" s="984" t="s">
        <v>294</v>
      </c>
      <c r="C28" s="985"/>
      <c r="D28" s="381">
        <v>97492</v>
      </c>
      <c r="E28" s="382">
        <f t="shared" si="2"/>
        <v>139413.56</v>
      </c>
      <c r="F28" s="375">
        <v>24</v>
      </c>
      <c r="G28" s="382">
        <f t="shared" si="0"/>
        <v>3345925.44</v>
      </c>
      <c r="H28" s="992"/>
      <c r="I28" s="995"/>
      <c r="J28" s="381">
        <f t="shared" si="1"/>
        <v>80918.36</v>
      </c>
      <c r="K28" s="383"/>
      <c r="L28" s="159"/>
    </row>
    <row r="29" spans="1:12" ht="12.75" customHeight="1">
      <c r="B29" s="159"/>
      <c r="C29" s="159"/>
      <c r="D29" s="159"/>
      <c r="E29" s="159"/>
      <c r="F29" s="159"/>
      <c r="G29" s="381">
        <f>SUM(G15:G28)</f>
        <v>7161957.6600000001</v>
      </c>
      <c r="H29" s="159"/>
      <c r="I29" s="159"/>
      <c r="J29" s="384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Am'!D58*0.95</f>
        <v>24040748.45534043</v>
      </c>
      <c r="G35" s="4" t="s">
        <v>300</v>
      </c>
      <c r="H35" s="39">
        <f>E35/E40</f>
        <v>58.131925512544719</v>
      </c>
      <c r="I35" s="4" t="s">
        <v>301</v>
      </c>
      <c r="K35" s="4" t="s">
        <v>299</v>
      </c>
      <c r="L35" s="39">
        <f>'E-Inv AF y Am'!D58*0.025</f>
        <v>632651.27514053776</v>
      </c>
      <c r="N35" s="4" t="s">
        <v>299</v>
      </c>
      <c r="O35" s="39">
        <f>L35</f>
        <v>632651.27514053776</v>
      </c>
      <c r="P35" s="4"/>
      <c r="Q35" s="4"/>
    </row>
    <row r="36" spans="3:32" ht="12.75" customHeight="1">
      <c r="C36" s="4" t="s">
        <v>302</v>
      </c>
      <c r="E36" s="39">
        <f>'E-Inv AF y Am'!E58*0.95</f>
        <v>24040748.45534043</v>
      </c>
      <c r="G36" s="4" t="s">
        <v>303</v>
      </c>
      <c r="H36" s="39">
        <f>E35/E38</f>
        <v>49.735089154903079</v>
      </c>
      <c r="I36" s="4" t="s">
        <v>304</v>
      </c>
      <c r="K36" s="4" t="s">
        <v>302</v>
      </c>
      <c r="L36" s="39">
        <f>'E-Inv AF y Am'!E58*0.025</f>
        <v>632651.27514053776</v>
      </c>
      <c r="N36" s="4" t="s">
        <v>302</v>
      </c>
      <c r="O36" s="39">
        <f>L36</f>
        <v>632651.27514053776</v>
      </c>
      <c r="P36" s="4"/>
      <c r="Q36" s="4"/>
    </row>
    <row r="37" spans="3:32" ht="12.75" customHeight="1">
      <c r="C37" s="4" t="s">
        <v>305</v>
      </c>
      <c r="E37" s="385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5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49.735089154903079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8"/>
      <c r="D43" s="419" t="s">
        <v>2</v>
      </c>
      <c r="E43" s="420" t="s">
        <v>3</v>
      </c>
      <c r="F43" s="419" t="s">
        <v>4</v>
      </c>
      <c r="G43" s="419" t="s">
        <v>5</v>
      </c>
      <c r="H43" s="421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2" t="s">
        <v>316</v>
      </c>
      <c r="D44" s="386">
        <f>E35</f>
        <v>24040748.45534043</v>
      </c>
      <c r="E44" s="386">
        <f>D44</f>
        <v>24040748.45534043</v>
      </c>
      <c r="F44" s="386">
        <f>E44</f>
        <v>24040748.45534043</v>
      </c>
      <c r="G44" s="386">
        <f>E36</f>
        <v>24040748.45534043</v>
      </c>
      <c r="H44" s="387">
        <f>G44</f>
        <v>24040748.45534043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2441540.8715268783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2088873.7445059293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2088873.7445059293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68" t="s">
        <v>322</v>
      </c>
      <c r="D53" s="1070"/>
      <c r="E53" s="1070"/>
      <c r="F53" s="1070"/>
      <c r="G53" s="1070"/>
      <c r="H53" s="1071"/>
      <c r="I53" s="223" t="s">
        <v>323</v>
      </c>
      <c r="K53" s="426" t="s">
        <v>110</v>
      </c>
      <c r="L53" s="427" t="s">
        <v>111</v>
      </c>
      <c r="M53" s="428" t="s">
        <v>324</v>
      </c>
      <c r="N53" s="427" t="s">
        <v>325</v>
      </c>
      <c r="O53" s="427" t="s">
        <v>326</v>
      </c>
      <c r="P53" s="427" t="s">
        <v>327</v>
      </c>
      <c r="Q53" s="427" t="s">
        <v>328</v>
      </c>
      <c r="R53" s="427" t="s">
        <v>329</v>
      </c>
      <c r="S53" s="427" t="s">
        <v>330</v>
      </c>
      <c r="T53" s="549" t="s">
        <v>331</v>
      </c>
      <c r="U53" s="550" t="s">
        <v>332</v>
      </c>
      <c r="V53" s="428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5" t="s">
        <v>338</v>
      </c>
      <c r="L54" s="406">
        <v>2</v>
      </c>
      <c r="M54" s="406">
        <f>6.048/12</f>
        <v>0.504</v>
      </c>
      <c r="N54" s="406">
        <f>L54*M54</f>
        <v>1.008</v>
      </c>
      <c r="O54" s="406">
        <f t="shared" ref="O54:O67" si="6">N54*$T$49*T54</f>
        <v>1475.712</v>
      </c>
      <c r="P54" s="406">
        <f t="shared" ref="P54:P66" si="7">L54*$T$48*M54</f>
        <v>0.38303999999999999</v>
      </c>
      <c r="Q54" s="406">
        <f t="shared" ref="Q54:Q67" si="8">P54*T54*$T$49</f>
        <v>560.77055999999993</v>
      </c>
      <c r="R54" s="406">
        <f t="shared" ref="R54:R66" si="9">M54*$T$48*L54</f>
        <v>0.38303999999999999</v>
      </c>
      <c r="S54" s="406">
        <f t="shared" ref="S54:S67" si="10">R54*T54*$T$49</f>
        <v>560.77055999999993</v>
      </c>
      <c r="T54" s="406">
        <v>6</v>
      </c>
      <c r="U54" s="413">
        <f>O54+Q54+S54</f>
        <v>2597.2531199999999</v>
      </c>
      <c r="V54" s="407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8" t="s">
        <v>133</v>
      </c>
      <c r="L55" s="409">
        <v>5</v>
      </c>
      <c r="M55" s="409">
        <v>34.200000000000003</v>
      </c>
      <c r="N55" s="409">
        <f t="shared" ref="N55:N72" si="12">L55*M55</f>
        <v>171</v>
      </c>
      <c r="O55" s="409">
        <f t="shared" si="6"/>
        <v>83448</v>
      </c>
      <c r="P55" s="409">
        <f t="shared" si="7"/>
        <v>64.98</v>
      </c>
      <c r="Q55" s="409">
        <f t="shared" si="8"/>
        <v>31710.240000000002</v>
      </c>
      <c r="R55" s="409">
        <f t="shared" si="9"/>
        <v>64.98</v>
      </c>
      <c r="S55" s="409">
        <f t="shared" si="10"/>
        <v>31710.240000000002</v>
      </c>
      <c r="T55" s="409">
        <v>2</v>
      </c>
      <c r="U55" s="413">
        <f t="shared" ref="U55:U72" si="13">O55+Q55+S55</f>
        <v>146868.48000000001</v>
      </c>
      <c r="V55" s="410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8" t="s">
        <v>341</v>
      </c>
      <c r="L56" s="409">
        <v>2</v>
      </c>
      <c r="M56" s="409">
        <f>147.84/12</f>
        <v>12.32</v>
      </c>
      <c r="N56" s="409">
        <f t="shared" si="12"/>
        <v>24.64</v>
      </c>
      <c r="O56" s="409">
        <f t="shared" si="6"/>
        <v>12024.32</v>
      </c>
      <c r="P56" s="409">
        <f t="shared" si="7"/>
        <v>9.3632000000000009</v>
      </c>
      <c r="Q56" s="409">
        <f t="shared" si="8"/>
        <v>4569.2416000000003</v>
      </c>
      <c r="R56" s="409">
        <f t="shared" si="9"/>
        <v>9.3632000000000009</v>
      </c>
      <c r="S56" s="409">
        <f t="shared" si="10"/>
        <v>4569.2416000000003</v>
      </c>
      <c r="T56" s="409">
        <v>2</v>
      </c>
      <c r="U56" s="413">
        <f>O56+Q56+S56</f>
        <v>21162.803200000002</v>
      </c>
      <c r="V56" s="410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8" t="s">
        <v>343</v>
      </c>
      <c r="L57" s="409">
        <v>1</v>
      </c>
      <c r="M57" s="409">
        <f>777.6/12</f>
        <v>64.8</v>
      </c>
      <c r="N57" s="409">
        <f t="shared" si="12"/>
        <v>64.8</v>
      </c>
      <c r="O57" s="409">
        <f t="shared" si="6"/>
        <v>63244.799999999996</v>
      </c>
      <c r="P57" s="409">
        <f t="shared" si="7"/>
        <v>24.623999999999999</v>
      </c>
      <c r="Q57" s="409">
        <f t="shared" si="8"/>
        <v>24033.023999999998</v>
      </c>
      <c r="R57" s="409">
        <f t="shared" si="9"/>
        <v>24.623999999999999</v>
      </c>
      <c r="S57" s="409">
        <f t="shared" si="10"/>
        <v>24033.023999999998</v>
      </c>
      <c r="T57" s="409">
        <v>4</v>
      </c>
      <c r="U57" s="413">
        <f t="shared" si="13"/>
        <v>111310.848</v>
      </c>
      <c r="V57" s="410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8" t="s">
        <v>344</v>
      </c>
      <c r="L58" s="409">
        <v>2</v>
      </c>
      <c r="M58" s="409">
        <f>2304/12</f>
        <v>192</v>
      </c>
      <c r="N58" s="409">
        <f t="shared" si="12"/>
        <v>384</v>
      </c>
      <c r="O58" s="409">
        <f t="shared" si="6"/>
        <v>281088</v>
      </c>
      <c r="P58" s="409">
        <f t="shared" si="7"/>
        <v>145.92000000000002</v>
      </c>
      <c r="Q58" s="409">
        <f t="shared" si="8"/>
        <v>106813.44000000002</v>
      </c>
      <c r="R58" s="409">
        <f t="shared" si="9"/>
        <v>145.92000000000002</v>
      </c>
      <c r="S58" s="409">
        <f t="shared" si="10"/>
        <v>106813.44000000002</v>
      </c>
      <c r="T58" s="409">
        <v>3</v>
      </c>
      <c r="U58" s="413">
        <f t="shared" si="13"/>
        <v>494714.88</v>
      </c>
      <c r="V58" s="410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8" t="s">
        <v>345</v>
      </c>
      <c r="L59" s="409">
        <v>4</v>
      </c>
      <c r="M59" s="409">
        <f>2557.44/12</f>
        <v>213.12</v>
      </c>
      <c r="N59" s="409">
        <f t="shared" si="12"/>
        <v>852.48</v>
      </c>
      <c r="O59" s="409">
        <f t="shared" si="6"/>
        <v>1664040.96</v>
      </c>
      <c r="P59" s="409">
        <f t="shared" si="7"/>
        <v>323.94240000000002</v>
      </c>
      <c r="Q59" s="409">
        <f t="shared" si="8"/>
        <v>632335.56480000005</v>
      </c>
      <c r="R59" s="409">
        <f t="shared" si="9"/>
        <v>323.94240000000002</v>
      </c>
      <c r="S59" s="409">
        <f t="shared" si="10"/>
        <v>632335.56480000005</v>
      </c>
      <c r="T59" s="409">
        <v>8</v>
      </c>
      <c r="U59" s="413">
        <f t="shared" si="13"/>
        <v>2928712.0895999996</v>
      </c>
      <c r="V59" s="410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8" t="s">
        <v>129</v>
      </c>
      <c r="L60" s="409">
        <v>2</v>
      </c>
      <c r="M60" s="409">
        <f>15.84/12</f>
        <v>1.32</v>
      </c>
      <c r="N60" s="409">
        <f t="shared" si="12"/>
        <v>2.64</v>
      </c>
      <c r="O60" s="409">
        <f t="shared" si="6"/>
        <v>5797.4400000000005</v>
      </c>
      <c r="P60" s="409">
        <f t="shared" si="7"/>
        <v>1.0032000000000001</v>
      </c>
      <c r="Q60" s="409">
        <f t="shared" si="8"/>
        <v>2203.0272</v>
      </c>
      <c r="R60" s="409">
        <f t="shared" si="9"/>
        <v>1.0032000000000001</v>
      </c>
      <c r="S60" s="409">
        <f t="shared" si="10"/>
        <v>2203.0272</v>
      </c>
      <c r="T60" s="409">
        <v>9</v>
      </c>
      <c r="U60" s="413">
        <f t="shared" si="13"/>
        <v>10203.494400000001</v>
      </c>
      <c r="V60" s="410">
        <f t="shared" si="11"/>
        <v>850.29120000000012</v>
      </c>
      <c r="X60" s="159"/>
    </row>
    <row r="61" spans="3:24" ht="12.75" customHeight="1">
      <c r="C61" s="388">
        <f>U73</f>
        <v>5271222.4812512007</v>
      </c>
      <c r="D61" s="64">
        <f>S39</f>
        <v>2989.49</v>
      </c>
      <c r="E61" s="63">
        <f>S41</f>
        <v>1.64</v>
      </c>
      <c r="F61" s="585">
        <f>D61+((C61/12)*E61)</f>
        <v>723389.89577099739</v>
      </c>
      <c r="K61" s="408" t="s">
        <v>347</v>
      </c>
      <c r="L61" s="409">
        <v>1</v>
      </c>
      <c r="M61" s="409">
        <v>0.13824</v>
      </c>
      <c r="N61" s="409">
        <f t="shared" si="12"/>
        <v>0.13824</v>
      </c>
      <c r="O61" s="409">
        <f t="shared" si="6"/>
        <v>67.461119999999994</v>
      </c>
      <c r="P61" s="409">
        <f t="shared" si="7"/>
        <v>5.25312E-2</v>
      </c>
      <c r="Q61" s="409">
        <f t="shared" si="8"/>
        <v>25.635225599999998</v>
      </c>
      <c r="R61" s="409">
        <f t="shared" si="9"/>
        <v>5.25312E-2</v>
      </c>
      <c r="S61" s="409">
        <f t="shared" si="10"/>
        <v>25.635225599999998</v>
      </c>
      <c r="T61" s="409">
        <v>2</v>
      </c>
      <c r="U61" s="413">
        <f t="shared" si="13"/>
        <v>118.73157119999999</v>
      </c>
      <c r="V61" s="410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8" t="s">
        <v>350</v>
      </c>
      <c r="L62" s="409">
        <v>1</v>
      </c>
      <c r="M62" s="409">
        <v>0.7</v>
      </c>
      <c r="N62" s="409">
        <f>L62*M62</f>
        <v>0.7</v>
      </c>
      <c r="O62" s="409">
        <f t="shared" si="6"/>
        <v>1024.8</v>
      </c>
      <c r="P62" s="409">
        <f t="shared" si="7"/>
        <v>0.26599999999999996</v>
      </c>
      <c r="Q62" s="409">
        <f t="shared" si="8"/>
        <v>389.42399999999992</v>
      </c>
      <c r="R62" s="409">
        <f t="shared" si="9"/>
        <v>0.26599999999999996</v>
      </c>
      <c r="S62" s="409">
        <f t="shared" si="10"/>
        <v>389.42399999999992</v>
      </c>
      <c r="T62" s="409">
        <v>6</v>
      </c>
      <c r="U62" s="413">
        <f t="shared" si="13"/>
        <v>1803.6479999999999</v>
      </c>
      <c r="V62" s="410">
        <f t="shared" si="11"/>
        <v>150.304</v>
      </c>
      <c r="X62" s="159"/>
    </row>
    <row r="63" spans="3:24" ht="12.75" customHeight="1">
      <c r="C63" s="3" t="s">
        <v>351</v>
      </c>
      <c r="D63" s="389">
        <f>C62*E61/F61</f>
        <v>0.995867387673678</v>
      </c>
      <c r="K63" s="408" t="s">
        <v>151</v>
      </c>
      <c r="L63" s="409">
        <v>1</v>
      </c>
      <c r="M63" s="409">
        <v>0.20735999999999999</v>
      </c>
      <c r="N63" s="409">
        <f t="shared" si="12"/>
        <v>0.20735999999999999</v>
      </c>
      <c r="O63" s="409">
        <f t="shared" si="6"/>
        <v>1214.3001599999998</v>
      </c>
      <c r="P63" s="409">
        <f t="shared" si="7"/>
        <v>7.87968E-2</v>
      </c>
      <c r="Q63" s="409">
        <f t="shared" si="8"/>
        <v>461.4340608</v>
      </c>
      <c r="R63" s="409">
        <f t="shared" si="9"/>
        <v>7.87968E-2</v>
      </c>
      <c r="S63" s="409">
        <f t="shared" si="10"/>
        <v>461.4340608</v>
      </c>
      <c r="T63" s="409">
        <v>24</v>
      </c>
      <c r="U63" s="413">
        <f t="shared" si="13"/>
        <v>2137.1682815999998</v>
      </c>
      <c r="V63" s="410">
        <f t="shared" si="11"/>
        <v>178.09735679999997</v>
      </c>
      <c r="X63" s="159"/>
    </row>
    <row r="64" spans="3:24" ht="12.75" customHeight="1">
      <c r="C64" s="3" t="s">
        <v>352</v>
      </c>
      <c r="D64" s="389">
        <f>D61/F61</f>
        <v>4.132612326321985E-3</v>
      </c>
      <c r="K64" s="408" t="s">
        <v>143</v>
      </c>
      <c r="L64" s="409">
        <v>1</v>
      </c>
      <c r="M64" s="409">
        <v>37</v>
      </c>
      <c r="N64" s="409">
        <f>L64*M64</f>
        <v>37</v>
      </c>
      <c r="O64" s="409">
        <f t="shared" si="6"/>
        <v>216672</v>
      </c>
      <c r="P64" s="409">
        <f t="shared" si="7"/>
        <v>14.06</v>
      </c>
      <c r="Q64" s="409">
        <f t="shared" si="8"/>
        <v>82335.360000000001</v>
      </c>
      <c r="R64" s="409">
        <f t="shared" si="9"/>
        <v>14.06</v>
      </c>
      <c r="S64" s="409">
        <f t="shared" si="10"/>
        <v>82335.360000000001</v>
      </c>
      <c r="T64" s="409">
        <v>24</v>
      </c>
      <c r="U64" s="413">
        <f>O64+Q64+S64</f>
        <v>381342.71999999997</v>
      </c>
      <c r="V64" s="410">
        <f t="shared" si="11"/>
        <v>31778.559999999998</v>
      </c>
      <c r="X64" s="159"/>
    </row>
    <row r="65" spans="3:24" ht="12.75" customHeight="1">
      <c r="C65" s="3"/>
      <c r="H65" s="33"/>
      <c r="K65" s="408" t="s">
        <v>353</v>
      </c>
      <c r="L65" s="409">
        <v>1</v>
      </c>
      <c r="M65" s="409">
        <v>0.96</v>
      </c>
      <c r="N65" s="409">
        <f t="shared" si="12"/>
        <v>0.96</v>
      </c>
      <c r="O65" s="409">
        <f t="shared" si="6"/>
        <v>5621.7599999999993</v>
      </c>
      <c r="P65" s="409">
        <f t="shared" si="7"/>
        <v>0.36480000000000001</v>
      </c>
      <c r="Q65" s="409">
        <f t="shared" si="8"/>
        <v>2136.2688000000003</v>
      </c>
      <c r="R65" s="409">
        <f t="shared" si="9"/>
        <v>0.36480000000000001</v>
      </c>
      <c r="S65" s="409">
        <f t="shared" si="10"/>
        <v>2136.2688000000003</v>
      </c>
      <c r="T65" s="409">
        <v>24</v>
      </c>
      <c r="U65" s="413">
        <f t="shared" si="13"/>
        <v>9894.2975999999999</v>
      </c>
      <c r="V65" s="410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1" t="s">
        <v>354</v>
      </c>
      <c r="L66" s="409">
        <v>111</v>
      </c>
      <c r="M66" s="409">
        <v>1.0999999999999999E-2</v>
      </c>
      <c r="N66" s="409">
        <f t="shared" si="12"/>
        <v>1.2209999999999999</v>
      </c>
      <c r="O66" s="409">
        <f t="shared" si="6"/>
        <v>7150.1759999999995</v>
      </c>
      <c r="P66" s="409">
        <f t="shared" si="7"/>
        <v>0.46397999999999995</v>
      </c>
      <c r="Q66" s="409">
        <f t="shared" si="8"/>
        <v>2717.0668799999999</v>
      </c>
      <c r="R66" s="409">
        <f t="shared" si="9"/>
        <v>0.46397999999999995</v>
      </c>
      <c r="S66" s="409">
        <f t="shared" si="10"/>
        <v>2717.0668799999999</v>
      </c>
      <c r="T66" s="409">
        <v>24</v>
      </c>
      <c r="U66" s="413">
        <f t="shared" si="13"/>
        <v>12584.30976</v>
      </c>
      <c r="V66" s="410">
        <f t="shared" si="11"/>
        <v>1048.6924799999999</v>
      </c>
      <c r="X66" s="159"/>
    </row>
    <row r="67" spans="3:24" ht="12.75" customHeight="1">
      <c r="C67" s="164"/>
      <c r="D67" s="390" t="s">
        <v>188</v>
      </c>
      <c r="E67" s="64" t="s">
        <v>355</v>
      </c>
      <c r="F67" s="391" t="s">
        <v>356</v>
      </c>
      <c r="G67" s="390" t="s">
        <v>357</v>
      </c>
      <c r="H67" s="159"/>
      <c r="I67" s="33"/>
      <c r="J67" s="159"/>
      <c r="K67" s="551" t="s">
        <v>177</v>
      </c>
      <c r="L67" s="552">
        <v>1</v>
      </c>
      <c r="M67" s="552">
        <v>1794.666667</v>
      </c>
      <c r="N67" s="552">
        <f>L67*M67/30</f>
        <v>59.822222233333335</v>
      </c>
      <c r="O67" s="552">
        <f>N67*$T$49*T67</f>
        <v>350318.93339839997</v>
      </c>
      <c r="P67" s="552">
        <v>0</v>
      </c>
      <c r="Q67" s="552">
        <f t="shared" si="8"/>
        <v>0</v>
      </c>
      <c r="R67" s="552">
        <v>0</v>
      </c>
      <c r="S67" s="552">
        <f t="shared" si="10"/>
        <v>0</v>
      </c>
      <c r="T67" s="552">
        <v>24</v>
      </c>
      <c r="U67" s="553">
        <f>O67+Q67+S67</f>
        <v>350318.93339839997</v>
      </c>
      <c r="V67" s="412">
        <f t="shared" si="11"/>
        <v>29193.244449866663</v>
      </c>
      <c r="X67" s="159"/>
    </row>
    <row r="68" spans="3:24" ht="12.75" customHeight="1">
      <c r="C68" s="4" t="s">
        <v>358</v>
      </c>
      <c r="D68" s="392">
        <f>F61*11.5</f>
        <v>8318983.8013664698</v>
      </c>
      <c r="E68" s="392">
        <f>D68*$D$63</f>
        <v>8284604.66636647</v>
      </c>
      <c r="F68" s="392">
        <f>D68*$D$64</f>
        <v>34379.134999999995</v>
      </c>
      <c r="G68" s="392"/>
      <c r="I68" s="33"/>
      <c r="J68" s="179"/>
      <c r="K68" s="554" t="s">
        <v>180</v>
      </c>
      <c r="L68" s="409">
        <v>1</v>
      </c>
      <c r="M68" s="409">
        <v>3390</v>
      </c>
      <c r="N68" s="409">
        <f>L68*M68/30</f>
        <v>113</v>
      </c>
      <c r="O68" s="409">
        <f>N68*$T$49*T68</f>
        <v>661728</v>
      </c>
      <c r="P68" s="409">
        <v>0</v>
      </c>
      <c r="Q68" s="409">
        <f t="shared" ref="Q68:Q72" si="16">P68*T68*$T$49</f>
        <v>0</v>
      </c>
      <c r="R68" s="409">
        <v>0</v>
      </c>
      <c r="S68" s="409">
        <f t="shared" ref="S68:S72" si="17">R68*T68*$T$49</f>
        <v>0</v>
      </c>
      <c r="T68" s="409">
        <v>24</v>
      </c>
      <c r="U68" s="555">
        <f>O68+Q68+S68</f>
        <v>661728</v>
      </c>
      <c r="V68" s="412">
        <f t="shared" si="11"/>
        <v>55144</v>
      </c>
      <c r="X68" s="159"/>
    </row>
    <row r="69" spans="3:24" ht="12.75" customHeight="1">
      <c r="C69" s="3" t="s">
        <v>359</v>
      </c>
      <c r="D69" s="392">
        <f>D68*0.95</f>
        <v>7903034.6112981457</v>
      </c>
      <c r="E69" s="392">
        <f t="shared" ref="E69:E72" si="18">D69*$D$63</f>
        <v>7870374.4330481458</v>
      </c>
      <c r="F69" s="392">
        <f t="shared" ref="F69:F72" si="19">D69*$D$64</f>
        <v>32660.178249999994</v>
      </c>
      <c r="G69" s="392"/>
      <c r="H69" s="164"/>
      <c r="I69" s="33"/>
      <c r="J69" s="179"/>
      <c r="K69" s="554" t="s">
        <v>181</v>
      </c>
      <c r="L69" s="409">
        <v>1</v>
      </c>
      <c r="M69" s="409">
        <v>61.02</v>
      </c>
      <c r="N69" s="409">
        <f>L69*M69/30</f>
        <v>2.0340000000000003</v>
      </c>
      <c r="O69" s="409">
        <f t="shared" ref="O68:O72" si="20">N69*$T$49*T69</f>
        <v>11911.104000000001</v>
      </c>
      <c r="P69" s="409">
        <v>0</v>
      </c>
      <c r="Q69" s="409">
        <f t="shared" si="16"/>
        <v>0</v>
      </c>
      <c r="R69" s="409">
        <v>0</v>
      </c>
      <c r="S69" s="409">
        <f t="shared" si="17"/>
        <v>0</v>
      </c>
      <c r="T69" s="409">
        <v>24</v>
      </c>
      <c r="U69" s="555">
        <f t="shared" si="13"/>
        <v>11911.104000000001</v>
      </c>
      <c r="V69" s="412">
        <f t="shared" si="11"/>
        <v>992.5920000000001</v>
      </c>
      <c r="X69" s="159"/>
    </row>
    <row r="70" spans="3:24" ht="12.75" customHeight="1">
      <c r="C70" s="3" t="s">
        <v>360</v>
      </c>
      <c r="D70" s="392">
        <f>D68*0.025</f>
        <v>207974.59503416176</v>
      </c>
      <c r="E70" s="392">
        <f t="shared" si="18"/>
        <v>207115.11665916175</v>
      </c>
      <c r="F70" s="392">
        <f t="shared" si="19"/>
        <v>859.47837499999991</v>
      </c>
      <c r="G70" s="392"/>
      <c r="H70" s="4"/>
      <c r="I70" s="33"/>
      <c r="J70" s="179"/>
      <c r="K70" s="554" t="s">
        <v>182</v>
      </c>
      <c r="L70" s="409">
        <v>1</v>
      </c>
      <c r="M70" s="409">
        <f>44748/12</f>
        <v>3729</v>
      </c>
      <c r="N70" s="409">
        <f>L70*M70/30</f>
        <v>124.3</v>
      </c>
      <c r="O70" s="409">
        <f>N70*$T$49*T70/30</f>
        <v>24263.360000000001</v>
      </c>
      <c r="P70" s="409">
        <v>0</v>
      </c>
      <c r="Q70" s="409">
        <f>P70*T70*$T$49</f>
        <v>0</v>
      </c>
      <c r="R70" s="409">
        <v>0</v>
      </c>
      <c r="S70" s="409">
        <f>R70*T70*$T$49</f>
        <v>0</v>
      </c>
      <c r="T70" s="409">
        <v>24</v>
      </c>
      <c r="U70" s="555">
        <f t="shared" si="13"/>
        <v>24263.360000000001</v>
      </c>
      <c r="V70" s="412">
        <f t="shared" si="11"/>
        <v>2021.9466666666667</v>
      </c>
      <c r="X70" s="159"/>
    </row>
    <row r="71" spans="3:24" ht="12.75" customHeight="1">
      <c r="C71" s="3" t="s">
        <v>361</v>
      </c>
      <c r="D71" s="392">
        <f>D68*0.025</f>
        <v>207974.59503416176</v>
      </c>
      <c r="E71" s="392">
        <f>D71*$D$63</f>
        <v>207115.11665916175</v>
      </c>
      <c r="F71" s="392">
        <f>D71*$D$64</f>
        <v>859.47837499999991</v>
      </c>
      <c r="G71" s="392"/>
      <c r="H71" s="4"/>
      <c r="I71" s="53"/>
      <c r="J71" s="179"/>
      <c r="K71" s="554" t="s">
        <v>183</v>
      </c>
      <c r="L71" s="409">
        <v>1</v>
      </c>
      <c r="M71" s="409">
        <v>508.5</v>
      </c>
      <c r="N71" s="409">
        <f>L71*M71/30</f>
        <v>16.95</v>
      </c>
      <c r="O71" s="409">
        <f t="shared" si="20"/>
        <v>99259.200000000012</v>
      </c>
      <c r="P71" s="409">
        <v>0</v>
      </c>
      <c r="Q71" s="409">
        <f t="shared" si="16"/>
        <v>0</v>
      </c>
      <c r="R71" s="409">
        <v>0</v>
      </c>
      <c r="S71" s="409">
        <f>R71*T71*$T$49</f>
        <v>0</v>
      </c>
      <c r="T71" s="409">
        <v>24</v>
      </c>
      <c r="U71" s="555">
        <f>O71+Q71+S71</f>
        <v>99259.200000000012</v>
      </c>
      <c r="V71" s="412">
        <f t="shared" si="11"/>
        <v>8271.6</v>
      </c>
      <c r="X71" s="159"/>
    </row>
    <row r="72" spans="3:24" ht="12.75" customHeight="1" thickBot="1">
      <c r="C72" s="4" t="s">
        <v>362</v>
      </c>
      <c r="D72" s="392">
        <f>D69*M92</f>
        <v>200076.82560248469</v>
      </c>
      <c r="E72" s="392">
        <f t="shared" si="18"/>
        <v>199249.9856467885</v>
      </c>
      <c r="F72" s="392">
        <f>D72*$D$64</f>
        <v>826.83995569620231</v>
      </c>
      <c r="G72" s="392"/>
      <c r="H72" s="4"/>
      <c r="I72" s="53"/>
      <c r="J72" s="179"/>
      <c r="K72" s="556" t="s">
        <v>185</v>
      </c>
      <c r="L72" s="557">
        <v>1</v>
      </c>
      <c r="M72" s="557">
        <v>44.747999999999998</v>
      </c>
      <c r="N72" s="557">
        <f>L72*M72/30</f>
        <v>1.4915999999999998</v>
      </c>
      <c r="O72" s="557">
        <f>N72*$T$49*T72/30</f>
        <v>291.16031999999996</v>
      </c>
      <c r="P72" s="557">
        <v>0</v>
      </c>
      <c r="Q72" s="557">
        <f t="shared" si="16"/>
        <v>0</v>
      </c>
      <c r="R72" s="557">
        <v>0</v>
      </c>
      <c r="S72" s="557">
        <f t="shared" si="17"/>
        <v>0</v>
      </c>
      <c r="T72" s="557">
        <v>24</v>
      </c>
      <c r="U72" s="558">
        <f t="shared" si="13"/>
        <v>291.16031999999996</v>
      </c>
      <c r="V72" s="412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1">SUM(O54:O65)</f>
        <v>2335719.5532799996</v>
      </c>
      <c r="P73" s="225">
        <f t="shared" si="21"/>
        <v>585.03796799999975</v>
      </c>
      <c r="Q73" s="225">
        <f t="shared" si="21"/>
        <v>887573.43024640006</v>
      </c>
      <c r="R73" s="225">
        <f t="shared" si="21"/>
        <v>585.03796799999975</v>
      </c>
      <c r="S73" s="225">
        <f t="shared" si="21"/>
        <v>887573.43024640006</v>
      </c>
      <c r="T73" s="225"/>
      <c r="U73" s="433">
        <f>+SUM(U54:U72)</f>
        <v>5271222.4812512007</v>
      </c>
      <c r="V73" s="434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68" t="s">
        <v>363</v>
      </c>
      <c r="D76" s="1070"/>
      <c r="E76" s="1070"/>
      <c r="F76" s="1070"/>
      <c r="G76" s="1070"/>
      <c r="H76" s="1071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7" t="s">
        <v>13</v>
      </c>
      <c r="M81" s="1072"/>
      <c r="N81" s="1072"/>
      <c r="O81" s="1072"/>
      <c r="P81" s="1073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3" t="s">
        <v>377</v>
      </c>
      <c r="E82" s="16" t="s">
        <v>378</v>
      </c>
      <c r="F82" s="4">
        <f>'E-Inv AF y Am'!B21*0.01</f>
        <v>611410.48631250008</v>
      </c>
      <c r="G82" s="4">
        <f>'E-Inv AF y Am'!$B$21*0.01</f>
        <v>611410.48631250008</v>
      </c>
      <c r="H82" s="4">
        <f>'E-Inv AF y Am'!$B$21*0.01</f>
        <v>611410.48631250008</v>
      </c>
      <c r="I82" s="4">
        <f>'E-Inv AF y Am'!$B$21*0.01</f>
        <v>611410.48631250008</v>
      </c>
      <c r="J82" s="55">
        <f>'E-Inv AF y Am'!$B$21*'CA COSTOS'!D82</f>
        <v>611410.48631250008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3" t="s">
        <v>381</v>
      </c>
      <c r="E83" s="16" t="s">
        <v>378</v>
      </c>
      <c r="F83" s="394">
        <f>'E-Inv AF y Am'!$B$21*0.016</f>
        <v>978256.7781</v>
      </c>
      <c r="G83" s="4">
        <f>'E-Inv AF y Am'!$B$21*0.016</f>
        <v>978256.7781</v>
      </c>
      <c r="H83" s="4">
        <f>'E-Inv AF y Am'!$B$21*0.016</f>
        <v>978256.7781</v>
      </c>
      <c r="I83" s="4">
        <f>'E-Inv AF y Am'!$B$21*0.016</f>
        <v>978256.7781</v>
      </c>
      <c r="J83" s="55">
        <f>'E-Inv AF y Am'!$B$21*'CA COSTOS'!D83</f>
        <v>978256.7781</v>
      </c>
      <c r="L83" s="258" t="s">
        <v>382</v>
      </c>
      <c r="M83" s="414">
        <v>0</v>
      </c>
      <c r="N83" s="415">
        <v>1598</v>
      </c>
      <c r="O83" s="281">
        <v>1890</v>
      </c>
      <c r="P83" s="282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3" t="s">
        <v>385</v>
      </c>
      <c r="E84" s="16" t="s">
        <v>386</v>
      </c>
      <c r="F84" s="197">
        <f>I9*0.015</f>
        <v>18076320</v>
      </c>
      <c r="G84" s="4">
        <f>$J$9*0.015</f>
        <v>16820622</v>
      </c>
      <c r="H84" s="4">
        <f>$J$9*D84</f>
        <v>16820622</v>
      </c>
      <c r="I84" s="4">
        <f>$J$9*0.015</f>
        <v>16820622</v>
      </c>
      <c r="J84" s="395">
        <f>J9*0.015</f>
        <v>16820622</v>
      </c>
      <c r="L84" s="429" t="s">
        <v>387</v>
      </c>
      <c r="M84" s="414">
        <v>0</v>
      </c>
      <c r="N84" s="280">
        <v>37.058824000000001</v>
      </c>
      <c r="O84" s="284">
        <v>37.058823500000003</v>
      </c>
      <c r="P84" s="282" t="s">
        <v>383</v>
      </c>
      <c r="S84" s="227"/>
      <c r="V84" s="159"/>
    </row>
    <row r="85" spans="2:22" ht="12.75" customHeight="1">
      <c r="C85" s="16" t="s">
        <v>267</v>
      </c>
      <c r="D85" s="393" t="s">
        <v>388</v>
      </c>
      <c r="E85" s="16" t="s">
        <v>389</v>
      </c>
      <c r="F85" s="197">
        <f>$G$29*0.03</f>
        <v>214858.7298</v>
      </c>
      <c r="G85" s="4">
        <f t="shared" ref="G85:I85" si="22">$G$29*0.03</f>
        <v>214858.7298</v>
      </c>
      <c r="H85" s="4">
        <f t="shared" si="22"/>
        <v>214858.7298</v>
      </c>
      <c r="I85" s="4">
        <f t="shared" si="22"/>
        <v>214858.7298</v>
      </c>
      <c r="J85" s="396">
        <f>$G$29*D85</f>
        <v>214858.7298</v>
      </c>
      <c r="L85" s="430" t="s">
        <v>390</v>
      </c>
      <c r="M85" s="414">
        <v>0</v>
      </c>
      <c r="N85" s="280">
        <v>1617</v>
      </c>
      <c r="O85" s="285">
        <v>1890</v>
      </c>
      <c r="P85" s="282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7" t="s">
        <v>224</v>
      </c>
      <c r="F86" s="398">
        <f>SUM(F82:F85)</f>
        <v>19880845.994212501</v>
      </c>
      <c r="G86" s="398">
        <f>SUM(G82:G85)</f>
        <v>18625147.994212501</v>
      </c>
      <c r="H86" s="398">
        <f t="shared" ref="H86:I86" si="23">SUM(H82:H85)</f>
        <v>18625147.994212501</v>
      </c>
      <c r="I86" s="398">
        <f t="shared" si="23"/>
        <v>18625147.994212501</v>
      </c>
      <c r="J86" s="399">
        <f>SUM(J82:J85)</f>
        <v>18625147.994212501</v>
      </c>
      <c r="K86" t="s">
        <v>391</v>
      </c>
      <c r="L86" s="430" t="s">
        <v>392</v>
      </c>
      <c r="M86" s="414">
        <v>0</v>
      </c>
      <c r="N86" s="280">
        <v>0</v>
      </c>
      <c r="O86" s="284">
        <v>0</v>
      </c>
      <c r="P86" s="282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400" t="s">
        <v>393</v>
      </c>
      <c r="E87" s="401">
        <v>0.9</v>
      </c>
      <c r="F87" s="4">
        <f>F$86*E87</f>
        <v>17892761.394791253</v>
      </c>
      <c r="G87" s="4">
        <f t="shared" ref="G87:G89" si="24">$G$86*E87</f>
        <v>16762633.194791252</v>
      </c>
      <c r="H87" s="4">
        <f t="shared" ref="H87" si="25">H86*E87</f>
        <v>16762633.194791252</v>
      </c>
      <c r="I87" s="4">
        <f t="shared" ref="I87:I89" si="26">$I$86*E87</f>
        <v>16762633.194791252</v>
      </c>
      <c r="J87" s="4">
        <f>J86*E87</f>
        <v>16762633.194791252</v>
      </c>
      <c r="K87" s="402">
        <f>J87/12</f>
        <v>1396886.0995659376</v>
      </c>
      <c r="L87" s="430" t="s">
        <v>31</v>
      </c>
      <c r="M87" s="414">
        <v>0</v>
      </c>
      <c r="N87" s="280">
        <v>42</v>
      </c>
      <c r="O87" s="284">
        <v>42</v>
      </c>
      <c r="P87" s="282" t="s">
        <v>383</v>
      </c>
      <c r="S87" s="163"/>
      <c r="V87" s="159"/>
    </row>
    <row r="88" spans="2:22" ht="12.75" customHeight="1">
      <c r="D88" s="403" t="s">
        <v>394</v>
      </c>
      <c r="E88" s="404">
        <v>0.05</v>
      </c>
      <c r="F88" s="4">
        <f t="shared" ref="F88:F89" si="27">$F$86*E88</f>
        <v>994042.29971062508</v>
      </c>
      <c r="G88" s="4">
        <f t="shared" si="24"/>
        <v>931257.39971062506</v>
      </c>
      <c r="H88" s="4">
        <f>H86*E88</f>
        <v>931257.39971062506</v>
      </c>
      <c r="I88" s="4">
        <f t="shared" si="26"/>
        <v>931257.39971062506</v>
      </c>
      <c r="J88" s="4">
        <f>J86*E88</f>
        <v>931257.39971062506</v>
      </c>
      <c r="K88" s="402">
        <f>J88/12</f>
        <v>77604.78330921875</v>
      </c>
      <c r="L88" s="430" t="s">
        <v>395</v>
      </c>
      <c r="M88" s="414">
        <v>0</v>
      </c>
      <c r="N88" s="279">
        <v>1659</v>
      </c>
      <c r="O88" s="279">
        <v>1890</v>
      </c>
      <c r="P88" s="282" t="s">
        <v>383</v>
      </c>
      <c r="S88" s="163" t="s">
        <v>396</v>
      </c>
      <c r="V88" s="159"/>
    </row>
    <row r="89" spans="2:22" ht="12.75" customHeight="1">
      <c r="D89" s="403" t="s">
        <v>397</v>
      </c>
      <c r="E89" s="404">
        <v>0.05</v>
      </c>
      <c r="F89" s="4">
        <f t="shared" si="27"/>
        <v>994042.29971062508</v>
      </c>
      <c r="G89" s="4">
        <f t="shared" si="24"/>
        <v>931257.39971062506</v>
      </c>
      <c r="H89" s="4">
        <f>H86*E89</f>
        <v>931257.39971062506</v>
      </c>
      <c r="I89" s="4">
        <f t="shared" si="26"/>
        <v>931257.39971062506</v>
      </c>
      <c r="J89" s="4">
        <f>J86*E89</f>
        <v>931257.39971062506</v>
      </c>
      <c r="K89" s="402">
        <f>J89/12</f>
        <v>77604.78330921875</v>
      </c>
      <c r="L89" s="430" t="s">
        <v>398</v>
      </c>
      <c r="M89" s="414">
        <v>0</v>
      </c>
      <c r="N89" s="279">
        <v>165</v>
      </c>
      <c r="O89" s="279">
        <v>165</v>
      </c>
      <c r="P89" s="282" t="s">
        <v>383</v>
      </c>
      <c r="Q89" s="417"/>
      <c r="S89" s="163" t="s">
        <v>399</v>
      </c>
      <c r="V89" s="159"/>
    </row>
    <row r="90" spans="2:22" ht="12.75" customHeight="1">
      <c r="J90" t="s">
        <v>224</v>
      </c>
      <c r="K90" s="402">
        <f>SUM(K87:K89)</f>
        <v>1552095.6661843751</v>
      </c>
      <c r="L90" s="431" t="s">
        <v>400</v>
      </c>
      <c r="M90" s="416">
        <v>1616.5531900000001</v>
      </c>
      <c r="N90" s="279">
        <v>208</v>
      </c>
      <c r="O90" s="279">
        <v>1682</v>
      </c>
      <c r="P90" s="282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2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56" t="s">
        <v>401</v>
      </c>
      <c r="D94" s="1053"/>
      <c r="E94" s="1053"/>
      <c r="F94" s="1053"/>
      <c r="G94" s="1053"/>
      <c r="H94" s="1054"/>
      <c r="I94" s="159"/>
      <c r="V94" s="159"/>
    </row>
    <row r="95" spans="2:22" ht="12.75" customHeight="1">
      <c r="C95" s="423" t="s">
        <v>402</v>
      </c>
      <c r="D95" s="424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9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M96*'E-Costos'!C129</f>
        <v>1368386.117121489</v>
      </c>
      <c r="N97" s="62">
        <f>$N$96*'E-Costos'!$D$129</f>
        <v>1151132.1588529081</v>
      </c>
      <c r="O97" s="62">
        <f>O96*'E-Costos'!E129</f>
        <v>1150704.0414049989</v>
      </c>
      <c r="P97" s="62">
        <f>$P$96*'E-Costos'!$F$129</f>
        <v>1150704.0414049989</v>
      </c>
      <c r="Q97" s="62">
        <f>$P$96*'E-Costos'!$F$129</f>
        <v>1150704.0414049989</v>
      </c>
    </row>
    <row r="98" spans="2:32" ht="12.75" customHeight="1">
      <c r="B98" s="159"/>
      <c r="C98" s="956" t="s">
        <v>405</v>
      </c>
      <c r="D98" s="1053"/>
      <c r="E98" s="1053"/>
      <c r="F98" s="1053"/>
      <c r="G98" s="1053"/>
      <c r="H98" s="1054"/>
      <c r="I98" s="159"/>
      <c r="L98" s="16" t="s">
        <v>406</v>
      </c>
      <c r="M98" s="62"/>
      <c r="N98" s="62">
        <f>M97</f>
        <v>1368386.117121489</v>
      </c>
      <c r="O98" s="62">
        <f t="shared" ref="O98:Q98" si="28">N97</f>
        <v>1151132.1588529081</v>
      </c>
      <c r="P98" s="62">
        <f t="shared" si="28"/>
        <v>1150704.0414049989</v>
      </c>
      <c r="Q98" s="62">
        <f t="shared" si="28"/>
        <v>1150704.0414049989</v>
      </c>
    </row>
    <row r="99" spans="2:32" ht="12.75" customHeight="1">
      <c r="C99" s="424" t="s">
        <v>188</v>
      </c>
      <c r="D99" s="424" t="s">
        <v>337</v>
      </c>
      <c r="E99" s="425" t="s">
        <v>122</v>
      </c>
      <c r="F99" s="159"/>
      <c r="G99" s="159"/>
      <c r="H99" s="159"/>
      <c r="L99" s="16" t="s">
        <v>407</v>
      </c>
      <c r="M99" s="62">
        <f>M97-M98</f>
        <v>1368386.117121489</v>
      </c>
      <c r="N99" s="62">
        <f t="shared" ref="N99:Q99" si="29">N97-N98</f>
        <v>-217253.95826858096</v>
      </c>
      <c r="O99" s="62">
        <f t="shared" si="29"/>
        <v>-428.11744790920056</v>
      </c>
      <c r="P99" s="62">
        <f t="shared" si="29"/>
        <v>0</v>
      </c>
      <c r="Q99" s="62">
        <f t="shared" si="29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56" t="s">
        <v>413</v>
      </c>
      <c r="D107" s="1053"/>
      <c r="E107" s="1053"/>
      <c r="F107" s="1053"/>
      <c r="G107" s="1053"/>
      <c r="H107" s="1054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4" t="s">
        <v>336</v>
      </c>
      <c r="D108" s="424" t="s">
        <v>337</v>
      </c>
      <c r="E108" s="425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234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388206000</v>
      </c>
    </row>
    <row r="132" spans="3:7" ht="12.75" customHeight="1">
      <c r="C132" s="210" t="s">
        <v>421</v>
      </c>
      <c r="D132" s="211">
        <f>D127*D129</f>
        <v>9898200</v>
      </c>
      <c r="E132" s="159"/>
    </row>
    <row r="133" spans="3:7" ht="12.75" customHeight="1">
      <c r="C133" s="65" t="s">
        <v>422</v>
      </c>
      <c r="D133" s="211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17892761.394791253</v>
      </c>
      <c r="E150" s="215">
        <f>D150/'InfoInicial-CálcAux'!L14</f>
        <v>11.065405933698981</v>
      </c>
      <c r="F150" s="215">
        <f>E150*'InfoInicial-CálcAux'!L16</f>
        <v>464747.04921535723</v>
      </c>
    </row>
    <row r="151" spans="3:7" ht="12.75" customHeight="1">
      <c r="C151" s="4" t="s">
        <v>438</v>
      </c>
      <c r="D151" s="215">
        <f>G87</f>
        <v>16762633.194791252</v>
      </c>
      <c r="E151" s="215">
        <f>D151/'InfoInicial-CálcAux'!M14</f>
        <v>8.8691180924821431</v>
      </c>
      <c r="F151" s="215">
        <f>E151*'InfoInicial-CálcAux'!M16</f>
        <v>372502.95988425001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1878524.9039464106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96" t="s">
        <v>443</v>
      </c>
      <c r="D163" s="1074"/>
      <c r="E163" s="1074"/>
      <c r="F163" s="1074"/>
      <c r="G163" s="1074"/>
      <c r="H163" s="1075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(('E-Costos'!C7-'E-Costos'!C34-'E-Costos'!H34)/'InfoInicial-CálcAux'!L14)*'InfoInicial-CálcAux'!L13</f>
        <v>26270163.504211109</v>
      </c>
      <c r="E165" s="69">
        <f>('E-Costos'!D7-'E-Costos'!D34)*'InfoInicial-CálcAux'!M13/'InfoInicial-CálcAux'!M14</f>
        <v>21793548.734562259</v>
      </c>
      <c r="F165" s="69">
        <f>('E-Costos'!E7-'E-Costos'!E34)*'InfoInicial-CálcAux'!M13/'InfoInicial-CálcAux'!M14</f>
        <v>21793548.734562259</v>
      </c>
      <c r="G165" s="69">
        <f>('E-Costos'!F7-'E-Costos'!F34)*'InfoInicial-CálcAux'!M13/'InfoInicial-CálcAux'!M14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450</v>
      </c>
      <c r="D166" s="71">
        <f>('E-Costos'!C8-'E-Costos'!C35-'E-Costos'!H35)*'InfoInicial-CálcAux'!L13/'InfoInicial-CálcAux'!L14</f>
        <v>74300.8142138619</v>
      </c>
      <c r="E166" s="69">
        <f>('E-Costos'!D8-'E-Costos'!D35)*'InfoInicial-CálcAux'!M13/'InfoInicial-CálcAux'!M14</f>
        <v>63945.46008327794</v>
      </c>
      <c r="F166" s="69">
        <f t="shared" ref="F166:H166" si="30">E166</f>
        <v>63945.46008327794</v>
      </c>
      <c r="G166" s="69">
        <f t="shared" si="30"/>
        <v>63945.46008327794</v>
      </c>
      <c r="H166" s="69">
        <f t="shared" si="30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('E-Costos'!C12-'E-Costos'!C39-'E-Costos'!H39)*'InfoInicial-CálcAux'!L13/'InfoInicial-CálcAux'!L14</f>
        <v>356367.21861917462</v>
      </c>
      <c r="E170" s="71">
        <f>('E-Costos'!D12-'E-Costos'!D39)*'InfoInicial-CálcAux'!M13/'InfoInicial-CálcAux'!M14</f>
        <v>321375.1023901758</v>
      </c>
      <c r="F170" s="71">
        <f t="shared" ref="F170:H170" si="31">E170</f>
        <v>321375.1023901758</v>
      </c>
      <c r="G170" s="71">
        <f t="shared" si="31"/>
        <v>321375.1023901758</v>
      </c>
      <c r="H170" s="71">
        <f t="shared" si="31"/>
        <v>321375.1023901758</v>
      </c>
      <c r="I170" s="70"/>
    </row>
    <row r="171" spans="3:9" ht="12.75" customHeight="1">
      <c r="C171" s="6" t="s">
        <v>455</v>
      </c>
      <c r="D171" s="71">
        <f>('E-Costos'!C13-'E-Costos'!C40-'E-Costos'!H40)*'InfoInicial-CálcAux'!M13/'InfoInicial-CálcAux'!M14</f>
        <v>151022.17528680715</v>
      </c>
      <c r="E171" s="71">
        <f>('E-Costos'!D13-'E-Costos'!D40)*'InfoInicial-CálcAux'!M13/'InfoInicial-CálcAux'!M14</f>
        <v>151038.38783494517</v>
      </c>
      <c r="F171" s="71">
        <f t="shared" ref="F171:H171" si="32">E171</f>
        <v>151038.38783494517</v>
      </c>
      <c r="G171" s="71">
        <f t="shared" si="32"/>
        <v>151038.38783494517</v>
      </c>
      <c r="H171" s="71">
        <f t="shared" si="32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C163:H163"/>
    <mergeCell ref="C76:H76"/>
    <mergeCell ref="C94:H94"/>
    <mergeCell ref="C98:H98"/>
    <mergeCell ref="C107:H107"/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1"/>
  <sheetViews>
    <sheetView showGridLines="0" topLeftCell="A12" workbookViewId="0">
      <selection activeCell="B30" sqref="B30"/>
    </sheetView>
  </sheetViews>
  <sheetFormatPr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9" t="s">
        <v>464</v>
      </c>
      <c r="B3" s="997" t="s">
        <v>465</v>
      </c>
      <c r="C3" s="1076"/>
      <c r="D3" s="997" t="s">
        <v>466</v>
      </c>
      <c r="E3" s="1077"/>
      <c r="F3" s="450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1"/>
      <c r="B4" s="435" t="s">
        <v>14</v>
      </c>
      <c r="C4" s="435" t="s">
        <v>2</v>
      </c>
      <c r="D4" s="435" t="s">
        <v>14</v>
      </c>
      <c r="E4" s="436" t="s">
        <v>2</v>
      </c>
      <c r="F4" s="4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2"/>
      <c r="C5" s="452"/>
      <c r="D5" s="452"/>
      <c r="E5" s="452"/>
      <c r="F5" s="45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3" t="s">
        <v>468</v>
      </c>
      <c r="B6" s="454" t="s">
        <v>200</v>
      </c>
      <c r="C6" s="455"/>
      <c r="D6" s="455"/>
      <c r="E6" s="455"/>
      <c r="F6" s="45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6" t="s">
        <v>469</v>
      </c>
      <c r="B7" s="457" t="s">
        <v>470</v>
      </c>
      <c r="C7" s="458">
        <v>0</v>
      </c>
      <c r="D7" s="458">
        <v>0</v>
      </c>
      <c r="E7" s="458">
        <v>0</v>
      </c>
      <c r="F7" s="45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6" t="s">
        <v>109</v>
      </c>
      <c r="B8" s="459"/>
      <c r="C8" s="458"/>
      <c r="D8" s="458">
        <v>0</v>
      </c>
      <c r="E8" s="458">
        <v>0</v>
      </c>
      <c r="F8" s="45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6" t="s">
        <v>471</v>
      </c>
      <c r="B9" s="460">
        <f>'CA Inv AF y Am'!E79</f>
        <v>26358260</v>
      </c>
      <c r="C9" s="458">
        <v>0</v>
      </c>
      <c r="D9" s="458">
        <v>0</v>
      </c>
      <c r="E9" s="458">
        <v>0</v>
      </c>
      <c r="F9" s="461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6" t="s">
        <v>473</v>
      </c>
      <c r="B10" s="457" t="s">
        <v>200</v>
      </c>
      <c r="C10" s="458"/>
      <c r="D10" s="458"/>
      <c r="E10" s="458"/>
      <c r="F10" s="455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6" t="s">
        <v>474</v>
      </c>
      <c r="B11" s="460">
        <f>'CA Inv AF y Am'!E46</f>
        <v>16385145</v>
      </c>
      <c r="C11" s="458">
        <v>0</v>
      </c>
      <c r="D11" s="458">
        <v>0</v>
      </c>
      <c r="E11" s="458">
        <v>0</v>
      </c>
      <c r="F11" s="45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6" t="s">
        <v>475</v>
      </c>
      <c r="B12" s="460">
        <f>'CA Inv AF y Am'!E49</f>
        <v>3131782.5</v>
      </c>
      <c r="C12" s="458"/>
      <c r="D12" s="458"/>
      <c r="E12" s="458"/>
      <c r="F12" s="45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6" t="s">
        <v>476</v>
      </c>
      <c r="B13" s="460">
        <f>B11*0.1</f>
        <v>1638514.5</v>
      </c>
      <c r="C13" s="458">
        <v>0</v>
      </c>
      <c r="D13" s="458">
        <v>0</v>
      </c>
      <c r="E13" s="458">
        <v>0</v>
      </c>
      <c r="F13" s="461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6" t="s">
        <v>478</v>
      </c>
      <c r="B14" s="460">
        <f>SUM(B11:B12)*0.15</f>
        <v>2927539.125</v>
      </c>
      <c r="C14" s="458"/>
      <c r="D14" s="458"/>
      <c r="E14" s="458"/>
      <c r="F14" s="461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6" t="s">
        <v>480</v>
      </c>
      <c r="B15" s="457" t="s">
        <v>470</v>
      </c>
      <c r="C15" s="458">
        <v>0</v>
      </c>
      <c r="D15" s="458">
        <v>0</v>
      </c>
      <c r="E15" s="458">
        <v>0</v>
      </c>
      <c r="F15" s="4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6" t="s">
        <v>481</v>
      </c>
      <c r="B16" s="460">
        <f>'CA Inv AF y Am'!E37</f>
        <v>6671829</v>
      </c>
      <c r="C16" s="458"/>
      <c r="D16" s="458"/>
      <c r="E16" s="458"/>
      <c r="F16" s="45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6" t="s">
        <v>482</v>
      </c>
      <c r="B17" s="460">
        <f>'CA Inv AF y Am'!E6*0.01</f>
        <v>1116500</v>
      </c>
      <c r="C17" s="458"/>
      <c r="D17" s="458"/>
      <c r="E17" s="458"/>
      <c r="F17" s="461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6" t="s">
        <v>484</v>
      </c>
      <c r="B18" s="457" t="s">
        <v>470</v>
      </c>
      <c r="C18" s="458">
        <v>0</v>
      </c>
      <c r="D18" s="458">
        <v>0</v>
      </c>
      <c r="E18" s="458">
        <v>0</v>
      </c>
      <c r="F18" s="45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6" t="s">
        <v>76</v>
      </c>
      <c r="B19" s="460">
        <f>SUM(B7:B18)*InfoInicial!B14</f>
        <v>2911478.5062500001</v>
      </c>
      <c r="C19" s="458">
        <v>0</v>
      </c>
      <c r="D19" s="458">
        <v>0</v>
      </c>
      <c r="E19" s="458">
        <v>0</v>
      </c>
      <c r="F19" s="45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6" t="s">
        <v>200</v>
      </c>
      <c r="B20" s="457" t="s">
        <v>200</v>
      </c>
      <c r="C20" s="458"/>
      <c r="D20" s="458"/>
      <c r="E20" s="458"/>
      <c r="F20" s="45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2" t="s">
        <v>485</v>
      </c>
      <c r="B21" s="460">
        <f>SUM(B7:B19)</f>
        <v>61141048.631250001</v>
      </c>
      <c r="C21" s="458">
        <v>0</v>
      </c>
      <c r="D21" s="458">
        <v>0</v>
      </c>
      <c r="E21" s="458">
        <v>0</v>
      </c>
      <c r="F21" s="45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6" t="s">
        <v>200</v>
      </c>
      <c r="B22" s="457" t="s">
        <v>200</v>
      </c>
      <c r="C22" s="458"/>
      <c r="D22" s="458"/>
      <c r="E22" s="458"/>
      <c r="F22" s="4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3" t="s">
        <v>486</v>
      </c>
      <c r="B23" s="454" t="s">
        <v>200</v>
      </c>
      <c r="C23" s="458"/>
      <c r="D23" s="458"/>
      <c r="E23" s="458"/>
      <c r="F23" s="45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6" t="s">
        <v>487</v>
      </c>
      <c r="B24" s="460">
        <v>1620000</v>
      </c>
      <c r="C24" s="458">
        <v>0</v>
      </c>
      <c r="D24" s="458"/>
      <c r="E24" s="458"/>
      <c r="F24" s="45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6" t="s">
        <v>187</v>
      </c>
      <c r="B25" s="460">
        <f>'CA Inv AF y Am'!D55</f>
        <v>44640</v>
      </c>
      <c r="C25" s="458">
        <v>0</v>
      </c>
      <c r="D25" s="458"/>
      <c r="E25" s="458"/>
      <c r="F25" s="46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6" t="s">
        <v>190</v>
      </c>
      <c r="B26" s="460">
        <f>'CA Inv AF y Am'!D59</f>
        <v>373000</v>
      </c>
      <c r="C26" s="458">
        <v>0</v>
      </c>
      <c r="D26" s="458"/>
      <c r="E26" s="458"/>
      <c r="F26" s="45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6" t="s">
        <v>488</v>
      </c>
      <c r="B27" s="457" t="s">
        <v>470</v>
      </c>
      <c r="C27" s="460">
        <f>'E-Costos'!H46</f>
        <v>53369376.9612929</v>
      </c>
      <c r="D27" s="458"/>
      <c r="E27" s="458"/>
      <c r="F27" s="4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6" t="s">
        <v>205</v>
      </c>
      <c r="B28" s="460">
        <f>'CA Inv AF y Am'!D68</f>
        <v>56263</v>
      </c>
      <c r="C28" s="458">
        <v>0</v>
      </c>
      <c r="D28" s="458">
        <v>0</v>
      </c>
      <c r="E28" s="458">
        <v>0</v>
      </c>
      <c r="F28" s="45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6" t="s">
        <v>196</v>
      </c>
      <c r="B29" s="457" t="s">
        <v>470</v>
      </c>
      <c r="C29" s="458">
        <f>'CA Inv AF y Am'!D64</f>
        <v>1022210</v>
      </c>
      <c r="D29" s="458"/>
      <c r="E29" s="458"/>
      <c r="F29" s="461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6" t="s">
        <v>490</v>
      </c>
      <c r="B30" s="457">
        <f>alternativa!B11+alternativa!B4*12</f>
        <v>30341250</v>
      </c>
      <c r="C30" s="458"/>
      <c r="D30" s="458"/>
      <c r="E30" s="458"/>
      <c r="F30" s="46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6" t="s">
        <v>491</v>
      </c>
      <c r="B31" s="457" t="s">
        <v>470</v>
      </c>
      <c r="C31" s="458">
        <v>0</v>
      </c>
      <c r="D31" s="458">
        <v>0</v>
      </c>
      <c r="E31" s="458">
        <v>0</v>
      </c>
      <c r="F31" s="45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56" t="s">
        <v>76</v>
      </c>
      <c r="B32" s="460">
        <f>SUM(B24:B31)*InfoInicial!B14</f>
        <v>1621757.6500000001</v>
      </c>
      <c r="C32" s="460">
        <f>SUM(C24:C31)*InfoInicial!B14</f>
        <v>2719579.3480646452</v>
      </c>
      <c r="D32" s="458"/>
      <c r="E32" s="458"/>
      <c r="F32" s="45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3"/>
      <c r="B33" s="464" t="s">
        <v>492</v>
      </c>
      <c r="C33" s="458"/>
      <c r="D33" s="458"/>
      <c r="E33" s="458"/>
      <c r="F33" s="45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2" t="s">
        <v>493</v>
      </c>
      <c r="B34" s="458">
        <f>SUM(B24:B32)+B8</f>
        <v>34056910.649999999</v>
      </c>
      <c r="C34" s="458">
        <f>SUM(C24:C32) +C8</f>
        <v>57111166.309357546</v>
      </c>
      <c r="D34" s="458"/>
      <c r="E34" s="458"/>
      <c r="F34" s="45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"/>
      <c r="B35" s="458"/>
      <c r="C35" s="458"/>
      <c r="D35" s="458"/>
      <c r="E35" s="458"/>
      <c r="F35" s="45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8">
        <f>B21+B34</f>
        <v>95197959.28125</v>
      </c>
      <c r="C36" s="458">
        <f>C21+C34</f>
        <v>57111166.309357546</v>
      </c>
      <c r="D36" s="458">
        <f t="shared" ref="D36" si="0">D21+D34</f>
        <v>0</v>
      </c>
      <c r="E36" s="458"/>
      <c r="F36" s="45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2" t="s">
        <v>495</v>
      </c>
      <c r="B37" s="458">
        <f>(B36)*InfoInicial!B3</f>
        <v>19991571.4490625</v>
      </c>
      <c r="C37" s="458">
        <f>InfoInicial!B3*C36</f>
        <v>11993344.924965084</v>
      </c>
      <c r="D37" s="458"/>
      <c r="E37" s="458"/>
      <c r="F37" s="45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3"/>
      <c r="B38" s="458"/>
      <c r="C38" s="458"/>
      <c r="D38" s="458"/>
      <c r="E38" s="458"/>
      <c r="F38" s="45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465" t="s">
        <v>496</v>
      </c>
      <c r="B39" s="466">
        <f>B36+B37</f>
        <v>115189530.7303125</v>
      </c>
      <c r="C39" s="466">
        <f>C36+C37</f>
        <v>69104511.234322637</v>
      </c>
      <c r="D39" s="466">
        <f t="shared" ref="D39" si="1">D36+D37</f>
        <v>0</v>
      </c>
      <c r="E39" s="466"/>
      <c r="F39" s="46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4" t="s">
        <v>497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7" t="s">
        <v>498</v>
      </c>
      <c r="B42" s="468" t="s">
        <v>499</v>
      </c>
      <c r="C42" s="468" t="s">
        <v>500</v>
      </c>
      <c r="D42" s="997" t="s">
        <v>501</v>
      </c>
      <c r="E42" s="1078"/>
      <c r="F42" s="1076"/>
      <c r="G42" s="469" t="s">
        <v>502</v>
      </c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6"/>
      <c r="B43" s="435" t="s">
        <v>503</v>
      </c>
      <c r="C43" s="435"/>
      <c r="D43" s="435" t="s">
        <v>504</v>
      </c>
      <c r="E43" s="435" t="s">
        <v>505</v>
      </c>
      <c r="F43" s="435"/>
      <c r="G43" s="470"/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71" t="s">
        <v>506</v>
      </c>
      <c r="B44" s="472" t="s">
        <v>200</v>
      </c>
      <c r="C44" s="472" t="s">
        <v>200</v>
      </c>
      <c r="D44" s="472" t="s">
        <v>200</v>
      </c>
      <c r="E44" s="472" t="s">
        <v>200</v>
      </c>
      <c r="F44" s="472" t="s">
        <v>200</v>
      </c>
      <c r="G44" s="473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62" t="s">
        <v>200</v>
      </c>
      <c r="B45" s="457" t="s">
        <v>200</v>
      </c>
      <c r="C45" s="457" t="s">
        <v>200</v>
      </c>
      <c r="D45" s="457" t="s">
        <v>200</v>
      </c>
      <c r="E45" s="457" t="s">
        <v>200</v>
      </c>
      <c r="F45" s="457" t="s">
        <v>200</v>
      </c>
      <c r="G45" s="474" t="s">
        <v>200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6" t="s">
        <v>469</v>
      </c>
      <c r="B46" s="457" t="s">
        <v>470</v>
      </c>
      <c r="C46" s="475">
        <f>1/InfoInicial!B8</f>
        <v>3.3333333333333333E-2</v>
      </c>
      <c r="D46" s="457" t="s">
        <v>507</v>
      </c>
      <c r="E46" s="457" t="s">
        <v>508</v>
      </c>
      <c r="F46" s="457" t="s">
        <v>200</v>
      </c>
      <c r="G46" s="474" t="s">
        <v>470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6" t="s">
        <v>109</v>
      </c>
      <c r="B47" s="460">
        <f>B8</f>
        <v>0</v>
      </c>
      <c r="C47" s="475">
        <f>1/InfoInicial!B8</f>
        <v>3.3333333333333333E-2</v>
      </c>
      <c r="D47" s="460">
        <f>B47*C47</f>
        <v>0</v>
      </c>
      <c r="E47" s="460">
        <f>B47*C47</f>
        <v>0</v>
      </c>
      <c r="F47" s="457" t="s">
        <v>200</v>
      </c>
      <c r="G47" s="476">
        <f>B47-(3*D47+2*E47)</f>
        <v>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6" t="s">
        <v>471</v>
      </c>
      <c r="B48" s="460">
        <f>B9+B17</f>
        <v>27474760</v>
      </c>
      <c r="C48" s="457">
        <f>1/InfoInicial!B9</f>
        <v>0.1</v>
      </c>
      <c r="D48" s="460">
        <f t="shared" ref="D48:D52" si="2">B48*C48</f>
        <v>2747476</v>
      </c>
      <c r="E48" s="460">
        <f t="shared" ref="E48:E52" si="3">B48*C48</f>
        <v>2747476</v>
      </c>
      <c r="F48" s="457" t="s">
        <v>200</v>
      </c>
      <c r="G48" s="476">
        <f t="shared" ref="G48:G52" si="4">B48-(3*D48+2*E48)</f>
        <v>13737380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6" t="s">
        <v>473</v>
      </c>
      <c r="B49" s="460">
        <f>SUM(B11:B14)</f>
        <v>24082981.125</v>
      </c>
      <c r="C49" s="457">
        <f>1/InfoInicial!B10</f>
        <v>0.1</v>
      </c>
      <c r="D49" s="460">
        <f t="shared" si="2"/>
        <v>2408298.1125000003</v>
      </c>
      <c r="E49" s="460">
        <f t="shared" si="3"/>
        <v>2408298.1125000003</v>
      </c>
      <c r="F49" s="457" t="s">
        <v>200</v>
      </c>
      <c r="G49" s="476">
        <f t="shared" si="4"/>
        <v>12041490.5625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6" t="s">
        <v>480</v>
      </c>
      <c r="B50" s="457" t="s">
        <v>470</v>
      </c>
      <c r="C50" s="457">
        <f>1/InfoInicial!B11</f>
        <v>0.2</v>
      </c>
      <c r="D50" s="457" t="s">
        <v>470</v>
      </c>
      <c r="E50" s="457" t="s">
        <v>470</v>
      </c>
      <c r="F50" s="457" t="s">
        <v>200</v>
      </c>
      <c r="G50" s="457" t="s">
        <v>470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6" t="s">
        <v>117</v>
      </c>
      <c r="B51" s="460">
        <f>B16</f>
        <v>6671829</v>
      </c>
      <c r="C51" s="457">
        <f>1/InfoInicial!B12</f>
        <v>0.2</v>
      </c>
      <c r="D51" s="460">
        <f>B51*C51</f>
        <v>1334365.8</v>
      </c>
      <c r="E51" s="460">
        <f t="shared" si="3"/>
        <v>1334365.8</v>
      </c>
      <c r="F51" s="457" t="s">
        <v>200</v>
      </c>
      <c r="G51" s="476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56" t="s">
        <v>76</v>
      </c>
      <c r="B52" s="460">
        <f>B19</f>
        <v>2911478.5062500001</v>
      </c>
      <c r="C52" s="457">
        <f>1/InfoInicial!B13</f>
        <v>0.2</v>
      </c>
      <c r="D52" s="460">
        <f t="shared" si="2"/>
        <v>582295.70125000004</v>
      </c>
      <c r="E52" s="460">
        <f t="shared" si="3"/>
        <v>582295.70125000004</v>
      </c>
      <c r="F52" s="457" t="s">
        <v>200</v>
      </c>
      <c r="G52" s="476">
        <f t="shared" si="4"/>
        <v>0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2" t="s">
        <v>509</v>
      </c>
      <c r="B53" s="477">
        <f>SUM(B46:B52)</f>
        <v>61141048.631250001</v>
      </c>
      <c r="C53" s="478" t="s">
        <v>200</v>
      </c>
      <c r="D53" s="477">
        <f>SUM(D46:D52)</f>
        <v>7072435.6137500005</v>
      </c>
      <c r="E53" s="477">
        <f>SUM(E46:E52)</f>
        <v>7072435.6137500005</v>
      </c>
      <c r="F53" s="478" t="s">
        <v>200</v>
      </c>
      <c r="G53" s="479">
        <f>SUM(G46:G52)</f>
        <v>25778870.5625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2" t="s">
        <v>200</v>
      </c>
      <c r="B54" s="457" t="s">
        <v>200</v>
      </c>
      <c r="C54" s="457" t="s">
        <v>200</v>
      </c>
      <c r="D54" s="457" t="s">
        <v>200</v>
      </c>
      <c r="E54" s="457" t="s">
        <v>200</v>
      </c>
      <c r="F54" s="457" t="s">
        <v>200</v>
      </c>
      <c r="G54" s="474" t="s">
        <v>200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2" t="s">
        <v>510</v>
      </c>
      <c r="B55" s="460">
        <f>B34+C34</f>
        <v>91168076.959357545</v>
      </c>
      <c r="C55" s="457">
        <f>1/InfoInicial!B13</f>
        <v>0.2</v>
      </c>
      <c r="D55" s="460">
        <f>B55*C55</f>
        <v>18233615.391871508</v>
      </c>
      <c r="E55" s="460">
        <f>B55*C55</f>
        <v>18233615.391871508</v>
      </c>
      <c r="F55" s="457" t="s">
        <v>200</v>
      </c>
      <c r="G55" s="476">
        <f>B55-(D55*3+E55*2)</f>
        <v>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2" t="s">
        <v>200</v>
      </c>
      <c r="B56" s="457" t="s">
        <v>200</v>
      </c>
      <c r="C56" s="457" t="s">
        <v>200</v>
      </c>
      <c r="D56" s="457" t="s">
        <v>200</v>
      </c>
      <c r="E56" s="457" t="s">
        <v>200</v>
      </c>
      <c r="F56" s="457" t="s">
        <v>200</v>
      </c>
      <c r="G56" s="474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62" t="s">
        <v>200</v>
      </c>
      <c r="B57" s="457" t="s">
        <v>200</v>
      </c>
      <c r="C57" s="457" t="s">
        <v>200</v>
      </c>
      <c r="D57" s="480" t="s">
        <v>200</v>
      </c>
      <c r="E57" s="457" t="s">
        <v>200</v>
      </c>
      <c r="F57" s="457" t="s">
        <v>200</v>
      </c>
      <c r="G57" s="474" t="s">
        <v>200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481" t="s">
        <v>511</v>
      </c>
      <c r="B58" s="482">
        <f>B53+B55</f>
        <v>152309125.59060755</v>
      </c>
      <c r="C58" s="482"/>
      <c r="D58" s="482">
        <f>D53+D55</f>
        <v>25306051.005621508</v>
      </c>
      <c r="E58" s="482">
        <f>E53+E55</f>
        <v>25306051.005621508</v>
      </c>
      <c r="F58" s="482"/>
      <c r="G58" s="482">
        <f>G53+G55</f>
        <v>25778870.5625</v>
      </c>
      <c r="H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182"/>
      <c r="E59" s="3"/>
      <c r="F59" s="3"/>
      <c r="G59" s="4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18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3:C3"/>
    <mergeCell ref="D3:E3"/>
    <mergeCell ref="D42:F42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4D24-FEB6-4F2F-B269-017DE392EF3C}">
  <dimension ref="A1:J16"/>
  <sheetViews>
    <sheetView workbookViewId="0">
      <selection activeCell="H10" sqref="H10"/>
    </sheetView>
  </sheetViews>
  <sheetFormatPr defaultRowHeight="12.75"/>
  <cols>
    <col min="1" max="1" width="24.85546875" bestFit="1" customWidth="1"/>
    <col min="2" max="2" width="16.42578125" customWidth="1"/>
    <col min="3" max="3" width="14" customWidth="1"/>
    <col min="6" max="6" width="11.42578125" customWidth="1"/>
    <col min="7" max="7" width="16" customWidth="1"/>
    <col min="8" max="8" width="14.5703125" customWidth="1"/>
    <col min="9" max="9" width="15.7109375" customWidth="1"/>
  </cols>
  <sheetData>
    <row r="1" spans="1:10">
      <c r="A1" t="s">
        <v>512</v>
      </c>
      <c r="B1" t="s">
        <v>513</v>
      </c>
      <c r="C1">
        <v>13500</v>
      </c>
      <c r="E1" s="159"/>
      <c r="F1" s="159"/>
      <c r="G1" s="159"/>
      <c r="H1" s="159"/>
      <c r="I1" s="159"/>
    </row>
    <row r="2" spans="1:10">
      <c r="D2" s="159"/>
      <c r="E2" s="159"/>
      <c r="F2" s="159"/>
      <c r="G2" s="159"/>
      <c r="H2" s="159"/>
      <c r="I2" s="159"/>
      <c r="J2" s="159"/>
    </row>
    <row r="3" spans="1:10" ht="15">
      <c r="A3" s="998" t="s">
        <v>490</v>
      </c>
      <c r="B3" s="998"/>
      <c r="C3" s="998"/>
      <c r="D3" s="159"/>
      <c r="E3" s="159"/>
      <c r="F3" s="1000"/>
      <c r="G3" s="1000"/>
      <c r="H3" s="1000"/>
      <c r="I3" s="1000"/>
      <c r="J3" s="159"/>
    </row>
    <row r="4" spans="1:10">
      <c r="A4" s="949" t="s">
        <v>514</v>
      </c>
      <c r="B4" s="950">
        <f>C1*InfoInicial!B31</f>
        <v>1957500</v>
      </c>
      <c r="C4" s="634"/>
      <c r="D4" s="159"/>
      <c r="E4" s="159"/>
      <c r="F4" s="841"/>
      <c r="G4" s="841"/>
      <c r="H4" s="841"/>
      <c r="I4" s="841"/>
      <c r="J4" s="159"/>
    </row>
    <row r="5" spans="1:10">
      <c r="A5" s="949" t="s">
        <v>515</v>
      </c>
      <c r="B5" s="950">
        <f>B4*12*5</f>
        <v>117450000</v>
      </c>
      <c r="C5" s="634"/>
      <c r="D5" s="159"/>
      <c r="E5" s="159"/>
      <c r="F5" s="652"/>
      <c r="G5" s="652"/>
      <c r="H5" s="652"/>
      <c r="I5" s="652"/>
      <c r="J5" s="159"/>
    </row>
    <row r="6" spans="1:10">
      <c r="A6" s="999" t="s">
        <v>516</v>
      </c>
      <c r="B6" s="999"/>
      <c r="C6" s="634"/>
      <c r="D6" s="159"/>
      <c r="E6" s="159"/>
      <c r="F6" s="652"/>
      <c r="G6" s="652"/>
      <c r="H6" s="652"/>
      <c r="I6" s="652"/>
      <c r="J6" s="159"/>
    </row>
    <row r="7" spans="1:10">
      <c r="A7" s="695"/>
      <c r="B7" s="695"/>
      <c r="C7" s="634"/>
      <c r="D7" s="159"/>
      <c r="E7" s="159"/>
      <c r="F7" s="652"/>
      <c r="G7" s="652"/>
      <c r="H7" s="652"/>
      <c r="I7" s="652"/>
      <c r="J7" s="159"/>
    </row>
    <row r="8" spans="1:10">
      <c r="A8" s="951" t="s">
        <v>517</v>
      </c>
      <c r="B8" s="668">
        <f>B4</f>
        <v>1957500</v>
      </c>
      <c r="C8" s="634"/>
      <c r="D8" s="159"/>
      <c r="E8" s="159"/>
      <c r="F8" s="736"/>
      <c r="G8" s="652"/>
      <c r="H8" s="736"/>
      <c r="I8" s="652"/>
      <c r="J8" s="159"/>
    </row>
    <row r="9" spans="1:10">
      <c r="A9" s="951" t="s">
        <v>518</v>
      </c>
      <c r="B9" s="668">
        <f>B4</f>
        <v>1957500</v>
      </c>
      <c r="C9" s="634"/>
      <c r="D9" s="159"/>
      <c r="E9" s="159"/>
      <c r="F9" s="159"/>
      <c r="G9" s="159"/>
      <c r="H9" s="159"/>
      <c r="I9" s="159"/>
      <c r="J9" s="159"/>
    </row>
    <row r="10" spans="1:10">
      <c r="A10" s="951" t="s">
        <v>519</v>
      </c>
      <c r="B10" s="950">
        <f>B8*1.5</f>
        <v>2936250</v>
      </c>
      <c r="C10" s="634"/>
      <c r="E10" s="159"/>
      <c r="F10" s="159"/>
      <c r="G10" s="159"/>
      <c r="H10" s="159"/>
      <c r="I10" s="159"/>
    </row>
    <row r="11" spans="1:10">
      <c r="A11" s="952" t="s">
        <v>188</v>
      </c>
      <c r="B11" s="735">
        <f>SUM(B8:B10)</f>
        <v>6851250</v>
      </c>
      <c r="C11" s="634"/>
    </row>
    <row r="12" spans="1:10">
      <c r="A12" s="695"/>
      <c r="B12" s="695"/>
      <c r="C12" s="634"/>
    </row>
    <row r="13" spans="1:10">
      <c r="A13" s="951" t="s">
        <v>520</v>
      </c>
      <c r="B13" s="668">
        <v>29</v>
      </c>
      <c r="C13" s="634"/>
    </row>
    <row r="14" spans="1:10">
      <c r="A14" s="951" t="s">
        <v>521</v>
      </c>
      <c r="B14" s="668">
        <f>B13*B4</f>
        <v>56767500</v>
      </c>
      <c r="C14" s="634"/>
    </row>
    <row r="15" spans="1:10">
      <c r="A15" s="953" t="s">
        <v>522</v>
      </c>
      <c r="B15" s="950">
        <f>B14+B11</f>
        <v>63618750</v>
      </c>
      <c r="C15" s="634"/>
    </row>
    <row r="16" spans="1:10">
      <c r="A16" s="634"/>
      <c r="B16" s="634"/>
      <c r="C16" s="634"/>
    </row>
  </sheetData>
  <mergeCells count="3">
    <mergeCell ref="A3:C3"/>
    <mergeCell ref="A6:B6"/>
    <mergeCell ref="F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6"/>
  <sheetViews>
    <sheetView showGridLines="0" workbookViewId="0">
      <selection activeCell="D20" sqref="D20"/>
    </sheetView>
  </sheetViews>
  <sheetFormatPr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6">
      <c r="B4" s="1001" t="s">
        <v>523</v>
      </c>
      <c r="C4" s="1001"/>
      <c r="D4" s="1001"/>
      <c r="E4" s="1001"/>
      <c r="F4" s="1001"/>
      <c r="G4" s="100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3" t="s">
        <v>524</v>
      </c>
      <c r="D5" s="483"/>
      <c r="E5" s="483"/>
      <c r="F5" s="483"/>
      <c r="G5" s="48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5" t="s">
        <v>2</v>
      </c>
      <c r="D6" s="435" t="s">
        <v>3</v>
      </c>
      <c r="E6" s="435" t="s">
        <v>4</v>
      </c>
      <c r="F6" s="435" t="s">
        <v>5</v>
      </c>
      <c r="G6" s="436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8">
        <f>'CA COSTOS'!I9</f>
        <v>1205088000</v>
      </c>
      <c r="D7" s="438">
        <f>'CA COSTOS'!$J$9</f>
        <v>1121374800</v>
      </c>
      <c r="E7" s="438">
        <f t="shared" ref="E7:G7" si="0">D7</f>
        <v>1121374800</v>
      </c>
      <c r="F7" s="438">
        <f t="shared" si="0"/>
        <v>1121374800</v>
      </c>
      <c r="G7" s="438">
        <f t="shared" si="0"/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5">
        <f>'CA COSTOS'!G28</f>
        <v>3345925.44</v>
      </c>
      <c r="D8" s="485">
        <f>C8</f>
        <v>3345925.44</v>
      </c>
      <c r="E8" s="485">
        <f t="shared" ref="E8:G8" si="1">D8</f>
        <v>3345925.44</v>
      </c>
      <c r="F8" s="485">
        <f t="shared" si="1"/>
        <v>3345925.44</v>
      </c>
      <c r="G8" s="485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525</v>
      </c>
      <c r="C9" s="438"/>
      <c r="D9" s="438"/>
      <c r="E9" s="438"/>
      <c r="F9" s="438"/>
      <c r="G9" s="48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1">
        <f>'E-Inv AF y Am'!D58</f>
        <v>25306051.005621508</v>
      </c>
      <c r="D10" s="441">
        <f>'E-Inv AF y Am'!D58</f>
        <v>25306051.005621508</v>
      </c>
      <c r="E10" s="661">
        <f>'E-Inv AF y Am'!D58</f>
        <v>25306051.005621508</v>
      </c>
      <c r="F10" s="441">
        <f>'E-Inv AF y Am'!E58</f>
        <v>25306051.005621508</v>
      </c>
      <c r="G10" s="442">
        <f>'E-Inv AF y Am'!E58</f>
        <v>25306051.005621508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526</v>
      </c>
      <c r="C11" s="441">
        <f>'CA COSTOS'!I25-C8</f>
        <v>538974.14999999991</v>
      </c>
      <c r="D11" s="441">
        <f>C11</f>
        <v>538974.14999999991</v>
      </c>
      <c r="E11" s="441">
        <f>D11</f>
        <v>538974.14999999991</v>
      </c>
      <c r="F11" s="441">
        <f t="shared" ref="F11:G11" si="2">E11</f>
        <v>538974.14999999991</v>
      </c>
      <c r="G11" s="441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527</v>
      </c>
      <c r="C12" s="441">
        <f>'CA COSTOS'!F87</f>
        <v>17892761.394791253</v>
      </c>
      <c r="D12" s="441">
        <f>'CA COSTOS'!G87</f>
        <v>16762633.194791252</v>
      </c>
      <c r="E12" s="441">
        <f>'CA COSTOS'!H87</f>
        <v>16762633.194791252</v>
      </c>
      <c r="F12" s="441">
        <f>'CA COSTOS'!I87</f>
        <v>16762633.194791252</v>
      </c>
      <c r="G12" s="441">
        <f>'CA COSTOS'!J87</f>
        <v>16762633.194791252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7">
        <f>'CA COSTOS'!$D$69</f>
        <v>7903034.6112981457</v>
      </c>
      <c r="D13" s="487">
        <f>'CA COSTOS'!$D$69</f>
        <v>7903034.6112981457</v>
      </c>
      <c r="E13" s="487">
        <f>'CA COSTOS'!$D$69</f>
        <v>7903034.6112981457</v>
      </c>
      <c r="F13" s="487">
        <f>'CA COSTOS'!$D$69</f>
        <v>7903034.6112981457</v>
      </c>
      <c r="G13" s="487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528</v>
      </c>
      <c r="C14" s="441">
        <v>0</v>
      </c>
      <c r="D14" s="441">
        <v>0</v>
      </c>
      <c r="E14" s="441">
        <v>0</v>
      </c>
      <c r="F14" s="441">
        <v>0</v>
      </c>
      <c r="G14" s="442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1">
        <f>'CA COSTOS'!C96*12</f>
        <v>103200</v>
      </c>
      <c r="D15" s="441">
        <f>'CA COSTOS'!C96*12</f>
        <v>103200</v>
      </c>
      <c r="E15" s="441">
        <f>'CA COSTOS'!C96*12</f>
        <v>103200</v>
      </c>
      <c r="F15" s="441">
        <f>'CA COSTOS'!C96*12</f>
        <v>103200</v>
      </c>
      <c r="G15" s="441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490</v>
      </c>
      <c r="C16" s="441">
        <f>alternativa!$B$4*12</f>
        <v>23490000</v>
      </c>
      <c r="D16" s="441">
        <f>alternativa!$B$4*12</f>
        <v>23490000</v>
      </c>
      <c r="E16" s="441">
        <f>alternativa!$B$4*12</f>
        <v>23490000</v>
      </c>
      <c r="F16" s="441">
        <f>alternativa!$B$4*12</f>
        <v>23490000</v>
      </c>
      <c r="G16" s="441">
        <f>alternativa!$B$4*12</f>
        <v>23490000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81" t="s">
        <v>405</v>
      </c>
      <c r="C17" s="441">
        <f>'CA COSTOS'!D100</f>
        <v>2453220</v>
      </c>
      <c r="D17" s="441">
        <f>'CA COSTOS'!D100</f>
        <v>2453220</v>
      </c>
      <c r="E17" s="441">
        <f>'CA COSTOS'!D100</f>
        <v>2453220</v>
      </c>
      <c r="F17" s="441">
        <f>'CA COSTOS'!D100</f>
        <v>2453220</v>
      </c>
      <c r="G17" s="441">
        <f>'CA COSTOS'!D100</f>
        <v>2453220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231" t="s">
        <v>363</v>
      </c>
      <c r="C18" s="488">
        <v>0</v>
      </c>
      <c r="D18" s="489">
        <v>0</v>
      </c>
      <c r="E18" s="441">
        <v>0</v>
      </c>
      <c r="F18" s="489">
        <v>0</v>
      </c>
      <c r="G18" s="442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1" t="s">
        <v>529</v>
      </c>
      <c r="C19" s="441">
        <v>0</v>
      </c>
      <c r="D19" s="441">
        <v>0</v>
      </c>
      <c r="E19" s="441">
        <v>0</v>
      </c>
      <c r="F19" s="441">
        <v>0</v>
      </c>
      <c r="G19" s="442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530</v>
      </c>
      <c r="C20" s="441"/>
      <c r="D20" s="441"/>
      <c r="E20" s="441"/>
      <c r="F20" s="441"/>
      <c r="G20" s="442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530</v>
      </c>
      <c r="C21" s="441"/>
      <c r="D21" s="441"/>
      <c r="E21" s="441"/>
      <c r="F21" s="441"/>
      <c r="G21" s="442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82" t="s">
        <v>530</v>
      </c>
      <c r="C22" s="441"/>
      <c r="D22" s="441"/>
      <c r="E22" s="441"/>
      <c r="F22" s="441"/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5" t="s">
        <v>76</v>
      </c>
      <c r="C23" s="441">
        <f>SUM(C7:C22)*InfoInicial!$B$14</f>
        <v>64306058.330085553</v>
      </c>
      <c r="D23" s="441">
        <f>SUM(D7:D22)*InfoInicial!$B$14</f>
        <v>60063891.920085549</v>
      </c>
      <c r="E23" s="441">
        <f>SUM(E7:E22)*InfoInicial!$B$14</f>
        <v>60063891.920085549</v>
      </c>
      <c r="F23" s="441">
        <f>SUM(F7:F22)*InfoInicial!$B$14</f>
        <v>60063891.920085549</v>
      </c>
      <c r="G23" s="441">
        <f>SUM(G7:G21)*InfoInicial!$B$14</f>
        <v>60063891.920085549</v>
      </c>
      <c r="H23" s="3"/>
      <c r="I23" s="3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42" t="s">
        <v>531</v>
      </c>
      <c r="C24" s="441">
        <f>SUM(C7:C23)</f>
        <v>1350427224.9317966</v>
      </c>
      <c r="D24" s="441">
        <f>SUM(D7:D23)</f>
        <v>1261341730.3217964</v>
      </c>
      <c r="E24" s="441">
        <f t="shared" ref="E24:G24" si="3">SUM(E7:E23)</f>
        <v>1261341730.3217964</v>
      </c>
      <c r="F24" s="441">
        <f t="shared" si="3"/>
        <v>1261341730.3217964</v>
      </c>
      <c r="G24" s="441">
        <f t="shared" si="3"/>
        <v>1261341730.3217964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3"/>
      <c r="C25" s="445"/>
      <c r="D25" s="445"/>
      <c r="E25" s="445"/>
      <c r="F25" s="445"/>
      <c r="G25" s="44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84" t="s">
        <v>532</v>
      </c>
      <c r="C26" s="490">
        <f>(C10+C11+C15+C17+'CA COSTOS'!$F$69)/C24</f>
        <v>2.105563691912948E-2</v>
      </c>
      <c r="D26" s="490">
        <f>(D10+D11+D15+D17+'CA COSTOS'!$F$69)/D24</f>
        <v>2.2542745276981625E-2</v>
      </c>
      <c r="E26" s="490">
        <f>(E10+E11+E15+E17+'CA COSTOS'!$F$69)/E24</f>
        <v>2.2542745276981625E-2</v>
      </c>
      <c r="F26" s="490">
        <f>(F10+F11+F15+F17+'CA COSTOS'!$F$69)/F24</f>
        <v>2.2542745276981625E-2</v>
      </c>
      <c r="G26" s="490">
        <f>(G10+G11+G15+G17+'CA COSTOS'!$F$69)/G24</f>
        <v>2.2542745276981625E-2</v>
      </c>
      <c r="H26" s="3"/>
      <c r="I26" s="4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46" t="s">
        <v>533</v>
      </c>
      <c r="C27" s="491">
        <f>(C7+C12+'CA COSTOS'!$E$69+C8+C23)/C24</f>
        <v>0.9615498677935097</v>
      </c>
      <c r="D27" s="491">
        <f>(D7+D12+'CA COSTOS'!$E$69+D8+D23)/D24</f>
        <v>0.95883422859511325</v>
      </c>
      <c r="E27" s="491">
        <f>(E7+E12+'CA COSTOS'!$E$69+E8+E23)/E24</f>
        <v>0.95883422859511325</v>
      </c>
      <c r="F27" s="491">
        <f>(F7+F12+'CA COSTOS'!$E$69+F8+F23)/F24</f>
        <v>0.95883422859511325</v>
      </c>
      <c r="G27" s="491">
        <f>(G7+G12+'CA COSTOS'!$E$69+G8+G23)/G24</f>
        <v>0.95883422859511325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s="236"/>
      <c r="C28" s="492"/>
      <c r="D28" s="492"/>
      <c r="E28" s="492"/>
      <c r="F28" s="492"/>
      <c r="G28" s="49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3.15"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3.15">
      <c r="J30">
        <f>42.3239899795082*1000</f>
        <v>42323.989979508195</v>
      </c>
      <c r="K30" s="3" t="s">
        <v>534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>
      <c r="B31" s="1002" t="s">
        <v>535</v>
      </c>
      <c r="C31" s="1002"/>
      <c r="D31" s="1002"/>
      <c r="E31" s="1002"/>
      <c r="F31" s="1002"/>
      <c r="G31" s="1002"/>
      <c r="H31" s="100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2.75" customHeight="1">
      <c r="B32" s="1001" t="s">
        <v>536</v>
      </c>
      <c r="C32" s="1001"/>
      <c r="D32" s="1001"/>
      <c r="E32" s="1001"/>
      <c r="F32" s="1001"/>
      <c r="G32" s="1001"/>
      <c r="H32" s="493" t="s">
        <v>357</v>
      </c>
      <c r="U32" s="3"/>
      <c r="V32" s="3"/>
      <c r="W32" s="3"/>
      <c r="X32" s="3"/>
      <c r="Y32" s="3"/>
      <c r="Z32" s="3"/>
      <c r="AA32" s="3"/>
    </row>
    <row r="33" spans="2:27" ht="12.75" customHeight="1">
      <c r="B33" s="79" t="s">
        <v>444</v>
      </c>
      <c r="C33" s="494" t="s">
        <v>2</v>
      </c>
      <c r="D33" s="494" t="s">
        <v>3</v>
      </c>
      <c r="E33" s="494" t="s">
        <v>4</v>
      </c>
      <c r="F33" s="494" t="s">
        <v>5</v>
      </c>
      <c r="G33" s="494" t="s">
        <v>6</v>
      </c>
      <c r="H33" s="495" t="s">
        <v>2</v>
      </c>
      <c r="I33" s="3"/>
      <c r="U33" s="3"/>
      <c r="V33" s="3"/>
      <c r="W33" s="3"/>
      <c r="X33" s="3"/>
      <c r="Y33" s="3"/>
      <c r="Z33" s="3"/>
      <c r="AA33" s="3"/>
    </row>
    <row r="34" spans="2:27" ht="12.75" customHeight="1">
      <c r="B34" s="41" t="s">
        <v>449</v>
      </c>
      <c r="C34" s="438">
        <f>J30*'CA COSTOS'!D129</f>
        <v>9903813.6552049182</v>
      </c>
      <c r="D34" s="438">
        <f>C34</f>
        <v>9903813.6552049182</v>
      </c>
      <c r="E34" s="438">
        <f>D34</f>
        <v>9903813.6552049182</v>
      </c>
      <c r="F34" s="438">
        <f>E34</f>
        <v>9903813.6552049182</v>
      </c>
      <c r="G34" s="438">
        <f>F34</f>
        <v>9903813.6552049182</v>
      </c>
      <c r="H34" s="587">
        <f>'CA COSTOS'!D129*'CA COSTOS'!D125</f>
        <v>48929400</v>
      </c>
      <c r="U34" s="3"/>
      <c r="V34" s="3"/>
      <c r="W34" s="3"/>
      <c r="X34" s="3"/>
      <c r="Y34" s="3"/>
      <c r="Z34" s="3"/>
      <c r="AA34" s="3"/>
    </row>
    <row r="35" spans="2:27" ht="12.75" customHeight="1">
      <c r="B35" s="80" t="s">
        <v>450</v>
      </c>
      <c r="C35" s="485">
        <f>C8*'InfoInicial-CálcAux'!G22</f>
        <v>84706.973164556955</v>
      </c>
      <c r="D35" s="485">
        <f t="shared" ref="D35:G35" si="4">C35</f>
        <v>84706.973164556955</v>
      </c>
      <c r="E35" s="485">
        <f t="shared" si="4"/>
        <v>84706.973164556955</v>
      </c>
      <c r="F35" s="485">
        <f t="shared" si="4"/>
        <v>84706.973164556955</v>
      </c>
      <c r="G35" s="485">
        <f t="shared" si="4"/>
        <v>84706.973164556955</v>
      </c>
      <c r="H35" s="496">
        <f>'CA COSTOS'!G141</f>
        <v>19226.31447208934</v>
      </c>
      <c r="I35" s="153"/>
      <c r="U35" s="3"/>
      <c r="V35" s="3"/>
      <c r="W35" s="3"/>
      <c r="X35" s="3"/>
      <c r="Y35" s="3"/>
      <c r="Z35" s="3"/>
      <c r="AA35" s="3"/>
    </row>
    <row r="36" spans="2:27" ht="12.75" customHeight="1">
      <c r="B36" s="41" t="s">
        <v>525</v>
      </c>
      <c r="C36" s="497"/>
      <c r="D36" s="497"/>
      <c r="E36" s="497"/>
      <c r="F36" s="497"/>
      <c r="G36" s="497"/>
      <c r="H36" s="486"/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295</v>
      </c>
      <c r="C37" s="663">
        <f>'CA COSTOS'!D48</f>
        <v>2441540.8715268783</v>
      </c>
      <c r="D37" s="663">
        <f>'CA COSTOS'!D49</f>
        <v>2088873.7445059293</v>
      </c>
      <c r="E37" s="663">
        <f t="shared" ref="E37:E38" si="5">D37</f>
        <v>2088873.7445059293</v>
      </c>
      <c r="F37" s="663">
        <f>'CA COSTOS'!D50</f>
        <v>2088873.7445059293</v>
      </c>
      <c r="G37" s="663">
        <f>F37</f>
        <v>2088873.7445059293</v>
      </c>
      <c r="H37" s="442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526</v>
      </c>
      <c r="C38" s="441">
        <f>'CA COSTOS'!F146</f>
        <v>13999.328571428568</v>
      </c>
      <c r="D38" s="441">
        <f>'CA COSTOS'!F147</f>
        <v>11977.203333333331</v>
      </c>
      <c r="E38" s="441">
        <f t="shared" si="5"/>
        <v>11977.203333333331</v>
      </c>
      <c r="F38" s="441">
        <f t="shared" ref="F38:G38" si="6">E38</f>
        <v>11977.203333333331</v>
      </c>
      <c r="G38" s="441">
        <f t="shared" si="6"/>
        <v>11977.203333333331</v>
      </c>
      <c r="H38" s="442">
        <v>0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527</v>
      </c>
      <c r="C39" s="441">
        <f>'CA COSTOS'!F150</f>
        <v>464747.04921535723</v>
      </c>
      <c r="D39" s="441">
        <f>'CA COSTOS'!F151</f>
        <v>372502.95988425001</v>
      </c>
      <c r="E39" s="441">
        <f>D39</f>
        <v>372502.95988425001</v>
      </c>
      <c r="F39" s="441">
        <f t="shared" ref="F39" si="7">E39</f>
        <v>372502.95988425001</v>
      </c>
      <c r="G39" s="441">
        <f>F39</f>
        <v>372502.95988425001</v>
      </c>
      <c r="H39" s="442">
        <f>'CA COSTOS'!D153</f>
        <v>1878524.9039464106</v>
      </c>
      <c r="I39" s="3"/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537</v>
      </c>
      <c r="C40" s="441">
        <f>'CA COSTOS'!$D$72</f>
        <v>200076.82560248469</v>
      </c>
      <c r="D40" s="441">
        <f>'CA COSTOS'!$D$72</f>
        <v>200076.82560248469</v>
      </c>
      <c r="E40" s="441">
        <f>'CA COSTOS'!$D$72</f>
        <v>200076.82560248469</v>
      </c>
      <c r="F40" s="441">
        <f t="shared" ref="F40:G40" si="8">E40</f>
        <v>200076.82560248469</v>
      </c>
      <c r="G40" s="441">
        <f t="shared" si="8"/>
        <v>200076.82560248469</v>
      </c>
      <c r="H40" s="442">
        <f>'CA COSTOS'!F72</f>
        <v>826.83995569620231</v>
      </c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538</v>
      </c>
      <c r="C41" s="441">
        <v>0</v>
      </c>
      <c r="D41" s="441">
        <v>0</v>
      </c>
      <c r="E41" s="441">
        <v>0</v>
      </c>
      <c r="F41" s="441">
        <v>0</v>
      </c>
      <c r="G41" s="441">
        <v>0</v>
      </c>
      <c r="H41" s="442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401</v>
      </c>
      <c r="C42" s="441">
        <v>0</v>
      </c>
      <c r="D42" s="441">
        <v>0</v>
      </c>
      <c r="E42" s="441">
        <v>0</v>
      </c>
      <c r="F42" s="441">
        <v>0</v>
      </c>
      <c r="G42" s="441">
        <v>0</v>
      </c>
      <c r="H42" s="442">
        <v>0</v>
      </c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539</v>
      </c>
      <c r="C43" s="441">
        <v>0</v>
      </c>
      <c r="D43" s="441"/>
      <c r="E43" s="441"/>
      <c r="F43" s="441"/>
      <c r="G43" s="441"/>
      <c r="H43" s="442"/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81" t="s">
        <v>540</v>
      </c>
      <c r="C44" s="441">
        <v>0</v>
      </c>
      <c r="D44" s="441">
        <v>0</v>
      </c>
      <c r="E44" s="441">
        <v>0</v>
      </c>
      <c r="F44" s="441">
        <v>0</v>
      </c>
      <c r="G44" s="441">
        <v>0</v>
      </c>
      <c r="H44" s="442">
        <v>0</v>
      </c>
      <c r="I44" s="3"/>
      <c r="U44" s="3"/>
      <c r="V44" s="3"/>
      <c r="W44" s="3"/>
      <c r="X44" s="3"/>
      <c r="Y44" s="3"/>
      <c r="Z44" s="3"/>
      <c r="AA44" s="3"/>
    </row>
    <row r="45" spans="2:27" ht="12.75" customHeight="1">
      <c r="B45" s="43" t="s">
        <v>541</v>
      </c>
      <c r="C45" s="441">
        <f>SUM(C34:C44)*InfoInicial!$B$14</f>
        <v>655444.23516428133</v>
      </c>
      <c r="D45" s="441">
        <f>SUM(D34:D44)*InfoInicial!$B$14</f>
        <v>633097.56808477361</v>
      </c>
      <c r="E45" s="441">
        <f>SUM(E34:E44)*InfoInicial!$B$14</f>
        <v>633097.56808477361</v>
      </c>
      <c r="F45" s="441">
        <f>SUM(F34:F44)*InfoInicial!$B$14</f>
        <v>633097.56808477361</v>
      </c>
      <c r="G45" s="441">
        <f>SUM(G34:G44)*InfoInicial!$B$14</f>
        <v>633097.56808477361</v>
      </c>
      <c r="H45" s="441">
        <f>SUM(H34:H44)*InfoInicial!$B$14</f>
        <v>2541398.9029187094</v>
      </c>
      <c r="I45" s="239"/>
      <c r="U45" s="3"/>
      <c r="V45" s="3"/>
      <c r="W45" s="3"/>
      <c r="X45" s="3"/>
      <c r="Y45" s="3"/>
      <c r="Z45" s="3"/>
      <c r="AA45" s="3"/>
    </row>
    <row r="46" spans="2:27" ht="12.75" customHeight="1">
      <c r="B46" s="46" t="s">
        <v>542</v>
      </c>
      <c r="C46" s="448">
        <f>SUM(C34:C45)</f>
        <v>13764328.938449906</v>
      </c>
      <c r="D46" s="448">
        <f>SUM(D34:D45)</f>
        <v>13295048.929780245</v>
      </c>
      <c r="E46" s="448">
        <f t="shared" ref="E46:G46" si="9">SUM(E34:E45)</f>
        <v>13295048.929780245</v>
      </c>
      <c r="F46" s="448">
        <f t="shared" si="9"/>
        <v>13295048.929780245</v>
      </c>
      <c r="G46" s="448">
        <f t="shared" si="9"/>
        <v>13295048.929780245</v>
      </c>
      <c r="H46" s="498">
        <f>SUM(H34:H45)</f>
        <v>53369376.9612929</v>
      </c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499">
        <f>C46-C37</f>
        <v>11322788.066923028</v>
      </c>
      <c r="D47" s="499">
        <f>D46-D37</f>
        <v>11206175.185274316</v>
      </c>
      <c r="E47" s="499">
        <f t="shared" ref="D47:G47" si="10">E46-E37</f>
        <v>11206175.185274316</v>
      </c>
      <c r="F47" s="499">
        <f t="shared" si="10"/>
        <v>11206175.185274316</v>
      </c>
      <c r="G47" s="499">
        <f t="shared" si="10"/>
        <v>11206175.185274316</v>
      </c>
      <c r="H47" s="499"/>
      <c r="I47" s="3"/>
      <c r="U47" s="3"/>
      <c r="V47" s="3"/>
      <c r="W47" s="3"/>
      <c r="X47" s="3"/>
      <c r="Y47" s="3"/>
      <c r="Z47" s="3"/>
      <c r="AA47" s="3"/>
    </row>
    <row r="48" spans="2:27" ht="12.75" customHeight="1">
      <c r="B48" s="28"/>
      <c r="C48" s="3"/>
      <c r="D48" s="3"/>
      <c r="E48" s="3"/>
      <c r="F48" s="3"/>
      <c r="G48" s="3"/>
      <c r="H48" s="499"/>
      <c r="I48" s="3"/>
      <c r="U48" s="3"/>
      <c r="V48" s="3"/>
      <c r="W48" s="3"/>
      <c r="X48" s="3"/>
      <c r="Y48" s="3"/>
      <c r="Z48" s="3"/>
      <c r="AA48" s="3"/>
    </row>
    <row r="49" spans="2:27" ht="18" customHeight="1">
      <c r="B49" s="1001" t="s">
        <v>543</v>
      </c>
      <c r="C49" s="1001"/>
      <c r="D49" s="1001"/>
      <c r="E49" s="1001"/>
      <c r="F49" s="1001"/>
      <c r="G49" s="100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6"/>
      <c r="C50" s="435" t="s">
        <v>2</v>
      </c>
      <c r="D50" s="435" t="s">
        <v>3</v>
      </c>
      <c r="E50" s="435" t="s">
        <v>4</v>
      </c>
      <c r="F50" s="435" t="s">
        <v>5</v>
      </c>
      <c r="G50" s="436" t="s">
        <v>6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7" t="s">
        <v>531</v>
      </c>
      <c r="C51" s="438">
        <f>C24</f>
        <v>1350427224.9317966</v>
      </c>
      <c r="D51" s="438">
        <f t="shared" ref="D51:G51" si="11">D24</f>
        <v>1261341730.3217964</v>
      </c>
      <c r="E51" s="438">
        <f t="shared" si="11"/>
        <v>1261341730.3217964</v>
      </c>
      <c r="F51" s="438">
        <f t="shared" si="11"/>
        <v>1261341730.3217964</v>
      </c>
      <c r="G51" s="500">
        <f t="shared" si="11"/>
        <v>1261341730.3217964</v>
      </c>
      <c r="H51" s="49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544</v>
      </c>
      <c r="C52" s="441"/>
      <c r="D52" s="441"/>
      <c r="E52" s="441"/>
      <c r="F52" s="441"/>
      <c r="G52" s="500"/>
      <c r="H52" s="49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545</v>
      </c>
      <c r="C53" s="441">
        <f>H46</f>
        <v>53369376.9612929</v>
      </c>
      <c r="D53" s="441"/>
      <c r="E53" s="441"/>
      <c r="F53" s="441"/>
      <c r="G53" s="500"/>
      <c r="H53" s="49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546</v>
      </c>
      <c r="C54" s="441">
        <f>C46</f>
        <v>13764328.938449906</v>
      </c>
      <c r="D54" s="441">
        <f>D46</f>
        <v>13295048.929780245</v>
      </c>
      <c r="E54" s="441">
        <f t="shared" ref="D54:G54" si="12">E46</f>
        <v>13295048.929780245</v>
      </c>
      <c r="F54" s="441">
        <f>F46</f>
        <v>13295048.929780245</v>
      </c>
      <c r="G54" s="441">
        <f t="shared" si="12"/>
        <v>13295048.929780245</v>
      </c>
      <c r="H54" s="49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3" t="s">
        <v>547</v>
      </c>
      <c r="C55" s="441"/>
      <c r="D55" s="571">
        <f>C54</f>
        <v>13764328.938449906</v>
      </c>
      <c r="E55" s="571">
        <f>D54</f>
        <v>13295048.929780245</v>
      </c>
      <c r="F55" s="571">
        <f>E54</f>
        <v>13295048.929780245</v>
      </c>
      <c r="G55" s="571">
        <f>F54</f>
        <v>13295048.929780245</v>
      </c>
      <c r="H55" s="50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42" t="s">
        <v>548</v>
      </c>
      <c r="C56" s="441">
        <f>C51-C53-(C54-C55)</f>
        <v>1283293519.0320537</v>
      </c>
      <c r="D56" s="441">
        <f>D51-D53-(D54-D55)</f>
        <v>1261811010.330466</v>
      </c>
      <c r="E56" s="441">
        <f>E51-E53-(E54-E55)</f>
        <v>1261341730.3217964</v>
      </c>
      <c r="F56" s="441">
        <f>F51-F53-(F54-F55)</f>
        <v>1261341730.3217964</v>
      </c>
      <c r="G56" s="441">
        <f>G51-G53-(G54-G55)</f>
        <v>1261341730.3217964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 t="s">
        <v>549</v>
      </c>
      <c r="C57" s="586">
        <f>C56/'InfoInicial-CálcAux'!L14</f>
        <v>793.62617132470859</v>
      </c>
      <c r="D57" s="586">
        <f>D56/'InfoInicial-CálcAux'!$M$14</f>
        <v>667.62487319072272</v>
      </c>
      <c r="E57" s="586">
        <f>E56/'InfoInicial-CálcAux'!$M$14</f>
        <v>667.37657688983938</v>
      </c>
      <c r="F57" s="586">
        <f>F56/'InfoInicial-CálcAux'!$M$14</f>
        <v>667.37657688983938</v>
      </c>
      <c r="G57" s="586">
        <f>G56/'InfoInicial-CálcAux'!$M$14</f>
        <v>667.37657688983938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/>
      <c r="C58" s="502"/>
      <c r="D58" s="502"/>
      <c r="E58" s="502"/>
      <c r="F58" s="502"/>
      <c r="G58" s="500"/>
      <c r="H58" s="50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84" t="s">
        <v>532</v>
      </c>
      <c r="C59" s="504">
        <f>C26</f>
        <v>2.105563691912948E-2</v>
      </c>
      <c r="D59" s="504">
        <f>D51*D26/D56</f>
        <v>2.2534361406804228E-2</v>
      </c>
      <c r="E59" s="504">
        <f>E51*E26/E56</f>
        <v>2.2542745276981625E-2</v>
      </c>
      <c r="F59" s="504">
        <f>F51*F26/F56</f>
        <v>2.2542745276981625E-2</v>
      </c>
      <c r="G59" s="504">
        <f>G51*G26/G56</f>
        <v>2.2542745276981625E-2</v>
      </c>
      <c r="H59" s="505" t="e">
        <f>((C51*C26)-C37-C38-C43-J50-'CA COSTOS'!#REF!)/C56</f>
        <v>#REF!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46" t="s">
        <v>533</v>
      </c>
      <c r="C60" s="506">
        <f t="shared" ref="C60" si="13">C27</f>
        <v>0.9615498677935097</v>
      </c>
      <c r="D60" s="506">
        <f>D51*D27/D56</f>
        <v>0.95847762865152109</v>
      </c>
      <c r="E60" s="506">
        <f>E51*E27/E56</f>
        <v>0.95883422859511325</v>
      </c>
      <c r="F60" s="506">
        <f>F51*F27/F56</f>
        <v>0.95883422859511325</v>
      </c>
      <c r="G60" s="506">
        <f>G51*G27/G56</f>
        <v>0.95883422859511325</v>
      </c>
      <c r="H60" s="505">
        <f>((C51*C27)-C34-C35-C39-C41-C45-J49-'CA COSTOS'!E69)/C56</f>
        <v>0.99706264722448767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2.75" customHeight="1">
      <c r="B62" s="3"/>
      <c r="C62" s="50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5.6">
      <c r="B63" s="1003" t="s">
        <v>550</v>
      </c>
      <c r="C63" s="1004"/>
      <c r="D63" s="1004"/>
      <c r="E63" s="1004"/>
      <c r="F63" s="1004"/>
      <c r="G63" s="1005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6" t="s">
        <v>444</v>
      </c>
      <c r="C64" s="435" t="s">
        <v>2</v>
      </c>
      <c r="D64" s="435" t="s">
        <v>3</v>
      </c>
      <c r="E64" s="435" t="s">
        <v>4</v>
      </c>
      <c r="F64" s="435" t="s">
        <v>5</v>
      </c>
      <c r="G64" s="436" t="s">
        <v>6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85" t="s">
        <v>267</v>
      </c>
      <c r="C65" s="508">
        <f>'CA COSTOS'!G16+'CA COSTOS'!G18</f>
        <v>553467.19999999995</v>
      </c>
      <c r="D65" s="508">
        <f>C65</f>
        <v>553467.19999999995</v>
      </c>
      <c r="E65" s="508">
        <f>C65</f>
        <v>553467.19999999995</v>
      </c>
      <c r="F65" s="508">
        <f>C65</f>
        <v>553467.19999999995</v>
      </c>
      <c r="G65" s="508">
        <f>C65</f>
        <v>553467.19999999995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551</v>
      </c>
      <c r="C66" s="441">
        <f>'CA COSTOS'!$L$35</f>
        <v>632651.27514053776</v>
      </c>
      <c r="D66" s="441">
        <f>'CA COSTOS'!$L$35</f>
        <v>632651.27514053776</v>
      </c>
      <c r="E66" s="441">
        <f>'CA COSTOS'!$L$35</f>
        <v>632651.27514053776</v>
      </c>
      <c r="F66" s="441">
        <f>'CA COSTOS'!$L$35</f>
        <v>632651.27514053776</v>
      </c>
      <c r="G66" s="441">
        <f>'CA COSTOS'!$L$35</f>
        <v>632651.27514053776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527</v>
      </c>
      <c r="C67" s="441">
        <f>'CA COSTOS'!F89</f>
        <v>994042.29971062508</v>
      </c>
      <c r="D67" s="441">
        <f>'CA COSTOS'!G89</f>
        <v>931257.39971062506</v>
      </c>
      <c r="E67" s="441">
        <f>'CA COSTOS'!H89</f>
        <v>931257.39971062506</v>
      </c>
      <c r="F67" s="441">
        <f>'CA COSTOS'!I89</f>
        <v>931257.39971062506</v>
      </c>
      <c r="G67" s="441">
        <f>'CA COSTOS'!J89</f>
        <v>931257.39971062506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552</v>
      </c>
      <c r="C68" s="441">
        <f>'CA COSTOS'!$D$71</f>
        <v>207974.59503416176</v>
      </c>
      <c r="D68" s="441">
        <f>'CA COSTOS'!$D$71</f>
        <v>207974.59503416176</v>
      </c>
      <c r="E68" s="441">
        <f>'CA COSTOS'!$D$71</f>
        <v>207974.59503416176</v>
      </c>
      <c r="F68" s="441">
        <f>'CA COSTOS'!$D$71</f>
        <v>207974.59503416176</v>
      </c>
      <c r="G68" s="441">
        <f>'CA COSTOS'!$D$71</f>
        <v>207974.59503416176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3" t="s">
        <v>553</v>
      </c>
      <c r="C69" s="441">
        <v>0</v>
      </c>
      <c r="D69" s="441">
        <v>0</v>
      </c>
      <c r="E69" s="441">
        <v>0</v>
      </c>
      <c r="F69" s="441">
        <v>0</v>
      </c>
      <c r="G69" s="442">
        <v>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5" t="s">
        <v>401</v>
      </c>
      <c r="C70" s="441">
        <f>'CA COSTOS'!C96*12*2</f>
        <v>206400</v>
      </c>
      <c r="D70" s="441">
        <f>'CA COSTOS'!C96*12*2</f>
        <v>206400</v>
      </c>
      <c r="E70" s="441">
        <f>'CA COSTOS'!C96*12*2</f>
        <v>206400</v>
      </c>
      <c r="F70" s="441">
        <f>'CA COSTOS'!C96*12*2</f>
        <v>206400</v>
      </c>
      <c r="G70" s="441">
        <f>'CA COSTOS'!C96*12*2</f>
        <v>206400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405</v>
      </c>
      <c r="C71" s="441">
        <f>'CA COSTOS'!D100</f>
        <v>2453220</v>
      </c>
      <c r="D71" s="441">
        <f>'CA COSTOS'!D100</f>
        <v>2453220</v>
      </c>
      <c r="E71" s="441">
        <f>'CA COSTOS'!D100</f>
        <v>2453220</v>
      </c>
      <c r="F71" s="441">
        <f>'CA COSTOS'!D100</f>
        <v>2453220</v>
      </c>
      <c r="G71" s="442">
        <f>'CA COSTOS'!D100</f>
        <v>2453220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43" t="s">
        <v>554</v>
      </c>
      <c r="C72" s="441">
        <v>0</v>
      </c>
      <c r="D72" s="441">
        <v>0</v>
      </c>
      <c r="E72" s="441">
        <v>0</v>
      </c>
      <c r="F72" s="441">
        <v>0</v>
      </c>
      <c r="G72" s="441">
        <v>0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530</v>
      </c>
      <c r="C73" s="441"/>
      <c r="D73" s="441"/>
      <c r="E73" s="441"/>
      <c r="F73" s="441"/>
      <c r="G73" s="4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530</v>
      </c>
      <c r="C74" s="441"/>
      <c r="D74" s="441"/>
      <c r="E74" s="441"/>
      <c r="F74" s="441"/>
      <c r="G74" s="44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87" t="s">
        <v>530</v>
      </c>
      <c r="C75" s="441"/>
      <c r="D75" s="441"/>
      <c r="E75" s="441"/>
      <c r="F75" s="441"/>
      <c r="G75" s="44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 t="s">
        <v>76</v>
      </c>
      <c r="C76" s="441">
        <f>SUM(C65:C75)*InfoInicial!$B$14</f>
        <v>252387.76849426623</v>
      </c>
      <c r="D76" s="441">
        <f>SUM(D65:D75)*InfoInicial!$B$14</f>
        <v>249248.52349426621</v>
      </c>
      <c r="E76" s="441">
        <f>SUM(E65:E75)*InfoInicial!$B$14</f>
        <v>249248.52349426621</v>
      </c>
      <c r="F76" s="441">
        <f>SUM(F65:F75)*InfoInicial!$B$14</f>
        <v>249248.52349426621</v>
      </c>
      <c r="G76" s="441">
        <f>SUM(G65:G75)*InfoInicial!$B$14</f>
        <v>249248.52349426621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3"/>
      <c r="C77" s="443"/>
      <c r="D77" s="443"/>
      <c r="E77" s="443"/>
      <c r="F77" s="443"/>
      <c r="G77" s="44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 t="s">
        <v>555</v>
      </c>
      <c r="C78" s="441">
        <f t="shared" ref="C78:G78" si="14">SUM(C65:C76)</f>
        <v>5300143.1383795906</v>
      </c>
      <c r="D78" s="441">
        <f t="shared" si="14"/>
        <v>5234218.9933795901</v>
      </c>
      <c r="E78" s="441">
        <f t="shared" si="14"/>
        <v>5234218.9933795901</v>
      </c>
      <c r="F78" s="441">
        <f t="shared" si="14"/>
        <v>5234218.9933795901</v>
      </c>
      <c r="G78" s="441">
        <f t="shared" si="14"/>
        <v>5234218.9933795901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42"/>
      <c r="C79" s="441"/>
      <c r="D79" s="441"/>
      <c r="E79" s="441"/>
      <c r="F79" s="441"/>
      <c r="G79" s="442"/>
      <c r="H79" s="49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84" t="s">
        <v>532</v>
      </c>
      <c r="C80" s="509">
        <f>SUM(C65:C67,C70:C72,C76,'CA COSTOS'!$F71)/C78</f>
        <v>0.96092273147127061</v>
      </c>
      <c r="D80" s="509">
        <f>SUM(D65:D67,D70:D72,D76,'CA COSTOS'!$F71)/D78</f>
        <v>0.9604305595694167</v>
      </c>
      <c r="E80" s="509">
        <f>SUM(E65:E67,E70:E72,E76,'CA COSTOS'!$F71)/E78</f>
        <v>0.9604305595694167</v>
      </c>
      <c r="F80" s="509">
        <f>SUM(F65:F67,F70:F72,F76,'CA COSTOS'!$F71)/F78</f>
        <v>0.9604305595694167</v>
      </c>
      <c r="G80" s="509">
        <f>SUM(G65:G67,G70:G72,G76,'CA COSTOS'!$F71)/G78</f>
        <v>0.9604305595694167</v>
      </c>
      <c r="H80" s="49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46" t="s">
        <v>533</v>
      </c>
      <c r="C81" s="510">
        <f>SUM(C69,'CA COSTOS'!$E$71)/C78</f>
        <v>3.9077268528729385E-2</v>
      </c>
      <c r="D81" s="510">
        <f>SUM(D69,'CA COSTOS'!$E$71)/D78</f>
        <v>3.9569440430583372E-2</v>
      </c>
      <c r="E81" s="510">
        <f>SUM(E69,'CA COSTOS'!$E$71)/E78</f>
        <v>3.9569440430583372E-2</v>
      </c>
      <c r="F81" s="510">
        <f>SUM(F69,'CA COSTOS'!$E$71)/F78</f>
        <v>3.9569440430583372E-2</v>
      </c>
      <c r="G81" s="510">
        <f>SUM(G69,'CA COSTOS'!$E$71)/G78</f>
        <v>3.9569440430583372E-2</v>
      </c>
      <c r="H81" s="49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2.75" customHeight="1">
      <c r="B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23.25" customHeight="1">
      <c r="B84" s="1003" t="s">
        <v>556</v>
      </c>
      <c r="C84" s="1004"/>
      <c r="D84" s="1004"/>
      <c r="E84" s="1004"/>
      <c r="F84" s="1004"/>
      <c r="G84" s="1005"/>
      <c r="I84" s="3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86" t="s">
        <v>444</v>
      </c>
      <c r="C85" s="435" t="s">
        <v>2</v>
      </c>
      <c r="D85" s="435" t="s">
        <v>3</v>
      </c>
      <c r="E85" s="435" t="s">
        <v>4</v>
      </c>
      <c r="F85" s="435" t="s">
        <v>5</v>
      </c>
      <c r="G85" s="436" t="s">
        <v>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1" t="s">
        <v>557</v>
      </c>
      <c r="C86" s="438">
        <f>'CA COSTOS'!$G$17+'CA COSTOS'!$G$23+(C115*0.03)</f>
        <v>43934559.579999998</v>
      </c>
      <c r="D86" s="438">
        <f>'CA COSTOS'!$G$17+'CA COSTOS'!$G$23+(D115*0.03)</f>
        <v>60944559.579999998</v>
      </c>
      <c r="E86" s="438">
        <f>'CA COSTOS'!$G$17+'CA COSTOS'!$G$23+(E115*0.03)</f>
        <v>60944559.579999998</v>
      </c>
      <c r="F86" s="438">
        <f>'CA COSTOS'!$G$17+'CA COSTOS'!$G$23+(F115*0.03)</f>
        <v>60944559.579999998</v>
      </c>
      <c r="G86" s="438">
        <f>'CA COSTOS'!$G$17+'CA COSTOS'!$G$23+(G115*0.03)</f>
        <v>60944559.579999998</v>
      </c>
      <c r="H86" t="s">
        <v>558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551</v>
      </c>
      <c r="C87" s="441">
        <f>'CA COSTOS'!$O$35</f>
        <v>632651.27514053776</v>
      </c>
      <c r="D87" s="441">
        <f>'CA COSTOS'!$O$35</f>
        <v>632651.27514053776</v>
      </c>
      <c r="E87" s="441">
        <f>'CA COSTOS'!$O$35</f>
        <v>632651.27514053776</v>
      </c>
      <c r="F87" s="441">
        <f>'CA COSTOS'!$O$35</f>
        <v>632651.27514053776</v>
      </c>
      <c r="G87" s="441">
        <f>'CA COSTOS'!$O$35</f>
        <v>632651.27514053776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527</v>
      </c>
      <c r="C88" s="441">
        <f>'CA COSTOS'!F88</f>
        <v>994042.29971062508</v>
      </c>
      <c r="D88" s="441">
        <f>'CA COSTOS'!G88</f>
        <v>931257.39971062506</v>
      </c>
      <c r="E88" s="441">
        <f>'CA COSTOS'!H88</f>
        <v>931257.39971062506</v>
      </c>
      <c r="F88" s="441">
        <f>'CA COSTOS'!I88</f>
        <v>931257.39971062506</v>
      </c>
      <c r="G88" s="441">
        <f>'CA COSTOS'!J88</f>
        <v>931257.39971062506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3" t="s">
        <v>553</v>
      </c>
      <c r="C89" s="441">
        <v>0</v>
      </c>
      <c r="D89" s="441">
        <v>0</v>
      </c>
      <c r="E89" s="441">
        <v>0</v>
      </c>
      <c r="F89" s="441">
        <v>0</v>
      </c>
      <c r="G89" s="442">
        <v>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5" t="s">
        <v>401</v>
      </c>
      <c r="C90" s="441">
        <f>'CA COSTOS'!C96*12*3</f>
        <v>309600</v>
      </c>
      <c r="D90" s="441">
        <f>'CA COSTOS'!C96*12*3</f>
        <v>309600</v>
      </c>
      <c r="E90" s="441">
        <f>'CA COSTOS'!C96*12*3</f>
        <v>309600</v>
      </c>
      <c r="F90" s="441">
        <f>'CA COSTOS'!C96*12*3</f>
        <v>309600</v>
      </c>
      <c r="G90" s="441">
        <f>'CA COSTOS'!C96*12*3</f>
        <v>309600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559</v>
      </c>
      <c r="C91" s="441">
        <f>'CA COSTOS'!$D$109</f>
        <v>1022210</v>
      </c>
      <c r="D91" s="441">
        <f>'CA COSTOS'!$D$109</f>
        <v>1022210</v>
      </c>
      <c r="E91" s="441">
        <f>'CA COSTOS'!$D$109</f>
        <v>1022210</v>
      </c>
      <c r="F91" s="441">
        <f>'CA COSTOS'!$D$109</f>
        <v>1022210</v>
      </c>
      <c r="G91" s="441">
        <f>'CA COSTOS'!$D$109</f>
        <v>1022210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560</v>
      </c>
      <c r="C92" s="441">
        <f>'CA COSTOS'!$E$180</f>
        <v>2736000</v>
      </c>
      <c r="D92" s="441">
        <f>'CA COSTOS'!$E$180</f>
        <v>2736000</v>
      </c>
      <c r="E92" s="441">
        <f>'CA COSTOS'!$E$180</f>
        <v>2736000</v>
      </c>
      <c r="F92" s="441">
        <f>'CA COSTOS'!$E$180</f>
        <v>2736000</v>
      </c>
      <c r="G92" s="441">
        <f>'CA COSTOS'!$E$180</f>
        <v>2736000</v>
      </c>
      <c r="H92" t="s">
        <v>561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43" t="s">
        <v>405</v>
      </c>
      <c r="C93" s="441">
        <v>0</v>
      </c>
      <c r="D93" s="441">
        <v>0</v>
      </c>
      <c r="E93" s="441">
        <v>0</v>
      </c>
      <c r="F93" s="441">
        <v>0</v>
      </c>
      <c r="G93" s="442">
        <v>0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562</v>
      </c>
      <c r="C94" s="441">
        <f>'CA COSTOS'!$D$70</f>
        <v>207974.59503416176</v>
      </c>
      <c r="D94" s="441">
        <f>'CA COSTOS'!$D$70</f>
        <v>207974.59503416176</v>
      </c>
      <c r="E94" s="441">
        <f>'CA COSTOS'!$D$70</f>
        <v>207974.59503416176</v>
      </c>
      <c r="F94" s="441">
        <f>'CA COSTOS'!$D$70</f>
        <v>207974.59503416176</v>
      </c>
      <c r="G94" s="441">
        <f>'CA COSTOS'!$D$70</f>
        <v>207974.59503416176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530</v>
      </c>
      <c r="C95" s="441"/>
      <c r="D95" s="441"/>
      <c r="E95" s="441"/>
      <c r="F95" s="441"/>
      <c r="G95" s="44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87" t="s">
        <v>530</v>
      </c>
      <c r="C96" s="441"/>
      <c r="D96" s="441"/>
      <c r="E96" s="441"/>
      <c r="F96" s="441"/>
      <c r="G96" s="44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 t="s">
        <v>76</v>
      </c>
      <c r="C97" s="441">
        <f>SUM(C86:C96)*InfoInicial!$B$14</f>
        <v>2491851.887494266</v>
      </c>
      <c r="D97" s="441">
        <f>SUM(D86:D96)*InfoInicial!$B$14</f>
        <v>3339212.6424942664</v>
      </c>
      <c r="E97" s="441">
        <f>SUM(E86:E96)*InfoInicial!$B$14</f>
        <v>3339212.6424942664</v>
      </c>
      <c r="F97" s="441">
        <f>SUM(F86:F96)*InfoInicial!$B$14</f>
        <v>3339212.6424942664</v>
      </c>
      <c r="G97" s="441">
        <f>SUM(G86:G96)*InfoInicial!$B$14</f>
        <v>3339212.6424942664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3"/>
      <c r="C98" s="443"/>
      <c r="D98" s="443"/>
      <c r="E98" s="443"/>
      <c r="F98" s="443"/>
      <c r="G98" s="44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 t="s">
        <v>563</v>
      </c>
      <c r="C99" s="441">
        <f>SUM(C86:C97)</f>
        <v>52328889.637379587</v>
      </c>
      <c r="D99" s="441">
        <f>SUM(D86:D97)</f>
        <v>70123465.492379591</v>
      </c>
      <c r="E99" s="441">
        <f>SUM(E86:E97)</f>
        <v>70123465.492379591</v>
      </c>
      <c r="F99" s="441">
        <f>SUM(F86:F97)</f>
        <v>70123465.492379591</v>
      </c>
      <c r="G99" s="441">
        <f>SUM(G86:G97)</f>
        <v>70123465.492379591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42"/>
      <c r="C100" s="441"/>
      <c r="D100" s="441"/>
      <c r="E100" s="441"/>
      <c r="F100" s="441"/>
      <c r="G100" s="44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84" t="s">
        <v>532</v>
      </c>
      <c r="C101" s="511">
        <f>(C86+C87+C88+C90+C91+C93+C94)/C99</f>
        <v>0.90009625803793269</v>
      </c>
      <c r="D101" s="511">
        <f t="shared" ref="D101:G101" si="15">(D86+D87+D88+D90+D91+D93+D94)/D99</f>
        <v>0.91336405581446245</v>
      </c>
      <c r="E101" s="511">
        <f t="shared" si="15"/>
        <v>0.91336405581446245</v>
      </c>
      <c r="F101" s="511">
        <f t="shared" si="15"/>
        <v>0.91336405581446245</v>
      </c>
      <c r="G101" s="511">
        <f t="shared" si="15"/>
        <v>0.91336405581446245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46" t="s">
        <v>533</v>
      </c>
      <c r="C102" s="512">
        <f>(C89+C92+C97)/C99</f>
        <v>9.9903741962067263E-2</v>
      </c>
      <c r="D102" s="512">
        <f t="shared" ref="D102:G102" si="16">(D89+D92+D97)/D99</f>
        <v>8.663594418553755E-2</v>
      </c>
      <c r="E102" s="512">
        <f t="shared" si="16"/>
        <v>8.663594418553755E-2</v>
      </c>
      <c r="F102" s="512">
        <f t="shared" si="16"/>
        <v>8.663594418553755E-2</v>
      </c>
      <c r="G102" s="512">
        <f t="shared" si="16"/>
        <v>8.663594418553755E-2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customHeight="1">
      <c r="B104" s="180"/>
      <c r="C104" s="180"/>
      <c r="D104" s="180"/>
      <c r="E104" s="180"/>
      <c r="F104" s="180"/>
      <c r="G104" s="18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2.5" customHeight="1">
      <c r="A105" s="159"/>
      <c r="B105" s="1003" t="s">
        <v>564</v>
      </c>
      <c r="C105" s="1004"/>
      <c r="D105" s="1004"/>
      <c r="E105" s="1004"/>
      <c r="F105" s="1004"/>
      <c r="G105" s="1005"/>
      <c r="H105" s="18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237"/>
      <c r="C106" s="513" t="s">
        <v>2</v>
      </c>
      <c r="D106" s="513" t="s">
        <v>3</v>
      </c>
      <c r="E106" s="513" t="s">
        <v>4</v>
      </c>
      <c r="F106" s="513" t="s">
        <v>5</v>
      </c>
      <c r="G106" s="514" t="s">
        <v>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8" t="s">
        <v>565</v>
      </c>
      <c r="C107" s="515">
        <f>'InfoInicial-CálcAux'!K5</f>
        <v>540000</v>
      </c>
      <c r="D107" s="515">
        <f>'InfoInicial-CálcAux'!L5</f>
        <v>756000</v>
      </c>
      <c r="E107" s="515">
        <f>'InfoInicial-CálcAux'!M5</f>
        <v>756000</v>
      </c>
      <c r="F107" s="515">
        <f>'InfoInicial-CálcAux'!N5</f>
        <v>756000</v>
      </c>
      <c r="G107" s="515">
        <f>'InfoInicial-CálcAux'!O5</f>
        <v>756000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566</v>
      </c>
      <c r="C108" s="516">
        <f>'InfoInicial-CálcAux'!C8*2.5</f>
        <v>2625</v>
      </c>
      <c r="D108" s="516">
        <f>C108</f>
        <v>2625</v>
      </c>
      <c r="E108" s="516">
        <f>D108</f>
        <v>2625</v>
      </c>
      <c r="F108" s="516">
        <f t="shared" ref="F108:G108" si="17">E108</f>
        <v>2625</v>
      </c>
      <c r="G108" s="517">
        <f t="shared" si="17"/>
        <v>2625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567</v>
      </c>
      <c r="C109" s="518">
        <v>0</v>
      </c>
      <c r="D109" s="518">
        <v>0</v>
      </c>
      <c r="E109" s="518">
        <v>0</v>
      </c>
      <c r="F109" s="518">
        <v>0</v>
      </c>
      <c r="G109" s="519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568</v>
      </c>
      <c r="C110" s="520">
        <v>0</v>
      </c>
      <c r="D110" s="520">
        <v>0</v>
      </c>
      <c r="E110" s="520">
        <v>0</v>
      </c>
      <c r="F110" s="520">
        <v>0</v>
      </c>
      <c r="G110" s="521"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569</v>
      </c>
      <c r="C111" s="522">
        <f>'CA COSTOS'!H117</f>
        <v>0</v>
      </c>
      <c r="D111" s="522">
        <f>'CA COSTOS'!$H121</f>
        <v>0</v>
      </c>
      <c r="E111" s="522">
        <f>'CA COSTOS'!$H121</f>
        <v>0</v>
      </c>
      <c r="F111" s="522">
        <f>'CA COSTOS'!$H121</f>
        <v>0</v>
      </c>
      <c r="G111" s="523">
        <f>'CA COSTOS'!$H121</f>
        <v>0</v>
      </c>
      <c r="H111" s="3"/>
      <c r="I111" s="3"/>
      <c r="J111" s="9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89" t="s">
        <v>570</v>
      </c>
      <c r="C112" s="520">
        <f>'CA COSTOS'!$G117</f>
        <v>0</v>
      </c>
      <c r="D112" s="520">
        <f>'CA COSTOS'!$G117</f>
        <v>0</v>
      </c>
      <c r="E112" s="520">
        <f>'CA COSTOS'!$G117</f>
        <v>0</v>
      </c>
      <c r="F112" s="520">
        <f>'CA COSTOS'!$G117</f>
        <v>0</v>
      </c>
      <c r="G112" s="521">
        <f>'CA COSTOS'!$G117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571</v>
      </c>
      <c r="D113" s="931"/>
      <c r="E113" s="931"/>
      <c r="F113" s="931"/>
      <c r="G113" s="93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1" t="s">
        <v>571</v>
      </c>
      <c r="C114" s="931"/>
      <c r="D114" s="931"/>
      <c r="E114" s="931"/>
      <c r="F114" s="931"/>
      <c r="G114" s="93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92" t="s">
        <v>572</v>
      </c>
      <c r="C115" s="520">
        <f>(C107*C108)+(C111*C112)</f>
        <v>1417500000</v>
      </c>
      <c r="D115" s="520">
        <f t="shared" ref="D115:G115" si="18">(D107*D108)+(D111*D112)</f>
        <v>1984500000</v>
      </c>
      <c r="E115" s="520">
        <f t="shared" si="18"/>
        <v>1984500000</v>
      </c>
      <c r="F115" s="520">
        <f t="shared" si="18"/>
        <v>1984500000</v>
      </c>
      <c r="G115" s="521">
        <f t="shared" si="18"/>
        <v>1984500000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/>
      <c r="C116" s="520"/>
      <c r="D116" s="520"/>
      <c r="E116" s="520"/>
      <c r="F116" s="520"/>
      <c r="G116" s="52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573</v>
      </c>
      <c r="C117" s="441">
        <f>C7</f>
        <v>1205088000</v>
      </c>
      <c r="D117" s="441">
        <f t="shared" ref="D117:G117" si="19">D7</f>
        <v>1121374800</v>
      </c>
      <c r="E117" s="441">
        <f t="shared" si="19"/>
        <v>1121374800</v>
      </c>
      <c r="F117" s="441">
        <f t="shared" si="19"/>
        <v>1121374800</v>
      </c>
      <c r="G117" s="524">
        <f t="shared" si="19"/>
        <v>1121374800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450</v>
      </c>
      <c r="C118" s="441">
        <f t="shared" ref="C118:G118" si="20">C8</f>
        <v>3345925.44</v>
      </c>
      <c r="D118" s="441">
        <f t="shared" si="20"/>
        <v>3345925.44</v>
      </c>
      <c r="E118" s="441">
        <f t="shared" si="20"/>
        <v>3345925.44</v>
      </c>
      <c r="F118" s="441">
        <f t="shared" si="20"/>
        <v>3345925.44</v>
      </c>
      <c r="G118" s="524">
        <f t="shared" si="20"/>
        <v>3345925.44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 t="s">
        <v>574</v>
      </c>
      <c r="C119" s="441">
        <f>SUM(C10:C23)</f>
        <v>141993299.49179646</v>
      </c>
      <c r="D119" s="441">
        <f t="shared" ref="D119:G119" si="21">SUM(D10:D23)</f>
        <v>136621004.88179645</v>
      </c>
      <c r="E119" s="441">
        <f t="shared" si="21"/>
        <v>136621004.88179645</v>
      </c>
      <c r="F119" s="441">
        <f t="shared" si="21"/>
        <v>136621004.88179645</v>
      </c>
      <c r="G119" s="524">
        <f t="shared" si="21"/>
        <v>136621004.88179645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89"/>
      <c r="C120" s="441"/>
      <c r="D120" s="441"/>
      <c r="E120" s="441"/>
      <c r="F120" s="441"/>
      <c r="G120" s="52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92" t="s">
        <v>575</v>
      </c>
      <c r="C121" s="441">
        <f>SUM(C117:C119)</f>
        <v>1350427224.9317966</v>
      </c>
      <c r="D121" s="441">
        <f>SUM(D117:D119)</f>
        <v>1261341730.3217964</v>
      </c>
      <c r="E121" s="441">
        <f t="shared" ref="E121:G121" si="22">SUM(E117:E119)</f>
        <v>1261341730.3217964</v>
      </c>
      <c r="F121" s="441">
        <f t="shared" si="22"/>
        <v>1261341730.3217964</v>
      </c>
      <c r="G121" s="524">
        <f t="shared" si="22"/>
        <v>1261341730.3217964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/>
      <c r="C122" s="441"/>
      <c r="D122" s="441"/>
      <c r="E122" s="441"/>
      <c r="F122" s="441"/>
      <c r="G122" s="5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89" t="s">
        <v>544</v>
      </c>
      <c r="C123" s="441"/>
      <c r="D123" s="441"/>
      <c r="E123" s="441"/>
      <c r="F123" s="441"/>
      <c r="G123" s="52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357</v>
      </c>
      <c r="C124" s="441">
        <f>H46</f>
        <v>53369376.9612929</v>
      </c>
      <c r="D124" s="441">
        <v>0</v>
      </c>
      <c r="E124" s="441">
        <v>0</v>
      </c>
      <c r="F124" s="441">
        <v>0</v>
      </c>
      <c r="G124" s="524"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93" t="s">
        <v>576</v>
      </c>
      <c r="C125" s="441">
        <f>C46</f>
        <v>13764328.938449906</v>
      </c>
      <c r="D125" s="441">
        <f t="shared" ref="D125:G125" si="23">D46-C46</f>
        <v>-469280.00866966136</v>
      </c>
      <c r="E125" s="441">
        <f t="shared" si="23"/>
        <v>0</v>
      </c>
      <c r="F125" s="441">
        <f t="shared" si="23"/>
        <v>0</v>
      </c>
      <c r="G125" s="441">
        <f t="shared" si="23"/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89"/>
      <c r="C126" s="441"/>
      <c r="D126" s="441"/>
      <c r="E126" s="441"/>
      <c r="F126" s="441"/>
      <c r="G126" s="52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2" t="s">
        <v>577</v>
      </c>
      <c r="C127" s="441">
        <f>C121-C124-C125</f>
        <v>1283293519.0320537</v>
      </c>
      <c r="D127" s="441">
        <f>D121-D124-D125</f>
        <v>1261811010.330466</v>
      </c>
      <c r="E127" s="441">
        <f t="shared" ref="E127:G127" si="24">E121-E124-E125</f>
        <v>1261341730.3217964</v>
      </c>
      <c r="F127" s="441">
        <f t="shared" si="24"/>
        <v>1261341730.3217964</v>
      </c>
      <c r="G127" s="441">
        <f t="shared" si="24"/>
        <v>1261341730.3217964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93" t="s">
        <v>578</v>
      </c>
      <c r="C128" s="525">
        <f>'InfoInicial-CálcAux'!L14</f>
        <v>1617000</v>
      </c>
      <c r="D128" s="525">
        <f>'InfoInicial-CálcAux'!$M$14</f>
        <v>1890000</v>
      </c>
      <c r="E128" s="525">
        <f>'InfoInicial-CálcAux'!$M$14</f>
        <v>1890000</v>
      </c>
      <c r="F128" s="525">
        <f>'InfoInicial-CálcAux'!$M$14</f>
        <v>1890000</v>
      </c>
      <c r="G128" s="525">
        <f>'InfoInicial-CálcAux'!$M$14</f>
        <v>1890000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 t="s">
        <v>579</v>
      </c>
      <c r="C129" s="441">
        <f>C127/C128</f>
        <v>793.62617132470859</v>
      </c>
      <c r="D129" s="441">
        <f t="shared" ref="D129:G129" si="25">D127/D128</f>
        <v>667.62487319072272</v>
      </c>
      <c r="E129" s="441">
        <f t="shared" si="25"/>
        <v>667.37657688983938</v>
      </c>
      <c r="F129" s="441">
        <f t="shared" si="25"/>
        <v>667.37657688983938</v>
      </c>
      <c r="G129" s="441">
        <f t="shared" si="25"/>
        <v>667.37657688983938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/>
      <c r="C130" s="525"/>
      <c r="D130" s="525"/>
      <c r="E130" s="525"/>
      <c r="F130" s="525"/>
      <c r="G130" s="5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544</v>
      </c>
      <c r="C131" s="525"/>
      <c r="D131" s="525"/>
      <c r="E131" s="525"/>
      <c r="F131" s="525"/>
      <c r="G131" s="5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 t="s">
        <v>580</v>
      </c>
      <c r="C132" s="441">
        <f>'CA COSTOS'!M99</f>
        <v>1368386.117121489</v>
      </c>
      <c r="D132" s="441">
        <f>'CA COSTOS'!N99</f>
        <v>-217253.95826858096</v>
      </c>
      <c r="E132" s="441">
        <f>'CA COSTOS'!O99</f>
        <v>-428.11744790920056</v>
      </c>
      <c r="F132" s="441">
        <f>'CA COSTOS'!P99</f>
        <v>0</v>
      </c>
      <c r="G132" s="441">
        <f>'CA COSTOS'!Q99</f>
        <v>0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89"/>
      <c r="C133" s="525"/>
      <c r="D133" s="525"/>
      <c r="E133" s="525"/>
      <c r="F133" s="525"/>
      <c r="G133" s="52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92" t="s">
        <v>581</v>
      </c>
      <c r="C134" s="441">
        <f>C127-C132</f>
        <v>1281925132.9149323</v>
      </c>
      <c r="D134" s="441">
        <f t="shared" ref="D134:G134" si="26">D127-D132</f>
        <v>1262028264.2887347</v>
      </c>
      <c r="E134" s="441">
        <f t="shared" si="26"/>
        <v>1261342158.4392443</v>
      </c>
      <c r="F134" s="441">
        <f t="shared" si="26"/>
        <v>1261341730.3217964</v>
      </c>
      <c r="G134" s="441">
        <f t="shared" si="26"/>
        <v>1261341730.3217964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89"/>
      <c r="C135" s="441"/>
      <c r="D135" s="441"/>
      <c r="E135" s="441"/>
      <c r="F135" s="441"/>
      <c r="G135" s="52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582</v>
      </c>
      <c r="C136" s="441">
        <f t="shared" ref="C136:G136" si="27">C78</f>
        <v>5300143.1383795906</v>
      </c>
      <c r="D136" s="441">
        <f t="shared" si="27"/>
        <v>5234218.9933795901</v>
      </c>
      <c r="E136" s="441">
        <f t="shared" si="27"/>
        <v>5234218.9933795901</v>
      </c>
      <c r="F136" s="441">
        <f t="shared" si="27"/>
        <v>5234218.9933795901</v>
      </c>
      <c r="G136" s="441">
        <f t="shared" si="27"/>
        <v>5234218.9933795901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92" t="s">
        <v>583</v>
      </c>
      <c r="C137" s="525">
        <f t="shared" ref="C137:G137" si="28">C99</f>
        <v>52328889.637379587</v>
      </c>
      <c r="D137" s="525">
        <f t="shared" si="28"/>
        <v>70123465.492379591</v>
      </c>
      <c r="E137" s="525">
        <f t="shared" si="28"/>
        <v>70123465.492379591</v>
      </c>
      <c r="F137" s="525">
        <f t="shared" si="28"/>
        <v>70123465.492379591</v>
      </c>
      <c r="G137" s="525">
        <f t="shared" si="28"/>
        <v>70123465.492379591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89"/>
      <c r="C138" s="525"/>
      <c r="D138" s="525"/>
      <c r="E138" s="525"/>
      <c r="F138" s="525"/>
      <c r="G138" s="52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92" t="s">
        <v>584</v>
      </c>
      <c r="C139" s="525">
        <f>C134+C136+C137</f>
        <v>1339554165.6906915</v>
      </c>
      <c r="D139" s="525">
        <f t="shared" ref="D139:F139" si="29">D134+D136+D137</f>
        <v>1337385948.7744939</v>
      </c>
      <c r="E139" s="525">
        <f t="shared" si="29"/>
        <v>1336699842.9250035</v>
      </c>
      <c r="F139" s="525">
        <f t="shared" si="29"/>
        <v>1336699414.8075557</v>
      </c>
      <c r="G139" s="525">
        <f>G134+G136+G137</f>
        <v>1336699414.8075557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89"/>
      <c r="C140" s="525"/>
      <c r="D140" s="525"/>
      <c r="E140" s="525"/>
      <c r="F140" s="525"/>
      <c r="G140" s="52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92" t="s">
        <v>585</v>
      </c>
      <c r="C141" s="525">
        <f>C139/C128</f>
        <v>828.41939745868365</v>
      </c>
      <c r="D141" s="525">
        <f t="shared" ref="D141:G141" si="30">D139/D128</f>
        <v>707.61161310819784</v>
      </c>
      <c r="E141" s="525">
        <f t="shared" si="30"/>
        <v>707.24859414021353</v>
      </c>
      <c r="F141" s="525">
        <f t="shared" si="30"/>
        <v>707.24836762304528</v>
      </c>
      <c r="G141" s="525">
        <f t="shared" si="30"/>
        <v>707.24836762304528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89"/>
      <c r="C142" s="525"/>
      <c r="D142" s="525"/>
      <c r="E142" s="525"/>
      <c r="F142" s="525"/>
      <c r="G142" s="52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586</v>
      </c>
      <c r="C143" s="525">
        <f>C115-C139</f>
        <v>77945834.309308529</v>
      </c>
      <c r="D143" s="525">
        <f>D115-D139</f>
        <v>647114051.22550607</v>
      </c>
      <c r="E143" s="525">
        <f t="shared" ref="E143:G143" si="31">E115-E139</f>
        <v>647800157.07499647</v>
      </c>
      <c r="F143" s="525">
        <f t="shared" si="31"/>
        <v>647800585.19244432</v>
      </c>
      <c r="G143" s="525">
        <f t="shared" si="31"/>
        <v>647800585.19244432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2" t="s">
        <v>61</v>
      </c>
      <c r="C144" s="525">
        <f>C143*InfoInicial!$B$5</f>
        <v>5456208.4016515976</v>
      </c>
      <c r="D144" s="525">
        <f>D143*InfoInicial!$B$5</f>
        <v>45297983.585785426</v>
      </c>
      <c r="E144" s="525">
        <f>E143*InfoInicial!$B$5</f>
        <v>45346010.995249756</v>
      </c>
      <c r="F144" s="525">
        <f>F143*InfoInicial!$B$5</f>
        <v>45346040.963471107</v>
      </c>
      <c r="G144" s="525">
        <f>G143*InfoInicial!$B$5</f>
        <v>45346040.963471107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4" t="s">
        <v>587</v>
      </c>
      <c r="C145" s="525">
        <f>(C143-C144)*InfoInicial!$B$4</f>
        <v>25371369.067679927</v>
      </c>
      <c r="D145" s="525">
        <f>(D143-D144)*InfoInicial!$B$4</f>
        <v>210635623.67390221</v>
      </c>
      <c r="E145" s="525">
        <f>(E143-E144)*InfoInicial!$B$4</f>
        <v>210858951.12791133</v>
      </c>
      <c r="F145" s="525">
        <f>(F143-F144)*InfoInicial!$B$4</f>
        <v>210859090.48014063</v>
      </c>
      <c r="G145" s="525">
        <f>(G143-G144)*InfoInicial!$B$4</f>
        <v>210859090.48014063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2"/>
      <c r="C146" s="525"/>
      <c r="D146" s="525"/>
      <c r="E146" s="525"/>
      <c r="F146" s="525"/>
      <c r="G146" s="52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4" t="s">
        <v>588</v>
      </c>
      <c r="C147" s="525">
        <f>C143-C144-C145</f>
        <v>47118256.839977011</v>
      </c>
      <c r="D147" s="525">
        <f t="shared" ref="D147:G147" si="32">D143-D144-D145</f>
        <v>391180443.96581846</v>
      </c>
      <c r="E147" s="525">
        <f t="shared" si="32"/>
        <v>391595194.95183539</v>
      </c>
      <c r="F147" s="525">
        <f t="shared" si="32"/>
        <v>391595453.74883264</v>
      </c>
      <c r="G147" s="525">
        <f t="shared" si="32"/>
        <v>391595453.74883264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 t="s">
        <v>589</v>
      </c>
      <c r="C148" s="527">
        <f>C147/C115</f>
        <v>3.3240392832435281E-2</v>
      </c>
      <c r="D148" s="527">
        <f t="shared" ref="D148:G148" si="33">D147/D115</f>
        <v>0.19711788559628041</v>
      </c>
      <c r="E148" s="527">
        <f t="shared" si="33"/>
        <v>0.19732688080213423</v>
      </c>
      <c r="F148" s="527">
        <f t="shared" si="33"/>
        <v>0.19732701121130392</v>
      </c>
      <c r="G148" s="527">
        <f t="shared" si="33"/>
        <v>0.19732701121130392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/>
      <c r="C149" s="527"/>
      <c r="D149" s="527"/>
      <c r="E149" s="527"/>
      <c r="F149" s="527"/>
      <c r="G149" s="5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2" t="s">
        <v>590</v>
      </c>
      <c r="C150" s="527"/>
      <c r="D150" s="527"/>
      <c r="E150" s="527"/>
      <c r="F150" s="527"/>
      <c r="G150" s="52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4" t="s">
        <v>591</v>
      </c>
      <c r="C151" s="458">
        <f t="shared" ref="C151:G151" si="34">C147</f>
        <v>47118256.839977011</v>
      </c>
      <c r="D151" s="458">
        <f t="shared" si="34"/>
        <v>391180443.96581846</v>
      </c>
      <c r="E151" s="458">
        <f t="shared" si="34"/>
        <v>391595194.95183539</v>
      </c>
      <c r="F151" s="458">
        <f t="shared" si="34"/>
        <v>391595453.74883264</v>
      </c>
      <c r="G151" s="458">
        <f t="shared" si="34"/>
        <v>391595453.74883264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2" t="s">
        <v>592</v>
      </c>
      <c r="C152" s="529">
        <f>'CA COSTOS'!D44</f>
        <v>24040748.45534043</v>
      </c>
      <c r="D152" s="529">
        <f>'CA COSTOS'!E44</f>
        <v>24040748.45534043</v>
      </c>
      <c r="E152" s="529">
        <f>'CA COSTOS'!F44</f>
        <v>24040748.45534043</v>
      </c>
      <c r="F152" s="529">
        <f>'CA COSTOS'!G44</f>
        <v>24040748.45534043</v>
      </c>
      <c r="G152" s="529">
        <f>'CA COSTOS'!H44</f>
        <v>24040748.45534043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5" t="s">
        <v>188</v>
      </c>
      <c r="C153" s="458">
        <f>C151+C152</f>
        <v>71159005.295317441</v>
      </c>
      <c r="D153" s="458">
        <f t="shared" ref="D153:G153" si="35">D151+D152</f>
        <v>415221192.42115891</v>
      </c>
      <c r="E153" s="458">
        <f t="shared" si="35"/>
        <v>415635943.40717584</v>
      </c>
      <c r="F153" s="458">
        <f t="shared" si="35"/>
        <v>415636202.20417309</v>
      </c>
      <c r="G153" s="458">
        <f t="shared" si="35"/>
        <v>415636202.20417309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/>
      <c r="C154" s="458"/>
      <c r="D154" s="458"/>
      <c r="E154" s="458"/>
      <c r="F154" s="458"/>
      <c r="G154" s="53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2" t="s">
        <v>593</v>
      </c>
      <c r="C155" s="458">
        <f>C24*C26</f>
        <v>28434105.333871506</v>
      </c>
      <c r="D155" s="458">
        <f t="shared" ref="D155:G155" si="36">D24*D26</f>
        <v>28434105.333871506</v>
      </c>
      <c r="E155" s="458">
        <f t="shared" si="36"/>
        <v>28434105.333871506</v>
      </c>
      <c r="F155" s="458">
        <f t="shared" si="36"/>
        <v>28434105.333871506</v>
      </c>
      <c r="G155" s="458">
        <f t="shared" si="36"/>
        <v>28434105.333871506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4" t="s">
        <v>594</v>
      </c>
      <c r="C156" s="458">
        <f>C24*C27</f>
        <v>1298503119.5979252</v>
      </c>
      <c r="D156" s="458">
        <f t="shared" ref="D156:G156" si="37">D24*D27</f>
        <v>1209417624.9879251</v>
      </c>
      <c r="E156" s="458">
        <f t="shared" si="37"/>
        <v>1209417624.9879251</v>
      </c>
      <c r="F156" s="458">
        <f t="shared" si="37"/>
        <v>1209417624.9879251</v>
      </c>
      <c r="G156" s="458">
        <f t="shared" si="37"/>
        <v>1209417624.9879251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2" t="s">
        <v>595</v>
      </c>
      <c r="C157" s="458">
        <f t="shared" ref="C157:G157" si="38">C80*C78</f>
        <v>5093028.021720429</v>
      </c>
      <c r="D157" s="458">
        <f t="shared" si="38"/>
        <v>5027103.8767204285</v>
      </c>
      <c r="E157" s="458">
        <f t="shared" si="38"/>
        <v>5027103.8767204285</v>
      </c>
      <c r="F157" s="458">
        <f t="shared" si="38"/>
        <v>5027103.8767204285</v>
      </c>
      <c r="G157" s="458">
        <f t="shared" si="38"/>
        <v>5027103.8767204285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4" t="s">
        <v>596</v>
      </c>
      <c r="C158" s="458">
        <f t="shared" ref="C158:G158" si="39">C81*C78</f>
        <v>207115.11665916178</v>
      </c>
      <c r="D158" s="458">
        <f t="shared" si="39"/>
        <v>207115.11665916175</v>
      </c>
      <c r="E158" s="458">
        <f t="shared" si="39"/>
        <v>207115.11665916175</v>
      </c>
      <c r="F158" s="458">
        <f t="shared" si="39"/>
        <v>207115.11665916175</v>
      </c>
      <c r="G158" s="458">
        <f t="shared" si="39"/>
        <v>207115.11665916175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2" t="s">
        <v>597</v>
      </c>
      <c r="C159" s="458">
        <f t="shared" ref="C159:G159" si="40">C101*C99</f>
        <v>47101037.749885321</v>
      </c>
      <c r="D159" s="458">
        <f t="shared" si="40"/>
        <v>64048252.849885322</v>
      </c>
      <c r="E159" s="458">
        <f t="shared" si="40"/>
        <v>64048252.849885322</v>
      </c>
      <c r="F159" s="458">
        <f t="shared" si="40"/>
        <v>64048252.849885322</v>
      </c>
      <c r="G159" s="458">
        <f t="shared" si="40"/>
        <v>64048252.849885322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4" t="s">
        <v>598</v>
      </c>
      <c r="C160" s="458">
        <f t="shared" ref="C160:G160" si="41">C102*C99</f>
        <v>5227851.887494266</v>
      </c>
      <c r="D160" s="458">
        <f t="shared" si="41"/>
        <v>6075212.6424942669</v>
      </c>
      <c r="E160" s="458">
        <f t="shared" si="41"/>
        <v>6075212.6424942669</v>
      </c>
      <c r="F160" s="458">
        <f t="shared" si="41"/>
        <v>6075212.6424942669</v>
      </c>
      <c r="G160" s="458">
        <f t="shared" si="41"/>
        <v>6075212.6424942669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2" t="s">
        <v>599</v>
      </c>
      <c r="C161" s="458">
        <f>C115-C156-C158-C160</f>
        <v>113561913.39792138</v>
      </c>
      <c r="D161" s="458">
        <f>D115-D156-D158-D160</f>
        <v>768800047.25292146</v>
      </c>
      <c r="E161" s="458">
        <f t="shared" ref="E161:G161" si="42">E115-E156-E158-E160</f>
        <v>768800047.25292146</v>
      </c>
      <c r="F161" s="458">
        <f t="shared" si="42"/>
        <v>768800047.25292146</v>
      </c>
      <c r="G161" s="458">
        <f t="shared" si="42"/>
        <v>768800047.25292146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2.75" customHeight="1">
      <c r="B162" s="96" t="s">
        <v>600</v>
      </c>
      <c r="C162" s="531">
        <f>(C155+C157+C159)/C161</f>
        <v>0.70999306627527348</v>
      </c>
      <c r="D162" s="531">
        <f t="shared" ref="D162:F162" si="43">(D155+D157+D159)/D161</f>
        <v>0.12683331954634802</v>
      </c>
      <c r="E162" s="531">
        <f t="shared" si="43"/>
        <v>0.12683331954634802</v>
      </c>
      <c r="F162" s="531">
        <f t="shared" si="43"/>
        <v>0.12683331954634802</v>
      </c>
      <c r="G162" s="531">
        <f>(G155+G157+G159)/G161</f>
        <v>0.12683331954634802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9.5" customHeight="1">
      <c r="B163" s="97" t="s">
        <v>601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8" t="s">
        <v>2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99" t="s">
        <v>602</v>
      </c>
      <c r="C166" s="532" t="s">
        <v>603</v>
      </c>
      <c r="D166" s="532" t="s">
        <v>604</v>
      </c>
      <c r="E166" s="532" t="s">
        <v>605</v>
      </c>
      <c r="F166" s="532" t="s">
        <v>606</v>
      </c>
      <c r="G166" s="532" t="s">
        <v>607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100">
        <f>C115</f>
        <v>1417500000</v>
      </c>
      <c r="C167" s="533">
        <v>0</v>
      </c>
      <c r="D167" s="534" t="s">
        <v>608</v>
      </c>
      <c r="E167" s="441">
        <f>$C$155+$C$157+$C$159</f>
        <v>80628171.105477259</v>
      </c>
      <c r="F167" s="441">
        <f t="shared" ref="F167:F186" si="44">$F$187*C167</f>
        <v>0</v>
      </c>
      <c r="G167" s="441">
        <f>E167+F167</f>
        <v>80628171.105477259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3">
        <v>0.05</v>
      </c>
      <c r="D168" s="534">
        <f>C168*$B$167</f>
        <v>70875000</v>
      </c>
      <c r="E168" s="441">
        <f>$C$155+$C$157+$C$159</f>
        <v>80628171.105477259</v>
      </c>
      <c r="F168" s="441">
        <f>$F$187*C168</f>
        <v>65196904.330103934</v>
      </c>
      <c r="G168" s="441">
        <f t="shared" ref="G168:G187" si="45">E168+F168</f>
        <v>145825075.43558121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3">
        <v>0.1</v>
      </c>
      <c r="D169" s="534">
        <f t="shared" ref="D169:D187" si="46">C169*$B$167</f>
        <v>141750000</v>
      </c>
      <c r="E169" s="441">
        <f t="shared" ref="E169:E187" si="47">$C$155+$C$157+$C$159</f>
        <v>80628171.105477259</v>
      </c>
      <c r="F169" s="441">
        <f>$F$187*C169</f>
        <v>130393808.66020787</v>
      </c>
      <c r="G169" s="441">
        <f t="shared" si="45"/>
        <v>211021979.76568514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3">
        <v>0.15</v>
      </c>
      <c r="D170" s="534">
        <f t="shared" si="46"/>
        <v>212625000</v>
      </c>
      <c r="E170" s="441">
        <f>$C$155+$C$157+$C$159</f>
        <v>80628171.105477259</v>
      </c>
      <c r="F170" s="441">
        <f t="shared" si="44"/>
        <v>195590712.9903118</v>
      </c>
      <c r="G170" s="441">
        <f t="shared" si="45"/>
        <v>276218884.09578907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3">
        <v>0.2</v>
      </c>
      <c r="D171" s="534">
        <f>C171*$B$167</f>
        <v>283500000</v>
      </c>
      <c r="E171" s="441">
        <f t="shared" si="47"/>
        <v>80628171.105477259</v>
      </c>
      <c r="F171" s="441">
        <f t="shared" si="44"/>
        <v>260787617.32041574</v>
      </c>
      <c r="G171" s="441">
        <f>E171+F171</f>
        <v>341415788.42589301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3">
        <v>0.25</v>
      </c>
      <c r="D172" s="534">
        <f t="shared" si="46"/>
        <v>354375000</v>
      </c>
      <c r="E172" s="441">
        <f t="shared" si="47"/>
        <v>80628171.105477259</v>
      </c>
      <c r="F172" s="441">
        <f t="shared" si="44"/>
        <v>325984521.65051967</v>
      </c>
      <c r="G172" s="441">
        <f t="shared" si="45"/>
        <v>406612692.75599694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3">
        <v>0.3</v>
      </c>
      <c r="D173" s="534">
        <f t="shared" si="46"/>
        <v>425250000</v>
      </c>
      <c r="E173" s="441">
        <f t="shared" si="47"/>
        <v>80628171.105477259</v>
      </c>
      <c r="F173" s="441">
        <f t="shared" si="44"/>
        <v>391181425.9806236</v>
      </c>
      <c r="G173" s="441">
        <f t="shared" si="45"/>
        <v>471809597.08610088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3">
        <v>0.35</v>
      </c>
      <c r="D174" s="534">
        <f t="shared" si="46"/>
        <v>496124999.99999994</v>
      </c>
      <c r="E174" s="441">
        <f t="shared" si="47"/>
        <v>80628171.105477259</v>
      </c>
      <c r="F174" s="441">
        <f t="shared" si="44"/>
        <v>456378330.31072754</v>
      </c>
      <c r="G174" s="441">
        <f>E174+F174</f>
        <v>537006501.41620481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3">
        <v>0.4</v>
      </c>
      <c r="D175" s="534">
        <f t="shared" si="46"/>
        <v>567000000</v>
      </c>
      <c r="E175" s="441">
        <f t="shared" si="47"/>
        <v>80628171.105477259</v>
      </c>
      <c r="F175" s="441">
        <f t="shared" si="44"/>
        <v>521575234.64083147</v>
      </c>
      <c r="G175" s="441">
        <f t="shared" si="45"/>
        <v>602203405.74630868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3">
        <v>0.45</v>
      </c>
      <c r="D176" s="534">
        <f t="shared" si="46"/>
        <v>637875000</v>
      </c>
      <c r="E176" s="441">
        <f t="shared" si="47"/>
        <v>80628171.105477259</v>
      </c>
      <c r="F176" s="441">
        <f t="shared" si="44"/>
        <v>586772138.97093546</v>
      </c>
      <c r="G176" s="441">
        <f t="shared" si="45"/>
        <v>667400310.07641268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3">
        <v>0.5</v>
      </c>
      <c r="D177" s="534">
        <f t="shared" si="46"/>
        <v>708750000</v>
      </c>
      <c r="E177" s="441">
        <f t="shared" si="47"/>
        <v>80628171.105477259</v>
      </c>
      <c r="F177" s="441">
        <f t="shared" si="44"/>
        <v>651969043.30103934</v>
      </c>
      <c r="G177" s="441">
        <f t="shared" si="45"/>
        <v>732597214.40651655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3">
        <v>0.55000000000000004</v>
      </c>
      <c r="D178" s="534">
        <f t="shared" si="46"/>
        <v>779625000.00000012</v>
      </c>
      <c r="E178" s="441">
        <f t="shared" si="47"/>
        <v>80628171.105477259</v>
      </c>
      <c r="F178" s="441">
        <f t="shared" si="44"/>
        <v>717165947.63114333</v>
      </c>
      <c r="G178" s="441">
        <f>E178+F178</f>
        <v>797794118.73662055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3">
        <v>0.6</v>
      </c>
      <c r="D179" s="534">
        <f t="shared" si="46"/>
        <v>850500000</v>
      </c>
      <c r="E179" s="441">
        <f t="shared" si="47"/>
        <v>80628171.105477259</v>
      </c>
      <c r="F179" s="441">
        <f t="shared" si="44"/>
        <v>782362851.96124721</v>
      </c>
      <c r="G179" s="441">
        <f t="shared" si="45"/>
        <v>862991023.06672442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3">
        <v>0.65</v>
      </c>
      <c r="D180" s="534">
        <f t="shared" si="46"/>
        <v>921375000</v>
      </c>
      <c r="E180" s="441">
        <f t="shared" si="47"/>
        <v>80628171.105477259</v>
      </c>
      <c r="F180" s="441">
        <f t="shared" si="44"/>
        <v>847559756.2913512</v>
      </c>
      <c r="G180" s="441">
        <f t="shared" si="45"/>
        <v>928187927.39682841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3">
        <v>0.7</v>
      </c>
      <c r="D181" s="534">
        <f t="shared" si="46"/>
        <v>992249999.99999988</v>
      </c>
      <c r="E181" s="441">
        <f t="shared" si="47"/>
        <v>80628171.105477259</v>
      </c>
      <c r="F181" s="441">
        <f t="shared" si="44"/>
        <v>912756660.62145507</v>
      </c>
      <c r="G181" s="441">
        <f t="shared" si="45"/>
        <v>993384831.72693229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3">
        <v>0.75</v>
      </c>
      <c r="D182" s="534">
        <f t="shared" si="46"/>
        <v>1063125000</v>
      </c>
      <c r="E182" s="441">
        <f t="shared" si="47"/>
        <v>80628171.105477259</v>
      </c>
      <c r="F182" s="441">
        <f>$F$187*C182</f>
        <v>977953564.95155907</v>
      </c>
      <c r="G182" s="441">
        <f t="shared" si="45"/>
        <v>1058581736.0570363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3">
        <v>0.8</v>
      </c>
      <c r="D183" s="534">
        <f t="shared" si="46"/>
        <v>1134000000</v>
      </c>
      <c r="E183" s="441">
        <f t="shared" si="47"/>
        <v>80628171.105477259</v>
      </c>
      <c r="F183" s="441">
        <f t="shared" si="44"/>
        <v>1043150469.2816629</v>
      </c>
      <c r="G183" s="441">
        <f t="shared" si="45"/>
        <v>1123778640.3871403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3">
        <v>0.85</v>
      </c>
      <c r="D184" s="534">
        <f t="shared" si="46"/>
        <v>1204875000</v>
      </c>
      <c r="E184" s="441">
        <f t="shared" si="47"/>
        <v>80628171.105477259</v>
      </c>
      <c r="F184" s="441">
        <f t="shared" si="44"/>
        <v>1108347373.6117668</v>
      </c>
      <c r="G184" s="441">
        <f t="shared" si="45"/>
        <v>1188975544.7172441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3">
        <v>0.9</v>
      </c>
      <c r="D185" s="534">
        <f t="shared" si="46"/>
        <v>1275750000</v>
      </c>
      <c r="E185" s="441">
        <f t="shared" si="47"/>
        <v>80628171.105477259</v>
      </c>
      <c r="F185" s="441">
        <f t="shared" si="44"/>
        <v>1173544277.9418709</v>
      </c>
      <c r="G185" s="441">
        <f t="shared" si="45"/>
        <v>1254172449.0473483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3">
        <v>0.95</v>
      </c>
      <c r="D186" s="534">
        <f t="shared" si="46"/>
        <v>1346625000</v>
      </c>
      <c r="E186" s="441">
        <f t="shared" si="47"/>
        <v>80628171.105477259</v>
      </c>
      <c r="F186" s="441">
        <f t="shared" si="44"/>
        <v>1238741182.2719748</v>
      </c>
      <c r="G186" s="441">
        <f t="shared" si="45"/>
        <v>1319369353.3774521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533">
        <v>1</v>
      </c>
      <c r="D187" s="534">
        <f t="shared" si="46"/>
        <v>1417500000</v>
      </c>
      <c r="E187" s="441">
        <f t="shared" si="47"/>
        <v>80628171.105477259</v>
      </c>
      <c r="F187" s="441">
        <f>C156+C158+C160</f>
        <v>1303938086.6020787</v>
      </c>
      <c r="G187" s="441">
        <f t="shared" si="45"/>
        <v>1384566257.707556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8" t="s">
        <v>6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99" t="s">
        <v>602</v>
      </c>
      <c r="C191" s="532" t="s">
        <v>603</v>
      </c>
      <c r="D191" s="532" t="s">
        <v>604</v>
      </c>
      <c r="E191" s="532" t="s">
        <v>605</v>
      </c>
      <c r="F191" s="532" t="s">
        <v>606</v>
      </c>
      <c r="G191" s="532" t="s">
        <v>607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100">
        <f>G115</f>
        <v>1984500000</v>
      </c>
      <c r="C192" s="533">
        <v>0</v>
      </c>
      <c r="D192" s="534">
        <f t="shared" ref="D192:D212" si="48">C192*$B$192</f>
        <v>0</v>
      </c>
      <c r="E192" s="441">
        <f>$G$155+$G$157+$G$159</f>
        <v>97509462.060477257</v>
      </c>
      <c r="F192" s="441">
        <f t="shared" ref="F192:F211" si="49">$F$212*C192</f>
        <v>0</v>
      </c>
      <c r="G192" s="441">
        <f>E192+F192</f>
        <v>97509462.060477257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3">
        <v>0.05</v>
      </c>
      <c r="D193" s="534">
        <f t="shared" si="48"/>
        <v>99225000</v>
      </c>
      <c r="E193" s="441">
        <f t="shared" ref="E193:E212" si="50">$G$155+$G$157+$G$159</f>
        <v>97509462.060477257</v>
      </c>
      <c r="F193" s="441">
        <f t="shared" si="49"/>
        <v>168566796.05807105</v>
      </c>
      <c r="G193" s="441">
        <f t="shared" ref="G193:G212" si="51">E193+F193</f>
        <v>266076258.1185483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3">
        <v>0.1</v>
      </c>
      <c r="D194" s="534">
        <f t="shared" si="48"/>
        <v>198450000</v>
      </c>
      <c r="E194" s="441">
        <f t="shared" si="50"/>
        <v>97509462.060477257</v>
      </c>
      <c r="F194" s="441">
        <f t="shared" si="49"/>
        <v>337133592.11614209</v>
      </c>
      <c r="G194" s="441">
        <f t="shared" si="51"/>
        <v>434643054.17661935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3">
        <v>0.15</v>
      </c>
      <c r="D195" s="534">
        <f t="shared" si="48"/>
        <v>297675000</v>
      </c>
      <c r="E195" s="441">
        <f t="shared" si="50"/>
        <v>97509462.060477257</v>
      </c>
      <c r="F195" s="441">
        <f>$F$212*C195</f>
        <v>505700388.17421311</v>
      </c>
      <c r="G195" s="441">
        <f t="shared" si="51"/>
        <v>603209850.23469043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3">
        <v>0.2</v>
      </c>
      <c r="D196" s="534">
        <f t="shared" si="48"/>
        <v>396900000</v>
      </c>
      <c r="E196" s="441">
        <f t="shared" si="50"/>
        <v>97509462.060477257</v>
      </c>
      <c r="F196" s="441">
        <f t="shared" si="49"/>
        <v>674267184.23228419</v>
      </c>
      <c r="G196" s="441">
        <f t="shared" si="51"/>
        <v>771776646.29276145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3">
        <v>0.25</v>
      </c>
      <c r="D197" s="534">
        <f t="shared" si="48"/>
        <v>496125000</v>
      </c>
      <c r="E197" s="441">
        <f t="shared" si="50"/>
        <v>97509462.060477257</v>
      </c>
      <c r="F197" s="441">
        <f t="shared" si="49"/>
        <v>842833980.29035521</v>
      </c>
      <c r="G197" s="441">
        <f t="shared" si="51"/>
        <v>940343442.35083246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3">
        <v>0.3</v>
      </c>
      <c r="D198" s="534">
        <f t="shared" si="48"/>
        <v>595350000</v>
      </c>
      <c r="E198" s="441">
        <f t="shared" si="50"/>
        <v>97509462.060477257</v>
      </c>
      <c r="F198" s="441">
        <f t="shared" si="49"/>
        <v>1011400776.3484262</v>
      </c>
      <c r="G198" s="441">
        <f t="shared" si="51"/>
        <v>1108910238.4089036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3">
        <v>0.35</v>
      </c>
      <c r="D199" s="534">
        <f t="shared" si="48"/>
        <v>694575000</v>
      </c>
      <c r="E199" s="441">
        <f t="shared" si="50"/>
        <v>97509462.060477257</v>
      </c>
      <c r="F199" s="441">
        <f>$F$212*C199</f>
        <v>1179967572.4064972</v>
      </c>
      <c r="G199" s="441">
        <f t="shared" si="51"/>
        <v>1277477034.4669745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3">
        <v>0.4</v>
      </c>
      <c r="D200" s="534">
        <f t="shared" si="48"/>
        <v>793800000</v>
      </c>
      <c r="E200" s="441">
        <f t="shared" si="50"/>
        <v>97509462.060477257</v>
      </c>
      <c r="F200" s="441">
        <f t="shared" si="49"/>
        <v>1348534368.4645684</v>
      </c>
      <c r="G200" s="441">
        <f t="shared" si="51"/>
        <v>1446043830.5250456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3">
        <v>0.45</v>
      </c>
      <c r="D201" s="534">
        <f t="shared" si="48"/>
        <v>893025000</v>
      </c>
      <c r="E201" s="441">
        <f t="shared" si="50"/>
        <v>97509462.060477257</v>
      </c>
      <c r="F201" s="441">
        <f t="shared" si="49"/>
        <v>1517101164.5226395</v>
      </c>
      <c r="G201" s="441">
        <f t="shared" si="51"/>
        <v>1614610626.5831168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3">
        <v>0.5</v>
      </c>
      <c r="D202" s="534">
        <f t="shared" si="48"/>
        <v>992250000</v>
      </c>
      <c r="E202" s="441">
        <f t="shared" si="50"/>
        <v>97509462.060477257</v>
      </c>
      <c r="F202" s="441">
        <f t="shared" si="49"/>
        <v>1685667960.5807104</v>
      </c>
      <c r="G202" s="441">
        <f t="shared" si="51"/>
        <v>1783177422.6411877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3">
        <v>0.55000000000000004</v>
      </c>
      <c r="D203" s="534">
        <f t="shared" si="48"/>
        <v>1091475000</v>
      </c>
      <c r="E203" s="441">
        <f t="shared" si="50"/>
        <v>97509462.060477257</v>
      </c>
      <c r="F203" s="441">
        <f t="shared" si="49"/>
        <v>1854234756.6387815</v>
      </c>
      <c r="G203" s="441">
        <f t="shared" si="51"/>
        <v>1951744218.6992588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3">
        <v>0.6</v>
      </c>
      <c r="D204" s="534">
        <f t="shared" si="48"/>
        <v>1190700000</v>
      </c>
      <c r="E204" s="441">
        <f t="shared" si="50"/>
        <v>97509462.060477257</v>
      </c>
      <c r="F204" s="441">
        <f t="shared" si="49"/>
        <v>2022801552.6968524</v>
      </c>
      <c r="G204" s="441">
        <f t="shared" si="51"/>
        <v>2120311014.7573297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3">
        <v>0.65</v>
      </c>
      <c r="D205" s="534">
        <f t="shared" si="48"/>
        <v>1289925000</v>
      </c>
      <c r="E205" s="441">
        <f t="shared" si="50"/>
        <v>97509462.060477257</v>
      </c>
      <c r="F205" s="441">
        <f t="shared" si="49"/>
        <v>2191368348.7549238</v>
      </c>
      <c r="G205" s="441">
        <f t="shared" si="51"/>
        <v>2288877810.8154011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3">
        <v>0.7</v>
      </c>
      <c r="D206" s="534">
        <f t="shared" si="48"/>
        <v>1389150000</v>
      </c>
      <c r="E206" s="441">
        <f t="shared" si="50"/>
        <v>97509462.060477257</v>
      </c>
      <c r="F206" s="441">
        <f t="shared" si="49"/>
        <v>2359935144.8129945</v>
      </c>
      <c r="G206" s="441">
        <f>E206+F206</f>
        <v>2457444606.8734717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3">
        <v>0.75</v>
      </c>
      <c r="D207" s="534">
        <f t="shared" si="48"/>
        <v>1488375000</v>
      </c>
      <c r="E207" s="441">
        <f t="shared" si="50"/>
        <v>97509462.060477257</v>
      </c>
      <c r="F207" s="441">
        <f t="shared" si="49"/>
        <v>2528501940.8710656</v>
      </c>
      <c r="G207" s="441">
        <f t="shared" si="51"/>
        <v>2626011402.9315429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3">
        <v>0.8</v>
      </c>
      <c r="D208" s="534">
        <f t="shared" si="48"/>
        <v>1587600000</v>
      </c>
      <c r="E208" s="441">
        <f t="shared" si="50"/>
        <v>97509462.060477257</v>
      </c>
      <c r="F208" s="441">
        <f t="shared" si="49"/>
        <v>2697068736.9291368</v>
      </c>
      <c r="G208" s="441">
        <f t="shared" si="51"/>
        <v>2794578198.989614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3">
        <v>0.85</v>
      </c>
      <c r="D209" s="534">
        <f t="shared" si="48"/>
        <v>1686825000</v>
      </c>
      <c r="E209" s="441">
        <f t="shared" si="50"/>
        <v>97509462.060477257</v>
      </c>
      <c r="F209" s="441">
        <f t="shared" si="49"/>
        <v>2865635532.9872074</v>
      </c>
      <c r="G209" s="441">
        <f t="shared" si="51"/>
        <v>2963144995.0476847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3">
        <v>0.9</v>
      </c>
      <c r="D210" s="534">
        <f t="shared" si="48"/>
        <v>1786050000</v>
      </c>
      <c r="E210" s="441">
        <f t="shared" si="50"/>
        <v>97509462.060477257</v>
      </c>
      <c r="F210" s="441">
        <f t="shared" si="49"/>
        <v>3034202329.045279</v>
      </c>
      <c r="G210" s="441">
        <f t="shared" si="51"/>
        <v>3131711791.1057563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3">
        <v>0.95</v>
      </c>
      <c r="D211" s="534">
        <f t="shared" si="48"/>
        <v>1885275000</v>
      </c>
      <c r="E211" s="441">
        <f t="shared" si="50"/>
        <v>97509462.060477257</v>
      </c>
      <c r="F211" s="441">
        <f t="shared" si="49"/>
        <v>3202769125.1033497</v>
      </c>
      <c r="G211" s="441">
        <f t="shared" si="51"/>
        <v>3300278587.1638269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533">
        <v>1</v>
      </c>
      <c r="D212" s="534">
        <f t="shared" si="48"/>
        <v>1984500000</v>
      </c>
      <c r="E212" s="441">
        <f t="shared" si="50"/>
        <v>97509462.060477257</v>
      </c>
      <c r="F212" s="441">
        <f>G181+G183+G185</f>
        <v>3371335921.1614208</v>
      </c>
      <c r="G212" s="441">
        <f t="shared" si="51"/>
        <v>3468845383.2218981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2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">
    <mergeCell ref="B4:G4"/>
    <mergeCell ref="B32:G32"/>
    <mergeCell ref="B31:H31"/>
    <mergeCell ref="B105:G105"/>
    <mergeCell ref="B84:G84"/>
    <mergeCell ref="B63:G63"/>
    <mergeCell ref="B49:G49"/>
  </mergeCells>
  <pageMargins left="0.32013888888888897" right="0.75" top="0.179861111111111" bottom="0.15972222222222199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/>
  <cp:revision/>
  <dcterms:created xsi:type="dcterms:W3CDTF">2021-08-14T00:13:07Z</dcterms:created>
  <dcterms:modified xsi:type="dcterms:W3CDTF">2022-11-27T22:37:18Z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