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ilia\Desktop\"/>
    </mc:Choice>
  </mc:AlternateContent>
  <bookViews>
    <workbookView xWindow="0" yWindow="0" windowWidth="15345" windowHeight="4455" tabRatio="868" firstSheet="1" activeTab="1"/>
  </bookViews>
  <sheets>
    <sheet name="Plan de Ventas " sheetId="30" state="hidden" r:id="rId1"/>
    <sheet name="1-Mermas y Desperdicios" sheetId="20" r:id="rId2"/>
    <sheet name="2-Horas Laborables" sheetId="21" r:id="rId3"/>
    <sheet name="3-Capacidad real anual" sheetId="22" r:id="rId4"/>
    <sheet name="4-Capacidad Máxima" sheetId="23" r:id="rId5"/>
    <sheet name="5-Evolución de la producción" sheetId="24" r:id="rId6"/>
    <sheet name="6-Evolución de la mercadería" sheetId="29" r:id="rId7"/>
  </sheets>
  <calcPr calcId="171027"/>
</workbook>
</file>

<file path=xl/calcChain.xml><?xml version="1.0" encoding="utf-8"?>
<calcChain xmlns="http://schemas.openxmlformats.org/spreadsheetml/2006/main">
  <c r="H18" i="20" l="1"/>
  <c r="J11" i="20" l="1"/>
  <c r="E8" i="29" l="1"/>
  <c r="F8" i="29" s="1"/>
  <c r="I12" i="29"/>
  <c r="E6" i="29" s="1"/>
  <c r="G7" i="21"/>
  <c r="F7" i="21"/>
  <c r="E9" i="29" l="1"/>
  <c r="E11" i="29" s="1"/>
  <c r="F9" i="29"/>
  <c r="F11" i="29" s="1"/>
  <c r="D8" i="22"/>
  <c r="D6" i="21"/>
  <c r="I8" i="29" l="1"/>
  <c r="J8" i="29" s="1"/>
  <c r="E5" i="29" s="1"/>
  <c r="E4" i="29" l="1"/>
  <c r="F5" i="29"/>
  <c r="E6" i="24" l="1"/>
  <c r="E5" i="24"/>
  <c r="E4" i="24"/>
  <c r="E3" i="24"/>
  <c r="D9" i="21"/>
  <c r="D11" i="21" l="1"/>
  <c r="M13" i="20"/>
  <c r="F3" i="24"/>
  <c r="D10" i="21"/>
  <c r="F7" i="22" l="1"/>
  <c r="G7" i="22" s="1"/>
  <c r="J7" i="22" s="1"/>
  <c r="F10" i="22"/>
  <c r="G10" i="22" s="1"/>
  <c r="J10" i="22" s="1"/>
  <c r="F6" i="22"/>
  <c r="G6" i="22" s="1"/>
  <c r="J6" i="22" s="1"/>
  <c r="F9" i="22"/>
  <c r="G9" i="22" s="1"/>
  <c r="J9" i="22" s="1"/>
  <c r="F8" i="22"/>
  <c r="G8" i="22" s="1"/>
  <c r="J8" i="22" s="1"/>
  <c r="G6" i="24" l="1"/>
  <c r="G5" i="24"/>
  <c r="G4" i="24"/>
  <c r="G3" i="24"/>
  <c r="G7" i="24" l="1"/>
  <c r="E52" i="23" l="1"/>
  <c r="E38" i="23"/>
  <c r="E66" i="23"/>
  <c r="E80" i="23"/>
  <c r="E24" i="23"/>
  <c r="E23" i="23" l="1"/>
  <c r="E79" i="23"/>
  <c r="E65" i="23"/>
  <c r="E37" i="23"/>
  <c r="E51" i="23"/>
  <c r="E10" i="23" l="1"/>
  <c r="Q10" i="23" s="1"/>
  <c r="S10" i="23" s="1"/>
  <c r="U10" i="23" s="1"/>
  <c r="W10" i="23" s="1"/>
  <c r="E36" i="23"/>
  <c r="C80" i="23"/>
  <c r="E22" i="23"/>
  <c r="E50" i="23"/>
  <c r="E64" i="23"/>
  <c r="E78" i="23"/>
  <c r="E49" i="23" l="1"/>
  <c r="E21" i="23"/>
  <c r="C38" i="23"/>
  <c r="C66" i="23"/>
  <c r="E9" i="23"/>
  <c r="Q9" i="23" s="1"/>
  <c r="C24" i="23"/>
  <c r="E77" i="23"/>
  <c r="E63" i="23"/>
  <c r="C52" i="23"/>
  <c r="G80" i="23"/>
  <c r="I80" i="23" s="1"/>
  <c r="K80" i="23" s="1"/>
  <c r="C79" i="23"/>
  <c r="E35" i="23"/>
  <c r="S9" i="23" l="1"/>
  <c r="U9" i="23" s="1"/>
  <c r="W9" i="23" s="1"/>
  <c r="C51" i="23"/>
  <c r="C23" i="23"/>
  <c r="C65" i="23"/>
  <c r="C37" i="23"/>
  <c r="E34" i="23"/>
  <c r="G79" i="23"/>
  <c r="I79" i="23" s="1"/>
  <c r="K79" i="23" s="1"/>
  <c r="E62" i="23"/>
  <c r="E76" i="23"/>
  <c r="E8" i="23"/>
  <c r="Q8" i="23" s="1"/>
  <c r="S8" i="23" s="1"/>
  <c r="U8" i="23" s="1"/>
  <c r="W8" i="23" s="1"/>
  <c r="G66" i="23"/>
  <c r="I66" i="23" s="1"/>
  <c r="K66" i="23" s="1"/>
  <c r="G38" i="23"/>
  <c r="I38" i="23" s="1"/>
  <c r="K38" i="23" s="1"/>
  <c r="E20" i="23"/>
  <c r="C78" i="23"/>
  <c r="G52" i="23"/>
  <c r="I52" i="23" s="1"/>
  <c r="K52" i="23" s="1"/>
  <c r="G24" i="23"/>
  <c r="I24" i="23" s="1"/>
  <c r="K24" i="23" s="1"/>
  <c r="E48" i="23"/>
  <c r="C64" i="23" l="1"/>
  <c r="C22" i="23"/>
  <c r="C50" i="23"/>
  <c r="E47" i="23"/>
  <c r="G78" i="23"/>
  <c r="I78" i="23" s="1"/>
  <c r="K78" i="23" s="1"/>
  <c r="E75" i="23"/>
  <c r="E33" i="23"/>
  <c r="G37" i="23"/>
  <c r="I37" i="23" s="1"/>
  <c r="K37" i="23" s="1"/>
  <c r="G23" i="23"/>
  <c r="I23" i="23" s="1"/>
  <c r="K23" i="23" s="1"/>
  <c r="C77" i="23"/>
  <c r="E19" i="23"/>
  <c r="E7" i="23"/>
  <c r="Q7" i="23" s="1"/>
  <c r="E61" i="23"/>
  <c r="C36" i="23"/>
  <c r="G65" i="23"/>
  <c r="I65" i="23" s="1"/>
  <c r="K65" i="23" s="1"/>
  <c r="G51" i="23"/>
  <c r="I51" i="23" s="1"/>
  <c r="K51" i="23" s="1"/>
  <c r="S7" i="23" l="1"/>
  <c r="U7" i="23" s="1"/>
  <c r="C35" i="23"/>
  <c r="C76" i="23"/>
  <c r="C21" i="23"/>
  <c r="C63" i="23"/>
  <c r="G36" i="23"/>
  <c r="I36" i="23" s="1"/>
  <c r="K36" i="23" s="1"/>
  <c r="E60" i="23"/>
  <c r="E6" i="23"/>
  <c r="Q6" i="23" s="1"/>
  <c r="S6" i="23" s="1"/>
  <c r="U6" i="23" s="1"/>
  <c r="W6" i="23" s="1"/>
  <c r="E18" i="23"/>
  <c r="G77" i="23"/>
  <c r="I77" i="23" s="1"/>
  <c r="K77" i="23" s="1"/>
  <c r="E46" i="23"/>
  <c r="G50" i="23"/>
  <c r="I50" i="23" s="1"/>
  <c r="K50" i="23" s="1"/>
  <c r="G64" i="23"/>
  <c r="I64" i="23" s="1"/>
  <c r="K64" i="23" s="1"/>
  <c r="E32" i="23"/>
  <c r="E74" i="23"/>
  <c r="C49" i="23"/>
  <c r="G22" i="23"/>
  <c r="I22" i="23" s="1"/>
  <c r="K22" i="23" s="1"/>
  <c r="W7" i="23" l="1"/>
  <c r="Z6" i="23"/>
  <c r="C48" i="23"/>
  <c r="C75" i="23"/>
  <c r="C34" i="23"/>
  <c r="G49" i="23"/>
  <c r="I49" i="23" s="1"/>
  <c r="K49" i="23" s="1"/>
  <c r="G63" i="23"/>
  <c r="I63" i="23" s="1"/>
  <c r="K63" i="23" s="1"/>
  <c r="G76" i="23"/>
  <c r="I76" i="23" s="1"/>
  <c r="K76" i="23" s="1"/>
  <c r="C62" i="23"/>
  <c r="G21" i="23"/>
  <c r="I21" i="23" s="1"/>
  <c r="K21" i="23" s="1"/>
  <c r="C20" i="23"/>
  <c r="G35" i="23"/>
  <c r="I35" i="23" s="1"/>
  <c r="K35" i="23" s="1"/>
  <c r="C19" i="23" l="1"/>
  <c r="C61" i="23"/>
  <c r="C47" i="23"/>
  <c r="G20" i="23"/>
  <c r="I20" i="23" s="1"/>
  <c r="K20" i="23" s="1"/>
  <c r="G75" i="23"/>
  <c r="I75" i="23" s="1"/>
  <c r="K75" i="23" s="1"/>
  <c r="G62" i="23"/>
  <c r="I62" i="23" s="1"/>
  <c r="K62" i="23" s="1"/>
  <c r="G34" i="23"/>
  <c r="I34" i="23" s="1"/>
  <c r="K34" i="23" s="1"/>
  <c r="C33" i="23"/>
  <c r="C74" i="23"/>
  <c r="G48" i="23"/>
  <c r="I48" i="23" s="1"/>
  <c r="K48" i="23" s="1"/>
  <c r="C46" i="23" l="1"/>
  <c r="C32" i="23"/>
  <c r="C60" i="23"/>
  <c r="C18" i="23"/>
  <c r="G47" i="23"/>
  <c r="I47" i="23" s="1"/>
  <c r="K47" i="23" s="1"/>
  <c r="G6" i="23"/>
  <c r="I6" i="23" s="1"/>
  <c r="K6" i="23" s="1"/>
  <c r="G61" i="23"/>
  <c r="I61" i="23" s="1"/>
  <c r="K61" i="23" s="1"/>
  <c r="G74" i="23"/>
  <c r="I74" i="23" s="1"/>
  <c r="K74" i="23" s="1"/>
  <c r="G33" i="23"/>
  <c r="I33" i="23" s="1"/>
  <c r="K33" i="23" s="1"/>
  <c r="G19" i="23"/>
  <c r="I19" i="23" s="1"/>
  <c r="K19" i="23" s="1"/>
  <c r="G18" i="23" l="1"/>
  <c r="I18" i="23" s="1"/>
  <c r="K18" i="23" s="1"/>
  <c r="G60" i="23"/>
  <c r="I60" i="23" s="1"/>
  <c r="K60" i="23" s="1"/>
  <c r="G32" i="23"/>
  <c r="I32" i="23" s="1"/>
  <c r="K32" i="23" s="1"/>
  <c r="G46" i="23"/>
  <c r="I46" i="23" s="1"/>
  <c r="K46" i="23" s="1"/>
  <c r="G10" i="20" l="1"/>
  <c r="C10" i="20" s="1"/>
  <c r="J9" i="20" s="1"/>
  <c r="G9" i="20" l="1"/>
  <c r="C9" i="20" s="1"/>
  <c r="J8" i="20" s="1"/>
  <c r="G10" i="23" l="1"/>
  <c r="I10" i="23" s="1"/>
  <c r="G8" i="20"/>
  <c r="C8" i="20" s="1"/>
  <c r="J7" i="20" s="1"/>
  <c r="K10" i="23" l="1"/>
  <c r="G7" i="20"/>
  <c r="C7" i="20" s="1"/>
  <c r="J6" i="20" s="1"/>
  <c r="G9" i="23"/>
  <c r="I9" i="23" s="1"/>
  <c r="K9" i="23" s="1"/>
  <c r="G6" i="20" l="1"/>
  <c r="G8" i="23"/>
  <c r="I8" i="23" s="1"/>
  <c r="K8" i="23" s="1"/>
  <c r="G11" i="20" l="1"/>
  <c r="C11" i="20" s="1"/>
  <c r="C6" i="20"/>
  <c r="G7" i="23"/>
  <c r="I7" i="23" s="1"/>
  <c r="K7" i="23" s="1"/>
  <c r="H13" i="20" l="1"/>
  <c r="I11" i="20"/>
  <c r="H12" i="20"/>
  <c r="I15" i="20" l="1"/>
  <c r="I14" i="20" s="1"/>
  <c r="H14" i="20"/>
  <c r="H15" i="20" l="1"/>
</calcChain>
</file>

<file path=xl/sharedStrings.xml><?xml version="1.0" encoding="utf-8"?>
<sst xmlns="http://schemas.openxmlformats.org/spreadsheetml/2006/main" count="394" uniqueCount="93">
  <si>
    <t>Año 1</t>
  </si>
  <si>
    <t>Año 2</t>
  </si>
  <si>
    <t>Año 3</t>
  </si>
  <si>
    <t>Año 4</t>
  </si>
  <si>
    <t>Año 5</t>
  </si>
  <si>
    <t>Total</t>
  </si>
  <si>
    <t>Año</t>
  </si>
  <si>
    <t>Cantidad (miles m2)</t>
  </si>
  <si>
    <t>Cantidad de placas (unidades)</t>
  </si>
  <si>
    <t>Ingresos por Ventas (miles de $)</t>
  </si>
  <si>
    <t>Año 6/10</t>
  </si>
  <si>
    <t>Produccion</t>
  </si>
  <si>
    <t>Porcentaje desperdicio real en función de producción:</t>
  </si>
  <si>
    <t>Porcentaje desperdicio operativo en función de producción:</t>
  </si>
  <si>
    <t>kg/año</t>
  </si>
  <si>
    <t>Consumo real de MP:</t>
  </si>
  <si>
    <t>Volumen Total Ingresado (1ra sección operativa):</t>
  </si>
  <si>
    <t>TOTALES</t>
  </si>
  <si>
    <t>Apilado</t>
  </si>
  <si>
    <t>Horno</t>
  </si>
  <si>
    <t>Secado</t>
  </si>
  <si>
    <t>Cortadora</t>
  </si>
  <si>
    <t>Formadora</t>
  </si>
  <si>
    <t>Mezcladora</t>
  </si>
  <si>
    <t>horaria</t>
  </si>
  <si>
    <t>No Recup.</t>
  </si>
  <si>
    <t>Recup.</t>
  </si>
  <si>
    <t>Teórica</t>
  </si>
  <si>
    <t>Producción</t>
  </si>
  <si>
    <t>Mermas y desperdicios</t>
  </si>
  <si>
    <t>Alimentación</t>
  </si>
  <si>
    <t>Sección  Operativa</t>
  </si>
  <si>
    <t>Capacidad Teórica horaria</t>
  </si>
  <si>
    <t>Hs. Activas al año</t>
  </si>
  <si>
    <t>Capacidad Teórica año</t>
  </si>
  <si>
    <t>Capacidad Real Anual</t>
  </si>
  <si>
    <t>al mes</t>
  </si>
  <si>
    <t>Transporte Almacen</t>
  </si>
  <si>
    <t>Programa Anual de Producción</t>
  </si>
  <si>
    <r>
      <t xml:space="preserve">Capacidad Real x Año </t>
    </r>
    <r>
      <rPr>
        <b/>
        <sz val="8"/>
        <rFont val="Arial"/>
        <family val="2"/>
      </rPr>
      <t>(por máquina)</t>
    </r>
  </si>
  <si>
    <t>Cantidad de Máquinas necesarias</t>
  </si>
  <si>
    <t>Capacidad Real Secciones Operativas</t>
  </si>
  <si>
    <t>Día</t>
  </si>
  <si>
    <t>Ritmo de producción al inicio (%)</t>
  </si>
  <si>
    <t>Ritmo de producción al final (%)</t>
  </si>
  <si>
    <t>Producción promedio (%)</t>
  </si>
  <si>
    <t>Producción diaria promedio (un)</t>
  </si>
  <si>
    <t>Producción propuesta (un)</t>
  </si>
  <si>
    <t>Stock promedio</t>
  </si>
  <si>
    <t>Desperdicio no recuperable</t>
  </si>
  <si>
    <t>Desperdicio (%)</t>
  </si>
  <si>
    <t>Rendimiento Operativo</t>
  </si>
  <si>
    <t>Grado de Aprovechamiento</t>
  </si>
  <si>
    <t>Ventas</t>
  </si>
  <si>
    <t>Stock Promedio</t>
  </si>
  <si>
    <t>En curso y semielaborado</t>
  </si>
  <si>
    <t>Compra de materia prima</t>
  </si>
  <si>
    <t>Unidad de medida</t>
  </si>
  <si>
    <t>Dias de trabajo</t>
  </si>
  <si>
    <t>De lun a Vie en un año</t>
  </si>
  <si>
    <t>(lun a vier)</t>
  </si>
  <si>
    <t>Dias laborales</t>
  </si>
  <si>
    <t>Días/Año</t>
  </si>
  <si>
    <t>Feriados</t>
  </si>
  <si>
    <t>Dias de vacaciones</t>
  </si>
  <si>
    <t>Stock de materia prima</t>
  </si>
  <si>
    <r>
      <t xml:space="preserve">Capacidad Real x Año </t>
    </r>
    <r>
      <rPr>
        <b/>
        <i/>
        <sz val="8"/>
        <rFont val="Arial"/>
        <family val="2"/>
      </rPr>
      <t>(por máquina)</t>
    </r>
  </si>
  <si>
    <t>Semanas laborables</t>
  </si>
  <si>
    <t>Lts/año</t>
  </si>
  <si>
    <t>Mezcladora Activo A</t>
  </si>
  <si>
    <t>Mezcladora Activo B</t>
  </si>
  <si>
    <t>Mezcladora Agua con A y B</t>
  </si>
  <si>
    <t>Envasado</t>
  </si>
  <si>
    <t>Empacado</t>
  </si>
  <si>
    <t>Año 1 al 5</t>
  </si>
  <si>
    <t>Horas Totales</t>
  </si>
  <si>
    <t>Lts/h</t>
  </si>
  <si>
    <t>Año 1al 5</t>
  </si>
  <si>
    <t>Año 2 al 5</t>
  </si>
  <si>
    <t>Litros</t>
  </si>
  <si>
    <t>Consumo de materia prima</t>
  </si>
  <si>
    <t>Año 0 Perido instalación</t>
  </si>
  <si>
    <t>Consideraciones</t>
  </si>
  <si>
    <t>Meses trabajados</t>
  </si>
  <si>
    <t>Meses NO trabajados</t>
  </si>
  <si>
    <t>Capacidad Máxima</t>
  </si>
  <si>
    <t>Ventas Año 2 al 5</t>
  </si>
  <si>
    <t>Produccion puesta en marcha</t>
  </si>
  <si>
    <t>Produccion resto del año 1</t>
  </si>
  <si>
    <t>Produccion diaria</t>
  </si>
  <si>
    <t>Ciclo de elaboracion (días)</t>
  </si>
  <si>
    <t>Cantidad de contenedores</t>
  </si>
  <si>
    <t xml:space="preserve">Pedidos de MP en el año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</si>
</sst>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&quot;$&quot;\ * #,##0.00_ ;_ &quot;$&quot;\ * \-#,##0.00_ ;_ &quot;$&quot;\ * &quot;-&quot;??_ ;_ @_ "/>
    <numFmt numFmtId="165" formatCode="0.0"/>
    <numFmt numFmtId="166" formatCode="0.000"/>
    <numFmt numFmtId="167" formatCode="0.000%"/>
    <numFmt numFmtId="168" formatCode="0.0000%"/>
    <numFmt numFmtId="169" formatCode="0.00000%"/>
    <numFmt numFmtId="170" formatCode="#,##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sz val="11"/>
      <color indexed="8"/>
      <name val="Calibri"/>
      <family val="2"/>
    </font>
    <font>
      <i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color indexed="10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164" fontId="7" fillId="0" borderId="0" applyFont="0" applyFill="0" applyBorder="0" applyAlignment="0" applyProtection="0"/>
    <xf numFmtId="0" fontId="20" fillId="0" borderId="0"/>
    <xf numFmtId="0" fontId="8" fillId="0" borderId="0"/>
    <xf numFmtId="0" fontId="20" fillId="0" borderId="0"/>
    <xf numFmtId="0" fontId="8" fillId="0" borderId="0"/>
    <xf numFmtId="0" fontId="8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70">
    <xf numFmtId="0" fontId="0" fillId="0" borderId="0" xfId="0"/>
    <xf numFmtId="0" fontId="20" fillId="0" borderId="0" xfId="2"/>
    <xf numFmtId="0" fontId="20" fillId="0" borderId="1" xfId="2" applyBorder="1" applyAlignment="1">
      <alignment horizontal="center" vertical="center"/>
    </xf>
    <xf numFmtId="0" fontId="20" fillId="0" borderId="0" xfId="4"/>
    <xf numFmtId="0" fontId="9" fillId="0" borderId="8" xfId="5" applyFont="1" applyBorder="1" applyAlignment="1">
      <alignment horizontal="center"/>
    </xf>
    <xf numFmtId="0" fontId="8" fillId="0" borderId="9" xfId="5" applyBorder="1" applyAlignment="1">
      <alignment horizontal="center" vertical="center"/>
    </xf>
    <xf numFmtId="0" fontId="20" fillId="0" borderId="1" xfId="4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11" fillId="0" borderId="0" xfId="6" applyFont="1"/>
    <xf numFmtId="0" fontId="8" fillId="0" borderId="0" xfId="6"/>
    <xf numFmtId="0" fontId="8" fillId="0" borderId="9" xfId="6" applyFont="1" applyBorder="1" applyAlignment="1">
      <alignment horizontal="center" vertical="center" wrapText="1"/>
    </xf>
    <xf numFmtId="0" fontId="13" fillId="0" borderId="0" xfId="6" applyFont="1" applyBorder="1" applyAlignment="1">
      <alignment horizontal="center" vertical="center" wrapText="1"/>
    </xf>
    <xf numFmtId="0" fontId="20" fillId="0" borderId="0" xfId="2" applyBorder="1"/>
    <xf numFmtId="9" fontId="8" fillId="0" borderId="0" xfId="7" applyFont="1" applyBorder="1" applyAlignment="1">
      <alignment horizontal="center"/>
    </xf>
    <xf numFmtId="0" fontId="20" fillId="0" borderId="0" xfId="2" applyBorder="1" applyAlignment="1">
      <alignment horizontal="center"/>
    </xf>
    <xf numFmtId="165" fontId="20" fillId="0" borderId="0" xfId="2" applyNumberFormat="1" applyBorder="1" applyAlignment="1">
      <alignment horizontal="center"/>
    </xf>
    <xf numFmtId="1" fontId="20" fillId="0" borderId="0" xfId="2" applyNumberFormat="1" applyBorder="1" applyAlignment="1">
      <alignment horizontal="center"/>
    </xf>
    <xf numFmtId="9" fontId="0" fillId="0" borderId="0" xfId="7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165" fontId="8" fillId="0" borderId="0" xfId="2" applyNumberFormat="1" applyFont="1" applyBorder="1" applyAlignment="1">
      <alignment horizontal="center"/>
    </xf>
    <xf numFmtId="1" fontId="8" fillId="0" borderId="0" xfId="2" applyNumberFormat="1" applyFont="1" applyBorder="1" applyAlignment="1">
      <alignment horizontal="center"/>
    </xf>
    <xf numFmtId="0" fontId="9" fillId="0" borderId="0" xfId="2" applyFont="1" applyFill="1" applyBorder="1" applyAlignment="1">
      <alignment horizontal="center" vertical="center" wrapText="1"/>
    </xf>
    <xf numFmtId="0" fontId="20" fillId="0" borderId="0" xfId="2" applyAlignment="1">
      <alignment horizontal="center" vertical="center"/>
    </xf>
    <xf numFmtId="1" fontId="20" fillId="0" borderId="1" xfId="2" applyNumberFormat="1" applyBorder="1" applyAlignment="1">
      <alignment horizontal="center" vertical="center"/>
    </xf>
    <xf numFmtId="0" fontId="20" fillId="0" borderId="1" xfId="2" applyBorder="1"/>
    <xf numFmtId="0" fontId="20" fillId="0" borderId="1" xfId="2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0" fontId="6" fillId="0" borderId="1" xfId="4" applyFont="1" applyBorder="1"/>
    <xf numFmtId="0" fontId="8" fillId="0" borderId="15" xfId="5" applyBorder="1" applyAlignment="1">
      <alignment horizontal="center" vertical="center"/>
    </xf>
    <xf numFmtId="168" fontId="8" fillId="0" borderId="15" xfId="8" applyNumberFormat="1" applyBorder="1" applyAlignment="1">
      <alignment horizontal="center" vertical="center"/>
    </xf>
    <xf numFmtId="9" fontId="8" fillId="0" borderId="1" xfId="8" applyFont="1" applyBorder="1" applyAlignment="1">
      <alignment horizontal="center" vertical="center" wrapText="1"/>
    </xf>
    <xf numFmtId="9" fontId="7" fillId="0" borderId="1" xfId="8" applyFont="1" applyBorder="1" applyAlignment="1">
      <alignment horizontal="center" vertical="center"/>
    </xf>
    <xf numFmtId="0" fontId="13" fillId="0" borderId="0" xfId="2" applyFont="1" applyBorder="1" applyAlignment="1">
      <alignment vertical="center" wrapText="1"/>
    </xf>
    <xf numFmtId="2" fontId="20" fillId="0" borderId="0" xfId="4" applyNumberFormat="1"/>
    <xf numFmtId="0" fontId="5" fillId="0" borderId="0" xfId="2" applyFont="1"/>
    <xf numFmtId="0" fontId="5" fillId="0" borderId="1" xfId="2" applyFont="1" applyBorder="1" applyAlignment="1">
      <alignment horizontal="center" vertical="center"/>
    </xf>
    <xf numFmtId="0" fontId="20" fillId="0" borderId="2" xfId="4" applyBorder="1" applyAlignment="1">
      <alignment horizontal="center" vertical="center"/>
    </xf>
    <xf numFmtId="0" fontId="9" fillId="0" borderId="1" xfId="5" applyFont="1" applyBorder="1" applyAlignment="1">
      <alignment horizontal="center" wrapText="1"/>
    </xf>
    <xf numFmtId="0" fontId="9" fillId="0" borderId="9" xfId="5" applyFont="1" applyBorder="1" applyAlignment="1">
      <alignment horizontal="center" vertical="center"/>
    </xf>
    <xf numFmtId="1" fontId="8" fillId="0" borderId="8" xfId="5" applyNumberFormat="1" applyBorder="1" applyAlignment="1">
      <alignment horizontal="center" vertical="center"/>
    </xf>
    <xf numFmtId="1" fontId="9" fillId="0" borderId="8" xfId="5" applyNumberFormat="1" applyFont="1" applyBorder="1" applyAlignment="1">
      <alignment horizontal="center" vertical="center"/>
    </xf>
    <xf numFmtId="167" fontId="7" fillId="0" borderId="1" xfId="8" applyNumberFormat="1" applyFont="1" applyBorder="1" applyAlignment="1">
      <alignment horizontal="center" vertical="center"/>
    </xf>
    <xf numFmtId="3" fontId="8" fillId="0" borderId="8" xfId="5" applyNumberFormat="1" applyBorder="1" applyAlignment="1">
      <alignment horizontal="center" vertical="center"/>
    </xf>
    <xf numFmtId="3" fontId="8" fillId="0" borderId="18" xfId="5" applyNumberFormat="1" applyBorder="1" applyAlignment="1">
      <alignment horizontal="center" vertical="center"/>
    </xf>
    <xf numFmtId="3" fontId="9" fillId="0" borderId="8" xfId="5" applyNumberFormat="1" applyFont="1" applyBorder="1" applyAlignment="1">
      <alignment horizontal="center" vertical="center"/>
    </xf>
    <xf numFmtId="3" fontId="20" fillId="0" borderId="2" xfId="4" applyNumberFormat="1" applyBorder="1" applyAlignment="1">
      <alignment horizontal="center" vertical="center"/>
    </xf>
    <xf numFmtId="3" fontId="20" fillId="0" borderId="1" xfId="4" applyNumberFormat="1" applyBorder="1" applyAlignment="1">
      <alignment horizontal="center" vertical="center"/>
    </xf>
    <xf numFmtId="3" fontId="6" fillId="0" borderId="1" xfId="4" applyNumberFormat="1" applyFont="1" applyBorder="1" applyAlignment="1">
      <alignment horizontal="center" vertical="center"/>
    </xf>
    <xf numFmtId="167" fontId="9" fillId="0" borderId="8" xfId="8" applyNumberFormat="1" applyFont="1" applyBorder="1" applyAlignment="1">
      <alignment horizontal="center" vertical="center"/>
    </xf>
    <xf numFmtId="169" fontId="7" fillId="0" borderId="0" xfId="8" applyNumberFormat="1" applyFont="1"/>
    <xf numFmtId="1" fontId="20" fillId="0" borderId="0" xfId="2" applyNumberFormat="1"/>
    <xf numFmtId="3" fontId="20" fillId="0" borderId="0" xfId="2" applyNumberFormat="1"/>
    <xf numFmtId="3" fontId="7" fillId="0" borderId="1" xfId="2" applyNumberFormat="1" applyFont="1" applyBorder="1" applyAlignment="1">
      <alignment horizontal="center" vertical="center"/>
    </xf>
    <xf numFmtId="3" fontId="12" fillId="0" borderId="1" xfId="2" applyNumberFormat="1" applyFont="1" applyBorder="1" applyAlignment="1">
      <alignment horizontal="center" vertical="center"/>
    </xf>
    <xf numFmtId="0" fontId="20" fillId="0" borderId="0" xfId="2" applyAlignment="1">
      <alignment horizontal="center"/>
    </xf>
    <xf numFmtId="3" fontId="8" fillId="0" borderId="8" xfId="6" applyNumberFormat="1" applyFont="1" applyBorder="1" applyAlignment="1">
      <alignment horizontal="center" vertical="center" wrapText="1"/>
    </xf>
    <xf numFmtId="0" fontId="4" fillId="0" borderId="0" xfId="2" applyFont="1"/>
    <xf numFmtId="9" fontId="7" fillId="0" borderId="1" xfId="8" applyNumberFormat="1" applyFont="1" applyBorder="1" applyAlignment="1">
      <alignment horizontal="center" vertical="center"/>
    </xf>
    <xf numFmtId="3" fontId="8" fillId="0" borderId="1" xfId="2" applyNumberFormat="1" applyFont="1" applyBorder="1" applyAlignment="1">
      <alignment horizontal="center" vertical="center" wrapText="1"/>
    </xf>
    <xf numFmtId="3" fontId="20" fillId="0" borderId="17" xfId="2" applyNumberFormat="1" applyBorder="1" applyAlignment="1">
      <alignment horizontal="center" vertical="center"/>
    </xf>
    <xf numFmtId="0" fontId="20" fillId="0" borderId="0" xfId="4" applyAlignment="1">
      <alignment horizontal="left"/>
    </xf>
    <xf numFmtId="0" fontId="0" fillId="0" borderId="0" xfId="0" applyBorder="1" applyAlignment="1">
      <alignment vertical="center"/>
    </xf>
    <xf numFmtId="3" fontId="12" fillId="0" borderId="2" xfId="2" applyNumberFormat="1" applyFont="1" applyBorder="1" applyAlignment="1">
      <alignment horizontal="center" vertical="center"/>
    </xf>
    <xf numFmtId="1" fontId="12" fillId="0" borderId="1" xfId="2" applyNumberFormat="1" applyFont="1" applyBorder="1" applyAlignment="1">
      <alignment horizontal="center" vertical="center"/>
    </xf>
    <xf numFmtId="2" fontId="8" fillId="0" borderId="4" xfId="6" applyNumberFormat="1" applyFont="1" applyBorder="1" applyAlignment="1">
      <alignment horizontal="center" vertical="center" wrapText="1"/>
    </xf>
    <xf numFmtId="0" fontId="17" fillId="0" borderId="0" xfId="2" applyFont="1"/>
    <xf numFmtId="0" fontId="17" fillId="0" borderId="1" xfId="2" applyFont="1" applyBorder="1" applyAlignment="1">
      <alignment horizontal="center"/>
    </xf>
    <xf numFmtId="0" fontId="18" fillId="0" borderId="0" xfId="2" applyFont="1"/>
    <xf numFmtId="0" fontId="10" fillId="0" borderId="1" xfId="6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/>
    </xf>
    <xf numFmtId="0" fontId="17" fillId="0" borderId="11" xfId="2" applyFont="1" applyBorder="1"/>
    <xf numFmtId="0" fontId="17" fillId="0" borderId="13" xfId="2" applyFont="1" applyBorder="1"/>
    <xf numFmtId="3" fontId="20" fillId="0" borderId="0" xfId="4" applyNumberFormat="1" applyAlignment="1">
      <alignment horizontal="center" vertical="center"/>
    </xf>
    <xf numFmtId="3" fontId="20" fillId="0" borderId="0" xfId="2" applyNumberFormat="1" applyAlignment="1">
      <alignment horizontal="center" vertical="center"/>
    </xf>
    <xf numFmtId="3" fontId="20" fillId="0" borderId="12" xfId="2" applyNumberFormat="1" applyBorder="1" applyAlignment="1">
      <alignment horizontal="center" vertical="center"/>
    </xf>
    <xf numFmtId="3" fontId="20" fillId="0" borderId="14" xfId="2" applyNumberFormat="1" applyBorder="1" applyAlignment="1">
      <alignment horizontal="center" vertical="center"/>
    </xf>
    <xf numFmtId="0" fontId="3" fillId="0" borderId="0" xfId="2" applyFont="1"/>
    <xf numFmtId="0" fontId="17" fillId="0" borderId="1" xfId="2" applyFont="1" applyBorder="1" applyAlignment="1">
      <alignment horizontal="center" vertical="center"/>
    </xf>
    <xf numFmtId="3" fontId="20" fillId="0" borderId="1" xfId="2" applyNumberFormat="1" applyBorder="1" applyAlignment="1">
      <alignment horizontal="center" vertical="center"/>
    </xf>
    <xf numFmtId="3" fontId="20" fillId="0" borderId="1" xfId="2" applyNumberFormat="1" applyBorder="1" applyAlignment="1">
      <alignment horizontal="center" vertical="center"/>
    </xf>
    <xf numFmtId="0" fontId="20" fillId="0" borderId="1" xfId="2" applyBorder="1" applyAlignment="1">
      <alignment horizontal="center"/>
    </xf>
    <xf numFmtId="169" fontId="3" fillId="0" borderId="0" xfId="8" applyNumberFormat="1" applyFont="1"/>
    <xf numFmtId="3" fontId="8" fillId="0" borderId="18" xfId="5" applyNumberFormat="1" applyBorder="1" applyAlignment="1">
      <alignment horizontal="left" vertical="center" indent="2"/>
    </xf>
    <xf numFmtId="0" fontId="2" fillId="2" borderId="0" xfId="2" applyFont="1" applyFill="1" applyAlignment="1">
      <alignment horizontal="center"/>
    </xf>
    <xf numFmtId="1" fontId="21" fillId="2" borderId="0" xfId="2" applyNumberFormat="1" applyFont="1" applyFill="1" applyAlignment="1">
      <alignment horizontal="center"/>
    </xf>
    <xf numFmtId="0" fontId="17" fillId="4" borderId="1" xfId="2" applyFont="1" applyFill="1" applyBorder="1" applyAlignment="1">
      <alignment horizontal="center" vertical="center" wrapText="1"/>
    </xf>
    <xf numFmtId="0" fontId="17" fillId="4" borderId="19" xfId="2" applyFont="1" applyFill="1" applyBorder="1" applyAlignment="1">
      <alignment horizontal="center"/>
    </xf>
    <xf numFmtId="0" fontId="17" fillId="4" borderId="2" xfId="2" applyFont="1" applyFill="1" applyBorder="1" applyAlignment="1">
      <alignment horizontal="center" vertical="center"/>
    </xf>
    <xf numFmtId="2" fontId="8" fillId="0" borderId="0" xfId="6" applyNumberFormat="1" applyFont="1" applyBorder="1" applyAlignment="1">
      <alignment horizontal="center" vertical="center" wrapText="1"/>
    </xf>
    <xf numFmtId="0" fontId="2" fillId="0" borderId="0" xfId="2" applyFont="1"/>
    <xf numFmtId="170" fontId="8" fillId="0" borderId="1" xfId="2" applyNumberFormat="1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/>
    </xf>
    <xf numFmtId="2" fontId="20" fillId="0" borderId="0" xfId="2" applyNumberFormat="1"/>
    <xf numFmtId="1" fontId="20" fillId="0" borderId="0" xfId="4" applyNumberFormat="1"/>
    <xf numFmtId="166" fontId="20" fillId="0" borderId="0" xfId="2" applyNumberFormat="1" applyAlignment="1">
      <alignment horizontal="center" vertical="center"/>
    </xf>
    <xf numFmtId="1" fontId="20" fillId="0" borderId="0" xfId="2" applyNumberFormat="1" applyAlignment="1">
      <alignment horizontal="center" vertical="center"/>
    </xf>
    <xf numFmtId="3" fontId="21" fillId="0" borderId="0" xfId="2" applyNumberFormat="1" applyFont="1"/>
    <xf numFmtId="1" fontId="21" fillId="0" borderId="0" xfId="2" applyNumberFormat="1" applyFont="1"/>
    <xf numFmtId="0" fontId="3" fillId="0" borderId="17" xfId="2" applyFont="1" applyBorder="1" applyAlignment="1">
      <alignment horizontal="center" vertical="center"/>
    </xf>
    <xf numFmtId="0" fontId="17" fillId="3" borderId="20" xfId="2" applyFont="1" applyFill="1" applyBorder="1"/>
    <xf numFmtId="0" fontId="17" fillId="3" borderId="16" xfId="2" applyFont="1" applyFill="1" applyBorder="1" applyAlignment="1">
      <alignment horizontal="center" vertical="center" wrapText="1"/>
    </xf>
    <xf numFmtId="0" fontId="17" fillId="3" borderId="16" xfId="2" applyFont="1" applyFill="1" applyBorder="1" applyAlignment="1">
      <alignment horizontal="center" vertical="center"/>
    </xf>
    <xf numFmtId="0" fontId="17" fillId="3" borderId="10" xfId="2" applyFont="1" applyFill="1" applyBorder="1" applyAlignment="1">
      <alignment horizontal="center" vertical="center"/>
    </xf>
    <xf numFmtId="0" fontId="22" fillId="0" borderId="0" xfId="4" applyFont="1"/>
    <xf numFmtId="0" fontId="1" fillId="0" borderId="0" xfId="2" applyFont="1" applyAlignment="1">
      <alignment horizontal="center"/>
    </xf>
    <xf numFmtId="0" fontId="22" fillId="0" borderId="21" xfId="2" applyFont="1" applyBorder="1" applyAlignment="1">
      <alignment vertical="center" wrapText="1"/>
    </xf>
    <xf numFmtId="0" fontId="19" fillId="0" borderId="0" xfId="2" applyFont="1" applyBorder="1" applyAlignment="1">
      <alignment horizontal="center" vertical="center" wrapText="1"/>
    </xf>
    <xf numFmtId="9" fontId="7" fillId="0" borderId="0" xfId="8" applyNumberFormat="1" applyFont="1" applyBorder="1" applyAlignment="1">
      <alignment horizontal="center" vertical="center"/>
    </xf>
    <xf numFmtId="3" fontId="20" fillId="0" borderId="0" xfId="2" applyNumberFormat="1" applyBorder="1" applyAlignment="1">
      <alignment horizontal="center" vertical="center"/>
    </xf>
    <xf numFmtId="0" fontId="22" fillId="5" borderId="1" xfId="2" applyFont="1" applyFill="1" applyBorder="1"/>
    <xf numFmtId="0" fontId="16" fillId="0" borderId="0" xfId="4" applyFont="1" applyAlignment="1"/>
    <xf numFmtId="1" fontId="20" fillId="0" borderId="1" xfId="4" applyNumberFormat="1" applyBorder="1" applyAlignment="1">
      <alignment horizontal="center" vertical="center"/>
    </xf>
    <xf numFmtId="0" fontId="17" fillId="0" borderId="0" xfId="2" applyFont="1" applyBorder="1"/>
    <xf numFmtId="0" fontId="3" fillId="0" borderId="0" xfId="2" applyFont="1" applyBorder="1" applyAlignment="1">
      <alignment horizontal="center" vertical="center"/>
    </xf>
    <xf numFmtId="1" fontId="20" fillId="0" borderId="1" xfId="2" applyNumberFormat="1" applyBorder="1" applyAlignment="1">
      <alignment horizontal="center"/>
    </xf>
    <xf numFmtId="0" fontId="12" fillId="0" borderId="1" xfId="4" applyFont="1" applyBorder="1" applyAlignment="1">
      <alignment horizontal="left"/>
    </xf>
    <xf numFmtId="0" fontId="10" fillId="0" borderId="1" xfId="2" applyFont="1" applyBorder="1" applyAlignment="1">
      <alignment horizontal="center" vertical="center" wrapText="1"/>
    </xf>
    <xf numFmtId="0" fontId="12" fillId="0" borderId="2" xfId="4" applyFont="1" applyBorder="1" applyAlignment="1">
      <alignment horizontal="left"/>
    </xf>
    <xf numFmtId="0" fontId="17" fillId="4" borderId="1" xfId="2" applyFont="1" applyFill="1" applyBorder="1" applyAlignment="1">
      <alignment horizontal="center" vertical="center" wrapText="1"/>
    </xf>
    <xf numFmtId="2" fontId="20" fillId="0" borderId="1" xfId="2" applyNumberFormat="1" applyBorder="1" applyAlignment="1">
      <alignment horizontal="center" vertical="center"/>
    </xf>
    <xf numFmtId="165" fontId="20" fillId="0" borderId="1" xfId="2" applyNumberFormat="1" applyBorder="1" applyAlignment="1">
      <alignment horizontal="center" vertical="center"/>
    </xf>
    <xf numFmtId="0" fontId="10" fillId="0" borderId="1" xfId="6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7" fillId="0" borderId="8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 wrapText="1"/>
    </xf>
    <xf numFmtId="0" fontId="10" fillId="0" borderId="18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1" fontId="7" fillId="0" borderId="8" xfId="2" applyNumberFormat="1" applyFont="1" applyBorder="1" applyAlignment="1">
      <alignment horizontal="center" vertical="center"/>
    </xf>
    <xf numFmtId="1" fontId="7" fillId="0" borderId="9" xfId="2" applyNumberFormat="1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 wrapText="1"/>
    </xf>
    <xf numFmtId="0" fontId="19" fillId="0" borderId="3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 wrapText="1"/>
    </xf>
    <xf numFmtId="0" fontId="20" fillId="0" borderId="0" xfId="2" applyBorder="1" applyAlignment="1">
      <alignment horizontal="center"/>
    </xf>
    <xf numFmtId="0" fontId="13" fillId="0" borderId="0" xfId="2" applyFont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22" fillId="5" borderId="1" xfId="2" applyFont="1" applyFill="1" applyBorder="1" applyAlignment="1">
      <alignment horizontal="center" vertical="center" wrapText="1"/>
    </xf>
    <xf numFmtId="0" fontId="20" fillId="0" borderId="1" xfId="4" applyBorder="1" applyAlignment="1">
      <alignment horizontal="center"/>
    </xf>
    <xf numFmtId="1" fontId="20" fillId="0" borderId="1" xfId="4" applyNumberFormat="1" applyBorder="1" applyAlignment="1">
      <alignment horizontal="center"/>
    </xf>
    <xf numFmtId="0" fontId="22" fillId="5" borderId="8" xfId="4" applyFont="1" applyFill="1" applyBorder="1" applyAlignment="1">
      <alignment horizontal="center" wrapText="1"/>
    </xf>
    <xf numFmtId="0" fontId="22" fillId="5" borderId="15" xfId="4" applyFont="1" applyFill="1" applyBorder="1" applyAlignment="1">
      <alignment horizontal="center" wrapText="1"/>
    </xf>
    <xf numFmtId="0" fontId="22" fillId="5" borderId="9" xfId="4" applyFont="1" applyFill="1" applyBorder="1" applyAlignment="1">
      <alignment horizontal="center" wrapText="1"/>
    </xf>
    <xf numFmtId="0" fontId="22" fillId="5" borderId="1" xfId="4" applyFont="1" applyFill="1" applyBorder="1" applyAlignment="1">
      <alignment horizontal="center" wrapText="1"/>
    </xf>
    <xf numFmtId="0" fontId="10" fillId="5" borderId="1" xfId="5" applyFont="1" applyFill="1" applyBorder="1" applyAlignment="1">
      <alignment horizontal="center" vertical="center" wrapText="1"/>
    </xf>
    <xf numFmtId="0" fontId="10" fillId="5" borderId="18" xfId="5" applyFont="1" applyFill="1" applyBorder="1" applyAlignment="1">
      <alignment horizontal="center" vertical="center"/>
    </xf>
    <xf numFmtId="0" fontId="10" fillId="5" borderId="4" xfId="5" applyFont="1" applyFill="1" applyBorder="1" applyAlignment="1">
      <alignment horizontal="center" vertical="center"/>
    </xf>
    <xf numFmtId="0" fontId="10" fillId="5" borderId="5" xfId="5" applyFont="1" applyFill="1" applyBorder="1" applyAlignment="1">
      <alignment horizontal="center" vertical="center"/>
    </xf>
    <xf numFmtId="0" fontId="10" fillId="5" borderId="19" xfId="5" applyFont="1" applyFill="1" applyBorder="1" applyAlignment="1">
      <alignment horizontal="center" vertical="center" wrapText="1"/>
    </xf>
    <xf numFmtId="0" fontId="10" fillId="5" borderId="18" xfId="5" applyFont="1" applyFill="1" applyBorder="1" applyAlignment="1">
      <alignment horizontal="center" vertical="center" wrapText="1"/>
    </xf>
    <xf numFmtId="0" fontId="10" fillId="5" borderId="5" xfId="5" applyFont="1" applyFill="1" applyBorder="1" applyAlignment="1">
      <alignment horizontal="center" vertical="center" wrapText="1"/>
    </xf>
    <xf numFmtId="0" fontId="10" fillId="5" borderId="22" xfId="5" applyFont="1" applyFill="1" applyBorder="1" applyAlignment="1">
      <alignment horizontal="center" vertical="center"/>
    </xf>
    <xf numFmtId="0" fontId="10" fillId="5" borderId="6" xfId="5" applyFont="1" applyFill="1" applyBorder="1" applyAlignment="1">
      <alignment horizontal="center" vertical="center"/>
    </xf>
    <xf numFmtId="0" fontId="10" fillId="5" borderId="7" xfId="5" applyFont="1" applyFill="1" applyBorder="1" applyAlignment="1">
      <alignment horizontal="center" vertical="center"/>
    </xf>
    <xf numFmtId="0" fontId="10" fillId="5" borderId="3" xfId="5" applyFont="1" applyFill="1" applyBorder="1" applyAlignment="1">
      <alignment horizontal="center" vertical="center" wrapText="1"/>
    </xf>
    <xf numFmtId="0" fontId="10" fillId="5" borderId="21" xfId="5" applyFont="1" applyFill="1" applyBorder="1" applyAlignment="1">
      <alignment horizontal="center" vertical="center" wrapText="1"/>
    </xf>
    <xf numFmtId="0" fontId="10" fillId="5" borderId="23" xfId="5" applyFont="1" applyFill="1" applyBorder="1" applyAlignment="1">
      <alignment horizontal="center" vertical="center" wrapText="1"/>
    </xf>
    <xf numFmtId="0" fontId="10" fillId="5" borderId="8" xfId="5" applyFont="1" applyFill="1" applyBorder="1" applyAlignment="1">
      <alignment horizontal="center" vertical="center"/>
    </xf>
    <xf numFmtId="0" fontId="10" fillId="5" borderId="9" xfId="5" applyFont="1" applyFill="1" applyBorder="1" applyAlignment="1">
      <alignment horizontal="center" vertical="center"/>
    </xf>
    <xf numFmtId="0" fontId="10" fillId="5" borderId="2" xfId="5" applyFont="1" applyFill="1" applyBorder="1" applyAlignment="1">
      <alignment horizontal="center" vertical="center" wrapText="1"/>
    </xf>
    <xf numFmtId="0" fontId="10" fillId="5" borderId="22" xfId="5" applyFont="1" applyFill="1" applyBorder="1" applyAlignment="1">
      <alignment horizontal="center" vertical="center" wrapText="1"/>
    </xf>
    <xf numFmtId="0" fontId="10" fillId="5" borderId="7" xfId="5" applyFont="1" applyFill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 vertical="center" wrapText="1"/>
    </xf>
  </cellXfs>
  <cellStyles count="11">
    <cellStyle name="Moneda 2" xfId="1"/>
    <cellStyle name="Normal" xfId="0" builtinId="0"/>
    <cellStyle name="Normal 2" xfId="2"/>
    <cellStyle name="Normal 2 2" xfId="3"/>
    <cellStyle name="Normal 2 2 2" xfId="4"/>
    <cellStyle name="Normal 2 2 2 2" xfId="5"/>
    <cellStyle name="Normal 3" xfId="6"/>
    <cellStyle name="Percent" xfId="8" builtinId="5"/>
    <cellStyle name="Porcentaje 2" xfId="7"/>
    <cellStyle name="Porcentual 2" xfId="9"/>
    <cellStyle name="Porcentual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6</xdr:row>
      <xdr:rowOff>19050</xdr:rowOff>
    </xdr:from>
    <xdr:to>
      <xdr:col>4</xdr:col>
      <xdr:colOff>161925</xdr:colOff>
      <xdr:row>8</xdr:row>
      <xdr:rowOff>9525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7379E5D7-2CA3-4ECE-B200-F945F2CD5153}"/>
            </a:ext>
          </a:extLst>
        </xdr:cNvPr>
        <xdr:cNvSpPr/>
      </xdr:nvSpPr>
      <xdr:spPr>
        <a:xfrm>
          <a:off x="4686300" y="1162050"/>
          <a:ext cx="47625" cy="371475"/>
        </a:xfrm>
        <a:prstGeom prst="rightBrac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7"/>
  <sheetViews>
    <sheetView workbookViewId="0">
      <selection activeCell="I12" sqref="I12"/>
    </sheetView>
  </sheetViews>
  <sheetFormatPr defaultColWidth="11.42578125" defaultRowHeight="15" x14ac:dyDescent="0.25"/>
  <cols>
    <col min="1" max="1" width="11.42578125" style="1"/>
    <col min="2" max="12" width="12.5703125" style="1" customWidth="1"/>
    <col min="13" max="16384" width="11.42578125" style="1"/>
  </cols>
  <sheetData>
    <row r="3" spans="2:12" x14ac:dyDescent="0.25">
      <c r="B3" s="2" t="s">
        <v>6</v>
      </c>
      <c r="C3" s="2">
        <v>2016</v>
      </c>
      <c r="D3" s="2">
        <v>2017</v>
      </c>
      <c r="E3" s="2">
        <v>2018</v>
      </c>
      <c r="F3" s="2">
        <v>2019</v>
      </c>
      <c r="G3" s="2">
        <v>2020</v>
      </c>
      <c r="H3" s="2">
        <v>2021</v>
      </c>
      <c r="I3" s="2">
        <v>2022</v>
      </c>
      <c r="J3" s="2">
        <v>2023</v>
      </c>
      <c r="K3" s="2">
        <v>2024</v>
      </c>
      <c r="L3" s="2">
        <v>2025</v>
      </c>
    </row>
    <row r="4" spans="2:12" x14ac:dyDescent="0.25">
      <c r="B4" s="2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</row>
    <row r="5" spans="2:12" ht="30" x14ac:dyDescent="0.25">
      <c r="B5" s="25" t="s">
        <v>7</v>
      </c>
      <c r="C5" s="2">
        <v>801.04537050235842</v>
      </c>
      <c r="D5" s="2">
        <v>1869.1058645055032</v>
      </c>
      <c r="E5" s="2">
        <v>3115.1764408425056</v>
      </c>
      <c r="F5" s="2">
        <v>3893.9705510531317</v>
      </c>
      <c r="G5" s="2">
        <v>4326.6339456145906</v>
      </c>
      <c r="H5" s="2">
        <v>4554.3515216995693</v>
      </c>
      <c r="I5" s="2">
        <v>4554.3515216995693</v>
      </c>
      <c r="J5" s="2">
        <v>4554.3515216995693</v>
      </c>
      <c r="K5" s="2">
        <v>4554.3515216995693</v>
      </c>
      <c r="L5" s="2">
        <v>4554.3515216995693</v>
      </c>
    </row>
    <row r="6" spans="2:12" ht="45" x14ac:dyDescent="0.25">
      <c r="B6" s="25" t="s">
        <v>8</v>
      </c>
      <c r="C6" s="23">
        <v>278140.75364665221</v>
      </c>
      <c r="D6" s="23">
        <v>648995.09184218862</v>
      </c>
      <c r="E6" s="23">
        <v>1081658.4864036478</v>
      </c>
      <c r="F6" s="23">
        <v>1352073.1080045595</v>
      </c>
      <c r="G6" s="23">
        <v>1502303.4533383995</v>
      </c>
      <c r="H6" s="23">
        <v>1581372.0561456839</v>
      </c>
      <c r="I6" s="23">
        <v>1581372.0561456839</v>
      </c>
      <c r="J6" s="23">
        <v>1581372.0561456839</v>
      </c>
      <c r="K6" s="23">
        <v>1581372.0561456839</v>
      </c>
      <c r="L6" s="23">
        <v>1581372.0561456839</v>
      </c>
    </row>
    <row r="7" spans="2:12" ht="45" x14ac:dyDescent="0.25">
      <c r="B7" s="25" t="s">
        <v>9</v>
      </c>
      <c r="C7" s="26">
        <v>20151.297601699953</v>
      </c>
      <c r="D7" s="26">
        <v>47019.694403966569</v>
      </c>
      <c r="E7" s="26">
        <v>78366.157339944286</v>
      </c>
      <c r="F7" s="26">
        <v>97957.696674930354</v>
      </c>
      <c r="G7" s="26">
        <v>108841.88519436705</v>
      </c>
      <c r="H7" s="26">
        <v>114570.4054677548</v>
      </c>
      <c r="I7" s="26">
        <v>114570.4054677548</v>
      </c>
      <c r="J7" s="26">
        <v>114570.4054677548</v>
      </c>
      <c r="K7" s="26">
        <v>114570.4054677548</v>
      </c>
      <c r="L7" s="26">
        <v>114570.4054677548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8"/>
  <sheetViews>
    <sheetView tabSelected="1" zoomScale="115" zoomScaleNormal="115" workbookViewId="0">
      <selection activeCell="M24" sqref="M24"/>
    </sheetView>
  </sheetViews>
  <sheetFormatPr defaultColWidth="11.42578125" defaultRowHeight="15" x14ac:dyDescent="0.25"/>
  <cols>
    <col min="1" max="1" width="3.7109375" style="3" customWidth="1"/>
    <col min="2" max="2" width="24.28515625" style="3" customWidth="1"/>
    <col min="3" max="3" width="11.42578125" style="3" customWidth="1"/>
    <col min="4" max="4" width="7.140625" style="3" bestFit="1" customWidth="1"/>
    <col min="5" max="5" width="11.42578125" style="3"/>
    <col min="6" max="6" width="8" style="3" customWidth="1"/>
    <col min="7" max="7" width="16.28515625" style="3" customWidth="1"/>
    <col min="8" max="8" width="10.140625" style="3" bestFit="1" customWidth="1"/>
    <col min="9" max="9" width="10.5703125" style="3" customWidth="1"/>
    <col min="10" max="10" width="12.85546875" style="3" customWidth="1"/>
    <col min="11" max="11" width="7.140625" style="3" bestFit="1" customWidth="1"/>
    <col min="12" max="12" width="11.42578125" style="3"/>
    <col min="13" max="13" width="17.28515625" style="3" customWidth="1"/>
    <col min="14" max="16" width="11.42578125" style="3"/>
    <col min="17" max="17" width="9.85546875" style="3" customWidth="1"/>
    <col min="18" max="18" width="14" style="3" customWidth="1"/>
    <col min="19" max="16384" width="11.42578125" style="3"/>
  </cols>
  <sheetData>
    <row r="2" spans="2:18" x14ac:dyDescent="0.25">
      <c r="E2" s="168" t="s">
        <v>74</v>
      </c>
      <c r="F2" s="168"/>
    </row>
    <row r="3" spans="2:18" ht="38.25" customHeight="1" x14ac:dyDescent="0.25">
      <c r="B3" s="150" t="s">
        <v>31</v>
      </c>
      <c r="C3" s="150" t="s">
        <v>30</v>
      </c>
      <c r="D3" s="150"/>
      <c r="E3" s="151" t="s">
        <v>29</v>
      </c>
      <c r="F3" s="152"/>
      <c r="G3" s="152"/>
      <c r="H3" s="153"/>
      <c r="I3" s="154" t="s">
        <v>50</v>
      </c>
      <c r="J3" s="155" t="s">
        <v>28</v>
      </c>
      <c r="K3" s="156"/>
    </row>
    <row r="4" spans="2:18" x14ac:dyDescent="0.25">
      <c r="B4" s="150"/>
      <c r="C4" s="150" t="s">
        <v>27</v>
      </c>
      <c r="D4" s="150"/>
      <c r="E4" s="157"/>
      <c r="F4" s="158"/>
      <c r="G4" s="158"/>
      <c r="H4" s="159"/>
      <c r="I4" s="160"/>
      <c r="J4" s="161"/>
      <c r="K4" s="162"/>
    </row>
    <row r="5" spans="2:18" x14ac:dyDescent="0.25">
      <c r="B5" s="150"/>
      <c r="C5" s="150" t="s">
        <v>24</v>
      </c>
      <c r="D5" s="150"/>
      <c r="E5" s="163" t="s">
        <v>26</v>
      </c>
      <c r="F5" s="164"/>
      <c r="G5" s="163" t="s">
        <v>25</v>
      </c>
      <c r="H5" s="164"/>
      <c r="I5" s="165"/>
      <c r="J5" s="166"/>
      <c r="K5" s="167"/>
    </row>
    <row r="6" spans="2:18" x14ac:dyDescent="0.25">
      <c r="B6" s="4" t="s">
        <v>69</v>
      </c>
      <c r="C6" s="43">
        <f t="shared" ref="C6:C10" si="0">J6+G6</f>
        <v>411787.22782084998</v>
      </c>
      <c r="D6" s="5" t="s">
        <v>68</v>
      </c>
      <c r="E6" s="39"/>
      <c r="F6" s="5" t="s">
        <v>68</v>
      </c>
      <c r="G6" s="86">
        <f t="shared" ref="G6:G10" si="1">(J6/(1-I6))-J6</f>
        <v>2306.0084757967852</v>
      </c>
      <c r="H6" s="5" t="s">
        <v>68</v>
      </c>
      <c r="I6" s="29">
        <v>5.5999999999999999E-3</v>
      </c>
      <c r="J6" s="42">
        <f t="shared" ref="J6:J9" si="2">C7</f>
        <v>409481.21934505319</v>
      </c>
      <c r="K6" s="5" t="s">
        <v>68</v>
      </c>
    </row>
    <row r="7" spans="2:18" x14ac:dyDescent="0.25">
      <c r="B7" s="4" t="s">
        <v>70</v>
      </c>
      <c r="C7" s="43">
        <f t="shared" si="0"/>
        <v>409481.21934505319</v>
      </c>
      <c r="D7" s="5" t="s">
        <v>68</v>
      </c>
      <c r="E7" s="39"/>
      <c r="F7" s="5" t="s">
        <v>68</v>
      </c>
      <c r="G7" s="86">
        <f t="shared" si="1"/>
        <v>2293.0948283323087</v>
      </c>
      <c r="H7" s="5" t="s">
        <v>68</v>
      </c>
      <c r="I7" s="29">
        <v>5.5999999999999999E-3</v>
      </c>
      <c r="J7" s="42">
        <f>C8</f>
        <v>407188.12451672088</v>
      </c>
      <c r="K7" s="5" t="s">
        <v>68</v>
      </c>
      <c r="M7" s="85"/>
    </row>
    <row r="8" spans="2:18" x14ac:dyDescent="0.25">
      <c r="B8" s="4" t="s">
        <v>71</v>
      </c>
      <c r="C8" s="43">
        <f t="shared" si="0"/>
        <v>407188.12451672088</v>
      </c>
      <c r="D8" s="5" t="s">
        <v>68</v>
      </c>
      <c r="E8" s="39"/>
      <c r="F8" s="5" t="s">
        <v>68</v>
      </c>
      <c r="G8" s="86">
        <f t="shared" si="1"/>
        <v>2280.2534972936846</v>
      </c>
      <c r="H8" s="5" t="s">
        <v>68</v>
      </c>
      <c r="I8" s="29">
        <v>5.5999999999999999E-3</v>
      </c>
      <c r="J8" s="42">
        <f t="shared" si="2"/>
        <v>404907.8710194272</v>
      </c>
      <c r="K8" s="5" t="s">
        <v>68</v>
      </c>
      <c r="M8" s="49"/>
    </row>
    <row r="9" spans="2:18" x14ac:dyDescent="0.25">
      <c r="B9" s="4" t="s">
        <v>72</v>
      </c>
      <c r="C9" s="43">
        <f t="shared" si="0"/>
        <v>404907.8710194272</v>
      </c>
      <c r="D9" s="5" t="s">
        <v>68</v>
      </c>
      <c r="E9" s="39"/>
      <c r="F9" s="5" t="s">
        <v>68</v>
      </c>
      <c r="G9" s="86">
        <f t="shared" si="1"/>
        <v>566.87101942719892</v>
      </c>
      <c r="H9" s="5" t="s">
        <v>68</v>
      </c>
      <c r="I9" s="29">
        <v>1.4E-3</v>
      </c>
      <c r="J9" s="42">
        <f t="shared" si="2"/>
        <v>404341</v>
      </c>
      <c r="K9" s="5" t="s">
        <v>68</v>
      </c>
      <c r="M9" s="49"/>
    </row>
    <row r="10" spans="2:18" x14ac:dyDescent="0.25">
      <c r="B10" s="4" t="s">
        <v>73</v>
      </c>
      <c r="C10" s="43">
        <f t="shared" si="0"/>
        <v>404341</v>
      </c>
      <c r="D10" s="5" t="s">
        <v>68</v>
      </c>
      <c r="E10" s="39"/>
      <c r="F10" s="5" t="s">
        <v>68</v>
      </c>
      <c r="G10" s="86">
        <f t="shared" si="1"/>
        <v>0</v>
      </c>
      <c r="H10" s="5" t="s">
        <v>68</v>
      </c>
      <c r="I10" s="28">
        <v>0</v>
      </c>
      <c r="J10" s="42">
        <v>404341</v>
      </c>
      <c r="K10" s="5" t="s">
        <v>68</v>
      </c>
      <c r="M10" s="49"/>
    </row>
    <row r="11" spans="2:18" x14ac:dyDescent="0.25">
      <c r="B11" s="37" t="s">
        <v>17</v>
      </c>
      <c r="C11" s="44">
        <f>J11+G11</f>
        <v>411787.22782084998</v>
      </c>
      <c r="D11" s="38" t="s">
        <v>68</v>
      </c>
      <c r="E11" s="40">
        <v>0</v>
      </c>
      <c r="F11" s="38" t="s">
        <v>68</v>
      </c>
      <c r="G11" s="44">
        <f>SUM(G6:G10)</f>
        <v>7446.2278208499774</v>
      </c>
      <c r="H11" s="38" t="s">
        <v>68</v>
      </c>
      <c r="I11" s="48">
        <f>C11/J11-1</f>
        <v>1.8415713026504799E-2</v>
      </c>
      <c r="J11" s="44">
        <f>+'6-Evolución de la mercadería'!F6</f>
        <v>404341</v>
      </c>
      <c r="K11" s="38" t="s">
        <v>68</v>
      </c>
      <c r="M11" s="169" t="s">
        <v>46</v>
      </c>
      <c r="N11" s="114"/>
      <c r="O11" s="114"/>
      <c r="P11" s="114"/>
      <c r="Q11" s="60"/>
      <c r="R11" s="76"/>
    </row>
    <row r="12" spans="2:18" x14ac:dyDescent="0.25">
      <c r="C12" s="121" t="s">
        <v>16</v>
      </c>
      <c r="D12" s="121"/>
      <c r="E12" s="121"/>
      <c r="F12" s="121"/>
      <c r="G12" s="121"/>
      <c r="H12" s="45">
        <f>C11</f>
        <v>411787.22782084998</v>
      </c>
      <c r="I12" s="36" t="s">
        <v>68</v>
      </c>
      <c r="L12" s="33"/>
      <c r="M12" s="169"/>
    </row>
    <row r="13" spans="2:18" x14ac:dyDescent="0.25">
      <c r="C13" s="119" t="s">
        <v>15</v>
      </c>
      <c r="D13" s="119"/>
      <c r="E13" s="119"/>
      <c r="F13" s="119"/>
      <c r="G13" s="119"/>
      <c r="H13" s="46">
        <f>+C6</f>
        <v>411787.22782084998</v>
      </c>
      <c r="I13" s="6" t="s">
        <v>68</v>
      </c>
      <c r="M13" s="115">
        <f>+J11/'2-Horas Laborables'!D9</f>
        <v>1700.9537259615383</v>
      </c>
      <c r="N13" s="97"/>
    </row>
    <row r="14" spans="2:18" x14ac:dyDescent="0.25">
      <c r="C14" s="119" t="s">
        <v>13</v>
      </c>
      <c r="D14" s="119"/>
      <c r="E14" s="119"/>
      <c r="F14" s="119"/>
      <c r="G14" s="119"/>
      <c r="H14" s="41">
        <f>I11</f>
        <v>1.8415713026504799E-2</v>
      </c>
      <c r="I14" s="47">
        <f>I15</f>
        <v>7446.2278208499765</v>
      </c>
      <c r="J14" s="27" t="s">
        <v>68</v>
      </c>
    </row>
    <row r="15" spans="2:18" x14ac:dyDescent="0.25">
      <c r="C15" s="119" t="s">
        <v>12</v>
      </c>
      <c r="D15" s="119"/>
      <c r="E15" s="119"/>
      <c r="F15" s="119"/>
      <c r="G15" s="119"/>
      <c r="H15" s="41">
        <f>H14</f>
        <v>1.8415713026504799E-2</v>
      </c>
      <c r="I15" s="46">
        <f>I11*J11</f>
        <v>7446.2278208499765</v>
      </c>
      <c r="J15" s="27" t="s">
        <v>68</v>
      </c>
    </row>
    <row r="16" spans="2:18" x14ac:dyDescent="0.25">
      <c r="L16" s="107"/>
    </row>
    <row r="17" spans="3:9" ht="30" customHeight="1" x14ac:dyDescent="0.25">
      <c r="C17" s="146" t="s">
        <v>92</v>
      </c>
      <c r="D17" s="147"/>
      <c r="E17" s="148"/>
      <c r="F17" s="149" t="s">
        <v>91</v>
      </c>
      <c r="G17" s="149"/>
      <c r="H17" s="149" t="s">
        <v>65</v>
      </c>
      <c r="I17" s="149"/>
    </row>
    <row r="18" spans="3:9" x14ac:dyDescent="0.25">
      <c r="C18" s="144">
        <v>4</v>
      </c>
      <c r="D18" s="144"/>
      <c r="E18" s="144"/>
      <c r="F18" s="144">
        <v>2</v>
      </c>
      <c r="G18" s="144"/>
      <c r="H18" s="145">
        <f>(C6/C18)/F18</f>
        <v>51473.403477606247</v>
      </c>
      <c r="I18" s="145"/>
    </row>
  </sheetData>
  <mergeCells count="19">
    <mergeCell ref="H17:I17"/>
    <mergeCell ref="F17:G17"/>
    <mergeCell ref="F18:G18"/>
    <mergeCell ref="C18:E18"/>
    <mergeCell ref="H18:I18"/>
    <mergeCell ref="C17:E17"/>
    <mergeCell ref="E2:F2"/>
    <mergeCell ref="B3:B5"/>
    <mergeCell ref="C3:D5"/>
    <mergeCell ref="E3:H4"/>
    <mergeCell ref="E5:F5"/>
    <mergeCell ref="G5:H5"/>
    <mergeCell ref="C13:G13"/>
    <mergeCell ref="C14:G14"/>
    <mergeCell ref="C15:G15"/>
    <mergeCell ref="M11:M12"/>
    <mergeCell ref="J3:K5"/>
    <mergeCell ref="I3:I5"/>
    <mergeCell ref="C12:G12"/>
  </mergeCells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8"/>
  <sheetViews>
    <sheetView workbookViewId="0">
      <selection activeCell="D9" sqref="D9"/>
    </sheetView>
  </sheetViews>
  <sheetFormatPr defaultColWidth="11.42578125" defaultRowHeight="15" x14ac:dyDescent="0.25"/>
  <cols>
    <col min="1" max="2" width="11.42578125" style="1"/>
    <col min="3" max="3" width="27.7109375" style="54" customWidth="1"/>
    <col min="4" max="4" width="18" style="1" customWidth="1"/>
    <col min="5" max="5" width="4.7109375" style="1" customWidth="1"/>
    <col min="6" max="6" width="20" style="1" bestFit="1" customWidth="1"/>
    <col min="7" max="7" width="17.5703125" style="1" customWidth="1"/>
    <col min="8" max="16384" width="11.42578125" style="1"/>
  </cols>
  <sheetData>
    <row r="3" spans="2:7" ht="15" customHeight="1" x14ac:dyDescent="0.25">
      <c r="B3" s="34"/>
      <c r="C3" s="122" t="s">
        <v>58</v>
      </c>
      <c r="D3" s="90" t="s">
        <v>74</v>
      </c>
    </row>
    <row r="4" spans="2:7" x14ac:dyDescent="0.25">
      <c r="C4" s="122"/>
      <c r="D4" s="91" t="s">
        <v>60</v>
      </c>
    </row>
    <row r="5" spans="2:7" x14ac:dyDescent="0.25">
      <c r="C5" s="66" t="s">
        <v>62</v>
      </c>
      <c r="D5" s="2">
        <v>365</v>
      </c>
    </row>
    <row r="6" spans="2:7" ht="15.75" customHeight="1" x14ac:dyDescent="0.25">
      <c r="C6" s="66" t="s">
        <v>59</v>
      </c>
      <c r="D6" s="23">
        <f>5*D5/7</f>
        <v>260.71428571428572</v>
      </c>
      <c r="F6" s="89" t="s">
        <v>84</v>
      </c>
      <c r="G6" s="90" t="s">
        <v>83</v>
      </c>
    </row>
    <row r="7" spans="2:7" ht="15" customHeight="1" x14ac:dyDescent="0.25">
      <c r="C7" s="66" t="s">
        <v>63</v>
      </c>
      <c r="D7" s="35">
        <v>8</v>
      </c>
      <c r="E7" s="109"/>
      <c r="F7" s="123">
        <f>(D7+D8)/20</f>
        <v>1.1499999999999999</v>
      </c>
      <c r="G7" s="124">
        <f>12-F7</f>
        <v>10.85</v>
      </c>
    </row>
    <row r="8" spans="2:7" x14ac:dyDescent="0.25">
      <c r="C8" s="66" t="s">
        <v>64</v>
      </c>
      <c r="D8" s="2">
        <v>15</v>
      </c>
      <c r="E8" s="109"/>
      <c r="F8" s="123"/>
      <c r="G8" s="124"/>
    </row>
    <row r="9" spans="2:7" x14ac:dyDescent="0.25">
      <c r="C9" s="66" t="s">
        <v>61</v>
      </c>
      <c r="D9" s="63">
        <f>D6-D7-D8</f>
        <v>237.71428571428572</v>
      </c>
    </row>
    <row r="10" spans="2:7" x14ac:dyDescent="0.25">
      <c r="C10" s="66" t="s">
        <v>67</v>
      </c>
      <c r="D10" s="63">
        <f>ROUNDDOWN((D6-D8)/5,0)</f>
        <v>49</v>
      </c>
    </row>
    <row r="11" spans="2:7" x14ac:dyDescent="0.25">
      <c r="C11" s="87" t="s">
        <v>75</v>
      </c>
      <c r="D11" s="88">
        <f>8*D9</f>
        <v>1901.7142857142858</v>
      </c>
    </row>
    <row r="12" spans="2:7" ht="15" customHeight="1" x14ac:dyDescent="0.25">
      <c r="D12" s="50"/>
    </row>
    <row r="13" spans="2:7" x14ac:dyDescent="0.25">
      <c r="D13" s="96"/>
    </row>
    <row r="20" ht="15" customHeight="1" x14ac:dyDescent="0.25"/>
    <row r="29" ht="15" customHeight="1" x14ac:dyDescent="0.25"/>
    <row r="38" ht="15" customHeight="1" x14ac:dyDescent="0.25"/>
  </sheetData>
  <mergeCells count="3">
    <mergeCell ref="C3:C4"/>
    <mergeCell ref="F7:F8"/>
    <mergeCell ref="G7:G8"/>
  </mergeCells>
  <phoneticPr fontId="0" type="noConversion"/>
  <pageMargins left="0.7" right="0.7" top="0.75" bottom="0.75" header="0.3" footer="0.3"/>
  <pageSetup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12"/>
  <sheetViews>
    <sheetView zoomScaleNormal="100" workbookViewId="0">
      <selection activeCell="H16" sqref="H16"/>
    </sheetView>
  </sheetViews>
  <sheetFormatPr defaultColWidth="11.42578125" defaultRowHeight="15" x14ac:dyDescent="0.25"/>
  <cols>
    <col min="1" max="1" width="11.42578125" style="1"/>
    <col min="2" max="2" width="3.7109375" style="1" customWidth="1"/>
    <col min="3" max="3" width="29" style="1" customWidth="1"/>
    <col min="4" max="4" width="9.42578125" style="1" customWidth="1"/>
    <col min="5" max="5" width="8.85546875" style="1" customWidth="1"/>
    <col min="6" max="6" width="10.85546875" style="1" customWidth="1"/>
    <col min="7" max="7" width="10.5703125" style="1" customWidth="1"/>
    <col min="8" max="8" width="8.5703125" style="1" customWidth="1"/>
    <col min="9" max="9" width="13.7109375" style="1" customWidth="1"/>
    <col min="10" max="10" width="11.28515625" style="1" customWidth="1"/>
    <col min="11" max="11" width="7.42578125" style="1" customWidth="1"/>
    <col min="12" max="12" width="11.42578125" style="1"/>
    <col min="13" max="14" width="11.42578125" style="1" customWidth="1"/>
    <col min="15" max="16384" width="11.42578125" style="1"/>
  </cols>
  <sheetData>
    <row r="1" spans="3:14" x14ac:dyDescent="0.25">
      <c r="C1" s="8"/>
      <c r="D1" s="9"/>
      <c r="E1" s="9"/>
      <c r="F1" s="9"/>
      <c r="G1" s="9"/>
      <c r="H1" s="9"/>
      <c r="I1" s="9"/>
      <c r="J1" s="9"/>
      <c r="K1" s="9"/>
    </row>
    <row r="2" spans="3:14" x14ac:dyDescent="0.25">
      <c r="C2" s="126" t="s">
        <v>77</v>
      </c>
      <c r="D2" s="126"/>
      <c r="E2" s="67"/>
      <c r="F2" s="67"/>
      <c r="G2" s="67"/>
      <c r="H2" s="67"/>
      <c r="I2" s="67"/>
      <c r="J2" s="67"/>
      <c r="K2" s="67"/>
    </row>
    <row r="3" spans="3:14" ht="15" customHeight="1" x14ac:dyDescent="0.25">
      <c r="C3" s="125" t="s">
        <v>31</v>
      </c>
      <c r="D3" s="125" t="s">
        <v>32</v>
      </c>
      <c r="E3" s="125"/>
      <c r="F3" s="125" t="s">
        <v>33</v>
      </c>
      <c r="G3" s="125" t="s">
        <v>34</v>
      </c>
      <c r="H3" s="125"/>
      <c r="I3" s="125" t="s">
        <v>51</v>
      </c>
      <c r="J3" s="125" t="s">
        <v>35</v>
      </c>
      <c r="K3" s="125"/>
    </row>
    <row r="4" spans="3:14" x14ac:dyDescent="0.25">
      <c r="C4" s="125"/>
      <c r="D4" s="125" t="s">
        <v>27</v>
      </c>
      <c r="E4" s="125"/>
      <c r="F4" s="125" t="s">
        <v>36</v>
      </c>
      <c r="G4" s="125" t="s">
        <v>27</v>
      </c>
      <c r="H4" s="125"/>
      <c r="I4" s="125"/>
      <c r="J4" s="125"/>
      <c r="K4" s="125"/>
    </row>
    <row r="5" spans="3:14" x14ac:dyDescent="0.25">
      <c r="C5" s="125"/>
      <c r="D5" s="125" t="s">
        <v>24</v>
      </c>
      <c r="E5" s="125"/>
      <c r="F5" s="125"/>
      <c r="G5" s="125" t="s">
        <v>24</v>
      </c>
      <c r="H5" s="125"/>
      <c r="I5" s="125"/>
      <c r="J5" s="125"/>
      <c r="K5" s="125"/>
    </row>
    <row r="6" spans="3:14" x14ac:dyDescent="0.25">
      <c r="C6" s="68" t="s">
        <v>69</v>
      </c>
      <c r="D6" s="55">
        <v>280</v>
      </c>
      <c r="E6" s="10" t="s">
        <v>76</v>
      </c>
      <c r="F6" s="55">
        <f>'2-Horas Laborables'!$D$11</f>
        <v>1901.7142857142858</v>
      </c>
      <c r="G6" s="55">
        <f>+D6*F6</f>
        <v>532480</v>
      </c>
      <c r="H6" s="10" t="s">
        <v>68</v>
      </c>
      <c r="I6" s="30">
        <v>0.95</v>
      </c>
      <c r="J6" s="55">
        <f>+I6*G6</f>
        <v>505856</v>
      </c>
      <c r="K6" s="10" t="s">
        <v>68</v>
      </c>
    </row>
    <row r="7" spans="3:14" x14ac:dyDescent="0.25">
      <c r="C7" s="68" t="s">
        <v>70</v>
      </c>
      <c r="D7" s="55">
        <v>280</v>
      </c>
      <c r="E7" s="10" t="s">
        <v>76</v>
      </c>
      <c r="F7" s="55">
        <f>'2-Horas Laborables'!$D$11</f>
        <v>1901.7142857142858</v>
      </c>
      <c r="G7" s="55">
        <f t="shared" ref="G7:G8" si="0">+D7*F7</f>
        <v>532480</v>
      </c>
      <c r="H7" s="10" t="s">
        <v>68</v>
      </c>
      <c r="I7" s="30">
        <v>0.94</v>
      </c>
      <c r="J7" s="55">
        <f t="shared" ref="J7:J10" si="1">+I7*G7</f>
        <v>500531.19999999995</v>
      </c>
      <c r="K7" s="10" t="s">
        <v>68</v>
      </c>
      <c r="N7" s="56"/>
    </row>
    <row r="8" spans="3:14" x14ac:dyDescent="0.25">
      <c r="C8" s="68" t="s">
        <v>71</v>
      </c>
      <c r="D8" s="55">
        <f>+D7*2</f>
        <v>560</v>
      </c>
      <c r="E8" s="10" t="s">
        <v>76</v>
      </c>
      <c r="F8" s="55">
        <f>'2-Horas Laborables'!$D$11</f>
        <v>1901.7142857142858</v>
      </c>
      <c r="G8" s="55">
        <f t="shared" si="0"/>
        <v>1064960</v>
      </c>
      <c r="H8" s="10" t="s">
        <v>68</v>
      </c>
      <c r="I8" s="30">
        <v>0.94</v>
      </c>
      <c r="J8" s="55">
        <f t="shared" si="1"/>
        <v>1001062.3999999999</v>
      </c>
      <c r="K8" s="10" t="s">
        <v>68</v>
      </c>
    </row>
    <row r="9" spans="3:14" ht="15" customHeight="1" x14ac:dyDescent="0.25">
      <c r="C9" s="68" t="s">
        <v>72</v>
      </c>
      <c r="D9" s="55">
        <v>500</v>
      </c>
      <c r="E9" s="10" t="s">
        <v>76</v>
      </c>
      <c r="F9" s="55">
        <f>'2-Horas Laborables'!$D$11</f>
        <v>1901.7142857142858</v>
      </c>
      <c r="G9" s="55">
        <f>+F9*D9</f>
        <v>950857.14285714284</v>
      </c>
      <c r="H9" s="10" t="s">
        <v>68</v>
      </c>
      <c r="I9" s="30">
        <v>0.98</v>
      </c>
      <c r="J9" s="55">
        <f t="shared" si="1"/>
        <v>931840</v>
      </c>
      <c r="K9" s="10" t="s">
        <v>68</v>
      </c>
    </row>
    <row r="10" spans="3:14" x14ac:dyDescent="0.25">
      <c r="C10" s="68" t="s">
        <v>73</v>
      </c>
      <c r="D10" s="55">
        <v>784</v>
      </c>
      <c r="E10" s="10" t="s">
        <v>76</v>
      </c>
      <c r="F10" s="55">
        <f>'2-Horas Laborables'!$D$11</f>
        <v>1901.7142857142858</v>
      </c>
      <c r="G10" s="55">
        <f>+D10*F10</f>
        <v>1490944</v>
      </c>
      <c r="H10" s="10" t="s">
        <v>68</v>
      </c>
      <c r="I10" s="30">
        <v>0.8</v>
      </c>
      <c r="J10" s="55">
        <f t="shared" si="1"/>
        <v>1192755.2</v>
      </c>
      <c r="K10" s="10" t="s">
        <v>68</v>
      </c>
    </row>
    <row r="11" spans="3:14" x14ac:dyDescent="0.25">
      <c r="C11" s="11"/>
      <c r="D11" s="11"/>
      <c r="E11" s="11"/>
      <c r="F11" s="11"/>
      <c r="G11" s="11"/>
      <c r="H11" s="11"/>
      <c r="I11" s="11"/>
      <c r="J11" s="64"/>
      <c r="K11" s="11"/>
    </row>
    <row r="12" spans="3:14" x14ac:dyDescent="0.25">
      <c r="C12" s="11"/>
      <c r="D12" s="11"/>
      <c r="E12" s="11"/>
      <c r="F12" s="11"/>
      <c r="G12" s="11"/>
      <c r="H12" s="11"/>
      <c r="I12" s="11"/>
      <c r="J12" s="92"/>
      <c r="K12" s="11"/>
    </row>
  </sheetData>
  <mergeCells count="7">
    <mergeCell ref="J3:K5"/>
    <mergeCell ref="I3:I5"/>
    <mergeCell ref="C2:D2"/>
    <mergeCell ref="G3:H5"/>
    <mergeCell ref="C3:C5"/>
    <mergeCell ref="D3:E5"/>
    <mergeCell ref="F3:F5"/>
  </mergeCells>
  <phoneticPr fontId="0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80"/>
  <sheetViews>
    <sheetView topLeftCell="L1" workbookViewId="0">
      <selection activeCell="Y20" sqref="Y20"/>
    </sheetView>
  </sheetViews>
  <sheetFormatPr defaultColWidth="11.42578125" defaultRowHeight="15" x14ac:dyDescent="0.25"/>
  <cols>
    <col min="1" max="1" width="11.42578125" style="1"/>
    <col min="2" max="2" width="21.42578125" style="1" customWidth="1"/>
    <col min="3" max="3" width="10.85546875" style="1" customWidth="1"/>
    <col min="4" max="4" width="10" style="1" customWidth="1"/>
    <col min="5" max="5" width="10.85546875" style="1" customWidth="1"/>
    <col min="6" max="6" width="9.5703125" style="1" customWidth="1"/>
    <col min="7" max="7" width="6.85546875" style="1" customWidth="1"/>
    <col min="8" max="8" width="4.85546875" style="1" customWidth="1"/>
    <col min="9" max="9" width="10.7109375" style="1" customWidth="1"/>
    <col min="10" max="10" width="9.42578125" style="1" customWidth="1"/>
    <col min="11" max="11" width="11.7109375" style="1" customWidth="1"/>
    <col min="12" max="12" width="11.42578125" style="1" customWidth="1"/>
    <col min="13" max="13" width="11" style="1" customWidth="1"/>
    <col min="14" max="14" width="25.7109375" style="1" bestFit="1" customWidth="1"/>
    <col min="15" max="18" width="11.42578125" style="1"/>
    <col min="19" max="19" width="5.5703125" style="1" customWidth="1"/>
    <col min="20" max="20" width="6.85546875" style="1" customWidth="1"/>
    <col min="21" max="16384" width="11.42578125" style="1"/>
  </cols>
  <sheetData>
    <row r="2" spans="2:26" x14ac:dyDescent="0.25">
      <c r="B2" s="127" t="s">
        <v>0</v>
      </c>
      <c r="C2" s="128"/>
      <c r="D2" s="65"/>
      <c r="E2" s="65"/>
      <c r="F2" s="65"/>
      <c r="G2" s="65"/>
      <c r="H2" s="65"/>
      <c r="I2" s="65"/>
      <c r="J2" s="65"/>
      <c r="K2" s="65"/>
      <c r="N2" s="127" t="s">
        <v>74</v>
      </c>
      <c r="O2" s="128"/>
      <c r="P2" s="65"/>
      <c r="Q2" s="65"/>
      <c r="R2" s="65"/>
      <c r="S2" s="65"/>
      <c r="T2" s="65"/>
      <c r="U2" s="65"/>
      <c r="V2" s="65"/>
      <c r="W2" s="65"/>
      <c r="X2" s="65"/>
    </row>
    <row r="3" spans="2:26" ht="15" customHeight="1" x14ac:dyDescent="0.25">
      <c r="B3" s="120" t="s">
        <v>31</v>
      </c>
      <c r="C3" s="120" t="s">
        <v>38</v>
      </c>
      <c r="D3" s="120"/>
      <c r="E3" s="129" t="s">
        <v>66</v>
      </c>
      <c r="F3" s="130"/>
      <c r="G3" s="120" t="s">
        <v>40</v>
      </c>
      <c r="H3" s="120"/>
      <c r="I3" s="129" t="s">
        <v>41</v>
      </c>
      <c r="J3" s="130"/>
      <c r="K3" s="137" t="s">
        <v>52</v>
      </c>
      <c r="N3" s="120" t="s">
        <v>31</v>
      </c>
      <c r="O3" s="120" t="s">
        <v>38</v>
      </c>
      <c r="P3" s="120"/>
      <c r="Q3" s="129" t="s">
        <v>66</v>
      </c>
      <c r="R3" s="130"/>
      <c r="S3" s="120" t="s">
        <v>40</v>
      </c>
      <c r="T3" s="120"/>
      <c r="U3" s="129" t="s">
        <v>41</v>
      </c>
      <c r="V3" s="130"/>
      <c r="W3" s="137" t="s">
        <v>52</v>
      </c>
      <c r="X3" s="110"/>
      <c r="Y3" s="137" t="s">
        <v>52</v>
      </c>
      <c r="Z3" s="137" t="s">
        <v>85</v>
      </c>
    </row>
    <row r="4" spans="2:26" x14ac:dyDescent="0.25">
      <c r="B4" s="120"/>
      <c r="C4" s="120" t="s">
        <v>27</v>
      </c>
      <c r="D4" s="120"/>
      <c r="E4" s="131" t="s">
        <v>36</v>
      </c>
      <c r="F4" s="132"/>
      <c r="G4" s="120"/>
      <c r="H4" s="120"/>
      <c r="I4" s="131" t="s">
        <v>36</v>
      </c>
      <c r="J4" s="132"/>
      <c r="K4" s="138"/>
      <c r="N4" s="120"/>
      <c r="O4" s="120" t="s">
        <v>27</v>
      </c>
      <c r="P4" s="120"/>
      <c r="Q4" s="131" t="s">
        <v>36</v>
      </c>
      <c r="R4" s="132"/>
      <c r="S4" s="120"/>
      <c r="T4" s="120"/>
      <c r="U4" s="131" t="s">
        <v>36</v>
      </c>
      <c r="V4" s="132"/>
      <c r="W4" s="138"/>
      <c r="X4" s="110"/>
      <c r="Y4" s="138"/>
      <c r="Z4" s="138"/>
    </row>
    <row r="5" spans="2:26" x14ac:dyDescent="0.25">
      <c r="B5" s="120"/>
      <c r="C5" s="120" t="s">
        <v>24</v>
      </c>
      <c r="D5" s="120"/>
      <c r="E5" s="133"/>
      <c r="F5" s="134"/>
      <c r="G5" s="120"/>
      <c r="H5" s="120"/>
      <c r="I5" s="133"/>
      <c r="J5" s="134"/>
      <c r="K5" s="139"/>
      <c r="N5" s="120"/>
      <c r="O5" s="120" t="s">
        <v>24</v>
      </c>
      <c r="P5" s="120"/>
      <c r="Q5" s="133"/>
      <c r="R5" s="134"/>
      <c r="S5" s="120"/>
      <c r="T5" s="120"/>
      <c r="U5" s="133"/>
      <c r="V5" s="134"/>
      <c r="W5" s="139"/>
      <c r="X5" s="110"/>
      <c r="Y5" s="139"/>
      <c r="Z5" s="139"/>
    </row>
    <row r="6" spans="2:26" x14ac:dyDescent="0.25">
      <c r="B6" s="69" t="s">
        <v>69</v>
      </c>
      <c r="C6" s="52">
        <v>409481.21934505319</v>
      </c>
      <c r="D6" s="7" t="s">
        <v>14</v>
      </c>
      <c r="E6" s="52">
        <f>'3-Capacidad real anual'!J6</f>
        <v>505856</v>
      </c>
      <c r="F6" s="7" t="s">
        <v>14</v>
      </c>
      <c r="G6" s="135">
        <f>ROUNDUP(C6/E6,0)</f>
        <v>1</v>
      </c>
      <c r="H6" s="136"/>
      <c r="I6" s="52">
        <f>E6*G6</f>
        <v>505856</v>
      </c>
      <c r="J6" s="7" t="s">
        <v>14</v>
      </c>
      <c r="K6" s="57">
        <f t="shared" ref="K6:K10" si="0">(C6/I6)</f>
        <v>0.80948178798917714</v>
      </c>
      <c r="N6" s="81" t="s">
        <v>69</v>
      </c>
      <c r="O6" s="52">
        <v>411787.22782084998</v>
      </c>
      <c r="P6" s="7" t="s">
        <v>14</v>
      </c>
      <c r="Q6" s="52">
        <f>+E6</f>
        <v>505856</v>
      </c>
      <c r="R6" s="7" t="s">
        <v>14</v>
      </c>
      <c r="S6" s="135">
        <f>ROUNDUP(O6/Q6,0)</f>
        <v>1</v>
      </c>
      <c r="T6" s="136"/>
      <c r="U6" s="52">
        <f>Q6*S6</f>
        <v>505856</v>
      </c>
      <c r="V6" s="7" t="s">
        <v>14</v>
      </c>
      <c r="W6" s="57">
        <f>(O6/U6)</f>
        <v>0.81404041430930929</v>
      </c>
      <c r="X6" s="111"/>
      <c r="Y6" s="57">
        <v>1</v>
      </c>
      <c r="Z6" s="53">
        <f>(U7*O10)/O7</f>
        <v>494248.0298923261</v>
      </c>
    </row>
    <row r="7" spans="2:26" x14ac:dyDescent="0.25">
      <c r="B7" s="69" t="s">
        <v>70</v>
      </c>
      <c r="C7" s="52">
        <v>407188.12451672088</v>
      </c>
      <c r="D7" s="7" t="s">
        <v>14</v>
      </c>
      <c r="E7" s="52">
        <f>'3-Capacidad real anual'!J7</f>
        <v>500531.19999999995</v>
      </c>
      <c r="F7" s="7" t="s">
        <v>14</v>
      </c>
      <c r="G7" s="135">
        <f t="shared" ref="G7:G10" si="1">ROUNDUP(C7/E7,0)</f>
        <v>1</v>
      </c>
      <c r="H7" s="136"/>
      <c r="I7" s="52">
        <f t="shared" ref="I7:I10" si="2">E7*G7</f>
        <v>500531.19999999995</v>
      </c>
      <c r="J7" s="7" t="s">
        <v>14</v>
      </c>
      <c r="K7" s="57">
        <f t="shared" si="0"/>
        <v>0.8135119739123573</v>
      </c>
      <c r="N7" s="81" t="s">
        <v>70</v>
      </c>
      <c r="O7" s="52">
        <v>409481.21934505319</v>
      </c>
      <c r="P7" s="7" t="s">
        <v>14</v>
      </c>
      <c r="Q7" s="52">
        <f t="shared" ref="Q7:Q10" si="3">+E7</f>
        <v>500531.19999999995</v>
      </c>
      <c r="R7" s="7" t="s">
        <v>14</v>
      </c>
      <c r="S7" s="135">
        <f t="shared" ref="S7:S10" si="4">ROUNDUP(O7/Q7,0)</f>
        <v>1</v>
      </c>
      <c r="T7" s="136"/>
      <c r="U7" s="52">
        <f>Q7*S7</f>
        <v>500531.19999999995</v>
      </c>
      <c r="V7" s="7" t="s">
        <v>14</v>
      </c>
      <c r="W7" s="57">
        <f t="shared" ref="W7:W10" si="5">(O7/U7)</f>
        <v>0.81809329637204076</v>
      </c>
      <c r="X7" s="111"/>
    </row>
    <row r="8" spans="2:26" x14ac:dyDescent="0.25">
      <c r="B8" s="69" t="s">
        <v>71</v>
      </c>
      <c r="C8" s="52">
        <v>404907.8710194272</v>
      </c>
      <c r="D8" s="7" t="s">
        <v>14</v>
      </c>
      <c r="E8" s="52">
        <f>'3-Capacidad real anual'!J8</f>
        <v>1001062.3999999999</v>
      </c>
      <c r="F8" s="7" t="s">
        <v>14</v>
      </c>
      <c r="G8" s="135">
        <f t="shared" si="1"/>
        <v>1</v>
      </c>
      <c r="H8" s="136"/>
      <c r="I8" s="52">
        <f t="shared" si="2"/>
        <v>1001062.3999999999</v>
      </c>
      <c r="J8" s="7" t="s">
        <v>14</v>
      </c>
      <c r="K8" s="57">
        <f t="shared" si="0"/>
        <v>0.40447815342922405</v>
      </c>
      <c r="N8" s="81" t="s">
        <v>71</v>
      </c>
      <c r="O8" s="52">
        <v>407188.12451672088</v>
      </c>
      <c r="P8" s="7" t="s">
        <v>14</v>
      </c>
      <c r="Q8" s="52">
        <f t="shared" si="3"/>
        <v>1001062.3999999999</v>
      </c>
      <c r="R8" s="7" t="s">
        <v>14</v>
      </c>
      <c r="S8" s="135">
        <f t="shared" si="4"/>
        <v>1</v>
      </c>
      <c r="T8" s="136"/>
      <c r="U8" s="52">
        <f t="shared" ref="U8:U10" si="6">Q8*S8</f>
        <v>1001062.3999999999</v>
      </c>
      <c r="V8" s="7" t="s">
        <v>14</v>
      </c>
      <c r="W8" s="57">
        <f t="shared" si="5"/>
        <v>0.40675598695617865</v>
      </c>
      <c r="X8" s="111"/>
    </row>
    <row r="9" spans="2:26" x14ac:dyDescent="0.25">
      <c r="B9" s="69" t="s">
        <v>72</v>
      </c>
      <c r="C9" s="52">
        <v>404341</v>
      </c>
      <c r="D9" s="7" t="s">
        <v>14</v>
      </c>
      <c r="E9" s="52">
        <f>'3-Capacidad real anual'!J9</f>
        <v>931840</v>
      </c>
      <c r="F9" s="7" t="s">
        <v>14</v>
      </c>
      <c r="G9" s="135">
        <f t="shared" si="1"/>
        <v>1</v>
      </c>
      <c r="H9" s="136"/>
      <c r="I9" s="52">
        <f t="shared" si="2"/>
        <v>931840</v>
      </c>
      <c r="J9" s="7" t="s">
        <v>14</v>
      </c>
      <c r="K9" s="57">
        <f t="shared" si="0"/>
        <v>0.43391676682692309</v>
      </c>
      <c r="N9" s="81" t="s">
        <v>72</v>
      </c>
      <c r="O9" s="52">
        <v>404907.8710194272</v>
      </c>
      <c r="P9" s="7" t="s">
        <v>14</v>
      </c>
      <c r="Q9" s="52">
        <f t="shared" si="3"/>
        <v>931840</v>
      </c>
      <c r="R9" s="7" t="s">
        <v>14</v>
      </c>
      <c r="S9" s="135">
        <f t="shared" si="4"/>
        <v>1</v>
      </c>
      <c r="T9" s="136"/>
      <c r="U9" s="52">
        <f t="shared" si="6"/>
        <v>931840</v>
      </c>
      <c r="V9" s="7" t="s">
        <v>14</v>
      </c>
      <c r="W9" s="57">
        <f t="shared" si="5"/>
        <v>0.43452510196968064</v>
      </c>
      <c r="X9" s="111"/>
    </row>
    <row r="10" spans="2:26" x14ac:dyDescent="0.25">
      <c r="B10" s="69" t="s">
        <v>73</v>
      </c>
      <c r="C10" s="52">
        <v>404341</v>
      </c>
      <c r="D10" s="7" t="s">
        <v>14</v>
      </c>
      <c r="E10" s="52">
        <f>'3-Capacidad real anual'!J10</f>
        <v>1192755.2</v>
      </c>
      <c r="F10" s="7" t="s">
        <v>14</v>
      </c>
      <c r="G10" s="135">
        <f t="shared" si="1"/>
        <v>1</v>
      </c>
      <c r="H10" s="136"/>
      <c r="I10" s="52">
        <f t="shared" si="2"/>
        <v>1192755.2</v>
      </c>
      <c r="J10" s="7" t="s">
        <v>14</v>
      </c>
      <c r="K10" s="57">
        <f t="shared" si="0"/>
        <v>0.33899747408353365</v>
      </c>
      <c r="N10" s="81" t="s">
        <v>73</v>
      </c>
      <c r="O10" s="52">
        <v>404341</v>
      </c>
      <c r="P10" s="7" t="s">
        <v>14</v>
      </c>
      <c r="Q10" s="52">
        <f t="shared" si="3"/>
        <v>1192755.2</v>
      </c>
      <c r="R10" s="7" t="s">
        <v>14</v>
      </c>
      <c r="S10" s="135">
        <f t="shared" si="4"/>
        <v>1</v>
      </c>
      <c r="T10" s="136"/>
      <c r="U10" s="52">
        <f t="shared" si="6"/>
        <v>1192755.2</v>
      </c>
      <c r="V10" s="7" t="s">
        <v>14</v>
      </c>
      <c r="W10" s="57">
        <f t="shared" si="5"/>
        <v>0.33899747408353365</v>
      </c>
      <c r="X10" s="111"/>
    </row>
    <row r="14" spans="2:26" ht="15" customHeight="1" x14ac:dyDescent="0.25">
      <c r="B14" s="127" t="s">
        <v>1</v>
      </c>
      <c r="C14" s="128"/>
      <c r="D14" s="65"/>
      <c r="E14" s="65"/>
      <c r="F14" s="65"/>
      <c r="G14" s="65"/>
      <c r="H14" s="65"/>
      <c r="I14" s="65"/>
      <c r="J14" s="65"/>
      <c r="K14" s="65"/>
    </row>
    <row r="15" spans="2:26" ht="15" customHeight="1" x14ac:dyDescent="0.25">
      <c r="B15" s="120" t="s">
        <v>31</v>
      </c>
      <c r="C15" s="120" t="s">
        <v>38</v>
      </c>
      <c r="D15" s="120"/>
      <c r="E15" s="129" t="s">
        <v>39</v>
      </c>
      <c r="F15" s="130"/>
      <c r="G15" s="120" t="s">
        <v>40</v>
      </c>
      <c r="H15" s="120"/>
      <c r="I15" s="129" t="s">
        <v>41</v>
      </c>
      <c r="J15" s="130"/>
      <c r="K15" s="137" t="s">
        <v>52</v>
      </c>
    </row>
    <row r="16" spans="2:26" x14ac:dyDescent="0.25">
      <c r="B16" s="120"/>
      <c r="C16" s="120" t="s">
        <v>27</v>
      </c>
      <c r="D16" s="120"/>
      <c r="E16" s="131" t="s">
        <v>36</v>
      </c>
      <c r="F16" s="132"/>
      <c r="G16" s="120"/>
      <c r="H16" s="120"/>
      <c r="I16" s="131" t="s">
        <v>36</v>
      </c>
      <c r="J16" s="132"/>
      <c r="K16" s="138"/>
      <c r="L16" s="12"/>
      <c r="M16" s="12"/>
      <c r="N16" s="12"/>
      <c r="O16" s="12"/>
      <c r="P16" s="12"/>
      <c r="Q16" s="12"/>
      <c r="R16" s="12"/>
      <c r="S16" s="12"/>
      <c r="T16" s="12"/>
    </row>
    <row r="17" spans="2:20" x14ac:dyDescent="0.25">
      <c r="B17" s="120"/>
      <c r="C17" s="120" t="s">
        <v>24</v>
      </c>
      <c r="D17" s="120"/>
      <c r="E17" s="133"/>
      <c r="F17" s="134"/>
      <c r="G17" s="120"/>
      <c r="H17" s="120"/>
      <c r="I17" s="133"/>
      <c r="J17" s="134"/>
      <c r="K17" s="139"/>
      <c r="L17" s="32"/>
      <c r="M17" s="141"/>
      <c r="N17" s="141"/>
      <c r="O17" s="141"/>
      <c r="P17" s="141"/>
      <c r="Q17" s="141"/>
      <c r="R17" s="141"/>
      <c r="S17" s="142"/>
      <c r="T17" s="12"/>
    </row>
    <row r="18" spans="2:20" x14ac:dyDescent="0.25">
      <c r="B18" s="69" t="s">
        <v>23</v>
      </c>
      <c r="C18" s="52" t="e">
        <f>'1-Mermas y Desperdicios'!#REF!</f>
        <v>#REF!</v>
      </c>
      <c r="D18" s="7" t="s">
        <v>14</v>
      </c>
      <c r="E18" s="52" t="e">
        <f>'3-Capacidad real anual'!#REF!</f>
        <v>#REF!</v>
      </c>
      <c r="F18" s="7" t="s">
        <v>14</v>
      </c>
      <c r="G18" s="135" t="e">
        <f>ROUNDUP(C18/E18,0)</f>
        <v>#REF!</v>
      </c>
      <c r="H18" s="136"/>
      <c r="I18" s="52" t="e">
        <f>E18*G18</f>
        <v>#REF!</v>
      </c>
      <c r="J18" s="7" t="s">
        <v>14</v>
      </c>
      <c r="K18" s="31" t="e">
        <f t="shared" ref="K18:K23" si="7">(C18/I18)</f>
        <v>#REF!</v>
      </c>
      <c r="L18" s="32"/>
      <c r="M18" s="141"/>
      <c r="N18" s="141"/>
      <c r="O18" s="141"/>
      <c r="P18" s="141"/>
      <c r="Q18" s="141"/>
      <c r="R18" s="141"/>
      <c r="S18" s="142"/>
      <c r="T18" s="12"/>
    </row>
    <row r="19" spans="2:20" x14ac:dyDescent="0.25">
      <c r="B19" s="69" t="s">
        <v>22</v>
      </c>
      <c r="C19" s="52" t="e">
        <f>'1-Mermas y Desperdicios'!#REF!</f>
        <v>#REF!</v>
      </c>
      <c r="D19" s="7" t="s">
        <v>14</v>
      </c>
      <c r="E19" s="52" t="e">
        <f>'3-Capacidad real anual'!#REF!</f>
        <v>#REF!</v>
      </c>
      <c r="F19" s="7" t="s">
        <v>14</v>
      </c>
      <c r="G19" s="135" t="e">
        <f t="shared" ref="G19:G24" si="8">ROUNDUP(C19/E19,0)</f>
        <v>#REF!</v>
      </c>
      <c r="H19" s="136"/>
      <c r="I19" s="52" t="e">
        <f t="shared" ref="I19:I24" si="9">E19*G19</f>
        <v>#REF!</v>
      </c>
      <c r="J19" s="7" t="s">
        <v>14</v>
      </c>
      <c r="K19" s="31" t="e">
        <f t="shared" si="7"/>
        <v>#REF!</v>
      </c>
      <c r="L19" s="32"/>
      <c r="M19" s="141"/>
      <c r="N19" s="141"/>
      <c r="O19" s="141"/>
      <c r="P19" s="141"/>
      <c r="Q19" s="141"/>
      <c r="R19" s="141"/>
      <c r="S19" s="142"/>
      <c r="T19" s="12"/>
    </row>
    <row r="20" spans="2:20" x14ac:dyDescent="0.25">
      <c r="B20" s="69" t="s">
        <v>21</v>
      </c>
      <c r="C20" s="52" t="e">
        <f>'1-Mermas y Desperdicios'!#REF!</f>
        <v>#REF!</v>
      </c>
      <c r="D20" s="7" t="s">
        <v>14</v>
      </c>
      <c r="E20" s="52" t="e">
        <f>'3-Capacidad real anual'!#REF!</f>
        <v>#REF!</v>
      </c>
      <c r="F20" s="7" t="s">
        <v>14</v>
      </c>
      <c r="G20" s="135" t="e">
        <f t="shared" si="8"/>
        <v>#REF!</v>
      </c>
      <c r="H20" s="136"/>
      <c r="I20" s="52" t="e">
        <f t="shared" si="9"/>
        <v>#REF!</v>
      </c>
      <c r="J20" s="7" t="s">
        <v>14</v>
      </c>
      <c r="K20" s="31" t="e">
        <f t="shared" si="7"/>
        <v>#REF!</v>
      </c>
      <c r="L20" s="14"/>
      <c r="M20" s="14"/>
      <c r="N20" s="14"/>
      <c r="O20" s="15"/>
      <c r="P20" s="16"/>
      <c r="Q20" s="14"/>
      <c r="R20" s="14"/>
      <c r="S20" s="17"/>
      <c r="T20" s="12"/>
    </row>
    <row r="21" spans="2:20" x14ac:dyDescent="0.25">
      <c r="B21" s="69" t="s">
        <v>20</v>
      </c>
      <c r="C21" s="52" t="e">
        <f>'1-Mermas y Desperdicios'!#REF!</f>
        <v>#REF!</v>
      </c>
      <c r="D21" s="7" t="s">
        <v>14</v>
      </c>
      <c r="E21" s="52" t="e">
        <f>'3-Capacidad real anual'!#REF!</f>
        <v>#REF!</v>
      </c>
      <c r="F21" s="7" t="s">
        <v>14</v>
      </c>
      <c r="G21" s="135" t="e">
        <f t="shared" si="8"/>
        <v>#REF!</v>
      </c>
      <c r="H21" s="136"/>
      <c r="I21" s="52" t="e">
        <f t="shared" si="9"/>
        <v>#REF!</v>
      </c>
      <c r="J21" s="7" t="s">
        <v>14</v>
      </c>
      <c r="K21" s="31" t="e">
        <f t="shared" si="7"/>
        <v>#REF!</v>
      </c>
      <c r="L21" s="14"/>
      <c r="M21" s="14"/>
      <c r="N21" s="14"/>
      <c r="O21" s="15"/>
      <c r="P21" s="16"/>
      <c r="Q21" s="14"/>
      <c r="R21" s="14"/>
      <c r="S21" s="17"/>
      <c r="T21" s="12"/>
    </row>
    <row r="22" spans="2:20" x14ac:dyDescent="0.25">
      <c r="B22" s="69" t="s">
        <v>19</v>
      </c>
      <c r="C22" s="52" t="e">
        <f>'1-Mermas y Desperdicios'!#REF!</f>
        <v>#REF!</v>
      </c>
      <c r="D22" s="7" t="s">
        <v>14</v>
      </c>
      <c r="E22" s="52" t="e">
        <f>'3-Capacidad real anual'!#REF!</f>
        <v>#REF!</v>
      </c>
      <c r="F22" s="7" t="s">
        <v>14</v>
      </c>
      <c r="G22" s="135" t="e">
        <f t="shared" si="8"/>
        <v>#REF!</v>
      </c>
      <c r="H22" s="136"/>
      <c r="I22" s="52" t="e">
        <f t="shared" si="9"/>
        <v>#REF!</v>
      </c>
      <c r="J22" s="7" t="s">
        <v>14</v>
      </c>
      <c r="K22" s="31" t="e">
        <f t="shared" si="7"/>
        <v>#REF!</v>
      </c>
      <c r="L22" s="14"/>
      <c r="M22" s="14"/>
      <c r="N22" s="14"/>
      <c r="O22" s="15"/>
      <c r="P22" s="16"/>
      <c r="Q22" s="14"/>
      <c r="R22" s="14"/>
      <c r="S22" s="17"/>
      <c r="T22" s="12"/>
    </row>
    <row r="23" spans="2:20" x14ac:dyDescent="0.25">
      <c r="B23" s="69" t="s">
        <v>18</v>
      </c>
      <c r="C23" s="52" t="e">
        <f>'1-Mermas y Desperdicios'!#REF!</f>
        <v>#REF!</v>
      </c>
      <c r="D23" s="7" t="s">
        <v>14</v>
      </c>
      <c r="E23" s="52" t="e">
        <f>'3-Capacidad real anual'!#REF!</f>
        <v>#REF!</v>
      </c>
      <c r="F23" s="7" t="s">
        <v>14</v>
      </c>
      <c r="G23" s="135" t="e">
        <f t="shared" si="8"/>
        <v>#REF!</v>
      </c>
      <c r="H23" s="136"/>
      <c r="I23" s="52" t="e">
        <f t="shared" si="9"/>
        <v>#REF!</v>
      </c>
      <c r="J23" s="7" t="s">
        <v>14</v>
      </c>
      <c r="K23" s="31" t="e">
        <f t="shared" si="7"/>
        <v>#REF!</v>
      </c>
      <c r="L23" s="14"/>
      <c r="M23" s="14"/>
      <c r="N23" s="14"/>
      <c r="O23" s="15"/>
      <c r="P23" s="16"/>
      <c r="Q23" s="14"/>
      <c r="R23" s="14"/>
      <c r="S23" s="17"/>
      <c r="T23" s="12"/>
    </row>
    <row r="24" spans="2:20" x14ac:dyDescent="0.25">
      <c r="B24" s="70" t="s">
        <v>37</v>
      </c>
      <c r="C24" s="52" t="e">
        <f>'1-Mermas y Desperdicios'!#REF!</f>
        <v>#REF!</v>
      </c>
      <c r="D24" s="7" t="s">
        <v>14</v>
      </c>
      <c r="E24" s="52" t="e">
        <f>'3-Capacidad real anual'!#REF!</f>
        <v>#REF!</v>
      </c>
      <c r="F24" s="7" t="s">
        <v>14</v>
      </c>
      <c r="G24" s="135" t="e">
        <f t="shared" si="8"/>
        <v>#REF!</v>
      </c>
      <c r="H24" s="136"/>
      <c r="I24" s="52" t="e">
        <f t="shared" si="9"/>
        <v>#REF!</v>
      </c>
      <c r="J24" s="7" t="s">
        <v>14</v>
      </c>
      <c r="K24" s="31" t="e">
        <f>(C24/I24)</f>
        <v>#REF!</v>
      </c>
      <c r="L24" s="14"/>
      <c r="M24" s="14"/>
      <c r="N24" s="14"/>
      <c r="O24" s="15"/>
      <c r="P24" s="16"/>
      <c r="Q24" s="14"/>
      <c r="R24" s="14"/>
      <c r="S24" s="17"/>
      <c r="T24" s="12"/>
    </row>
    <row r="25" spans="2:20" x14ac:dyDescent="0.25">
      <c r="L25" s="18"/>
      <c r="M25" s="18"/>
      <c r="N25" s="18"/>
      <c r="O25" s="19"/>
      <c r="P25" s="20"/>
      <c r="Q25" s="18"/>
      <c r="R25" s="18"/>
      <c r="S25" s="13"/>
      <c r="T25" s="12"/>
    </row>
    <row r="26" spans="2:20" x14ac:dyDescent="0.25">
      <c r="I26" s="12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2"/>
    </row>
    <row r="27" spans="2:20" x14ac:dyDescent="0.25">
      <c r="I27" s="12"/>
      <c r="J27" s="12"/>
      <c r="K27" s="14"/>
      <c r="L27" s="14"/>
      <c r="M27" s="16"/>
      <c r="N27" s="16"/>
      <c r="O27" s="15"/>
      <c r="P27" s="14"/>
      <c r="Q27" s="16"/>
      <c r="R27" s="16"/>
      <c r="S27" s="17"/>
      <c r="T27" s="12"/>
    </row>
    <row r="28" spans="2:20" x14ac:dyDescent="0.25">
      <c r="B28" s="127" t="s">
        <v>2</v>
      </c>
      <c r="C28" s="128"/>
      <c r="D28" s="65"/>
      <c r="E28" s="65"/>
      <c r="F28" s="65"/>
      <c r="G28" s="65"/>
      <c r="H28" s="65"/>
      <c r="I28" s="65"/>
      <c r="J28" s="65"/>
      <c r="K28" s="65"/>
      <c r="L28" s="12"/>
      <c r="M28" s="12"/>
      <c r="N28" s="12"/>
      <c r="O28" s="12"/>
      <c r="P28" s="12"/>
      <c r="Q28" s="12"/>
      <c r="R28" s="12"/>
      <c r="S28" s="12"/>
      <c r="T28" s="12"/>
    </row>
    <row r="29" spans="2:20" ht="15" customHeight="1" x14ac:dyDescent="0.25">
      <c r="B29" s="120" t="s">
        <v>31</v>
      </c>
      <c r="C29" s="120" t="s">
        <v>38</v>
      </c>
      <c r="D29" s="120"/>
      <c r="E29" s="129" t="s">
        <v>39</v>
      </c>
      <c r="F29" s="130"/>
      <c r="G29" s="120" t="s">
        <v>40</v>
      </c>
      <c r="H29" s="120"/>
      <c r="I29" s="129" t="s">
        <v>41</v>
      </c>
      <c r="J29" s="130"/>
      <c r="K29" s="137" t="s">
        <v>52</v>
      </c>
      <c r="L29" s="12"/>
      <c r="M29" s="12"/>
      <c r="N29" s="12"/>
      <c r="O29" s="12"/>
      <c r="P29" s="12"/>
      <c r="Q29" s="12"/>
      <c r="R29" s="12"/>
      <c r="S29" s="12"/>
      <c r="T29" s="12"/>
    </row>
    <row r="30" spans="2:20" x14ac:dyDescent="0.25">
      <c r="B30" s="120"/>
      <c r="C30" s="120" t="s">
        <v>27</v>
      </c>
      <c r="D30" s="120"/>
      <c r="E30" s="131" t="s">
        <v>36</v>
      </c>
      <c r="F30" s="132"/>
      <c r="G30" s="120"/>
      <c r="H30" s="120"/>
      <c r="I30" s="131" t="s">
        <v>36</v>
      </c>
      <c r="J30" s="132"/>
      <c r="K30" s="138"/>
      <c r="L30" s="12"/>
      <c r="M30" s="12"/>
      <c r="N30" s="12"/>
      <c r="O30" s="12"/>
      <c r="P30" s="12"/>
      <c r="Q30" s="12"/>
      <c r="R30" s="12"/>
      <c r="S30" s="12"/>
      <c r="T30" s="12"/>
    </row>
    <row r="31" spans="2:20" x14ac:dyDescent="0.25">
      <c r="B31" s="120"/>
      <c r="C31" s="120" t="s">
        <v>24</v>
      </c>
      <c r="D31" s="120"/>
      <c r="E31" s="133"/>
      <c r="F31" s="134"/>
      <c r="G31" s="120"/>
      <c r="H31" s="120"/>
      <c r="I31" s="133"/>
      <c r="J31" s="134"/>
      <c r="K31" s="139"/>
    </row>
    <row r="32" spans="2:20" x14ac:dyDescent="0.25">
      <c r="B32" s="69" t="s">
        <v>23</v>
      </c>
      <c r="C32" s="52" t="e">
        <f>'1-Mermas y Desperdicios'!#REF!</f>
        <v>#REF!</v>
      </c>
      <c r="D32" s="7" t="s">
        <v>14</v>
      </c>
      <c r="E32" s="52" t="e">
        <f>'3-Capacidad real anual'!#REF!</f>
        <v>#REF!</v>
      </c>
      <c r="F32" s="7" t="s">
        <v>14</v>
      </c>
      <c r="G32" s="135" t="e">
        <f>ROUNDUP(C32/E32,0)</f>
        <v>#REF!</v>
      </c>
      <c r="H32" s="136"/>
      <c r="I32" s="52" t="e">
        <f>E32*G32</f>
        <v>#REF!</v>
      </c>
      <c r="J32" s="7" t="s">
        <v>14</v>
      </c>
      <c r="K32" s="31" t="e">
        <f t="shared" ref="K32:K37" si="10">(C32/I32)</f>
        <v>#REF!</v>
      </c>
    </row>
    <row r="33" spans="2:11" x14ac:dyDescent="0.25">
      <c r="B33" s="69" t="s">
        <v>22</v>
      </c>
      <c r="C33" s="52" t="e">
        <f>'1-Mermas y Desperdicios'!#REF!</f>
        <v>#REF!</v>
      </c>
      <c r="D33" s="7" t="s">
        <v>14</v>
      </c>
      <c r="E33" s="52" t="e">
        <f>'3-Capacidad real anual'!#REF!</f>
        <v>#REF!</v>
      </c>
      <c r="F33" s="7" t="s">
        <v>14</v>
      </c>
      <c r="G33" s="135" t="e">
        <f t="shared" ref="G33:G38" si="11">ROUNDUP(C33/E33,0)</f>
        <v>#REF!</v>
      </c>
      <c r="H33" s="136"/>
      <c r="I33" s="52" t="e">
        <f t="shared" ref="I33:I38" si="12">E33*G33</f>
        <v>#REF!</v>
      </c>
      <c r="J33" s="7" t="s">
        <v>14</v>
      </c>
      <c r="K33" s="31" t="e">
        <f t="shared" si="10"/>
        <v>#REF!</v>
      </c>
    </row>
    <row r="34" spans="2:11" x14ac:dyDescent="0.25">
      <c r="B34" s="69" t="s">
        <v>21</v>
      </c>
      <c r="C34" s="52" t="e">
        <f>'1-Mermas y Desperdicios'!#REF!</f>
        <v>#REF!</v>
      </c>
      <c r="D34" s="7" t="s">
        <v>14</v>
      </c>
      <c r="E34" s="52" t="e">
        <f>'3-Capacidad real anual'!#REF!</f>
        <v>#REF!</v>
      </c>
      <c r="F34" s="7" t="s">
        <v>14</v>
      </c>
      <c r="G34" s="135" t="e">
        <f t="shared" si="11"/>
        <v>#REF!</v>
      </c>
      <c r="H34" s="136"/>
      <c r="I34" s="52" t="e">
        <f t="shared" si="12"/>
        <v>#REF!</v>
      </c>
      <c r="J34" s="7" t="s">
        <v>14</v>
      </c>
      <c r="K34" s="31" t="e">
        <f t="shared" si="10"/>
        <v>#REF!</v>
      </c>
    </row>
    <row r="35" spans="2:11" x14ac:dyDescent="0.25">
      <c r="B35" s="69" t="s">
        <v>20</v>
      </c>
      <c r="C35" s="52" t="e">
        <f>'1-Mermas y Desperdicios'!#REF!</f>
        <v>#REF!</v>
      </c>
      <c r="D35" s="7" t="s">
        <v>14</v>
      </c>
      <c r="E35" s="52" t="e">
        <f>'3-Capacidad real anual'!#REF!</f>
        <v>#REF!</v>
      </c>
      <c r="F35" s="7" t="s">
        <v>14</v>
      </c>
      <c r="G35" s="135" t="e">
        <f t="shared" si="11"/>
        <v>#REF!</v>
      </c>
      <c r="H35" s="136"/>
      <c r="I35" s="52" t="e">
        <f t="shared" si="12"/>
        <v>#REF!</v>
      </c>
      <c r="J35" s="7" t="s">
        <v>14</v>
      </c>
      <c r="K35" s="31" t="e">
        <f t="shared" si="10"/>
        <v>#REF!</v>
      </c>
    </row>
    <row r="36" spans="2:11" x14ac:dyDescent="0.25">
      <c r="B36" s="69" t="s">
        <v>19</v>
      </c>
      <c r="C36" s="52" t="e">
        <f>'1-Mermas y Desperdicios'!#REF!</f>
        <v>#REF!</v>
      </c>
      <c r="D36" s="7" t="s">
        <v>14</v>
      </c>
      <c r="E36" s="52" t="e">
        <f>'3-Capacidad real anual'!#REF!</f>
        <v>#REF!</v>
      </c>
      <c r="F36" s="7" t="s">
        <v>14</v>
      </c>
      <c r="G36" s="135" t="e">
        <f t="shared" si="11"/>
        <v>#REF!</v>
      </c>
      <c r="H36" s="136"/>
      <c r="I36" s="52" t="e">
        <f t="shared" si="12"/>
        <v>#REF!</v>
      </c>
      <c r="J36" s="7" t="s">
        <v>14</v>
      </c>
      <c r="K36" s="31" t="e">
        <f t="shared" si="10"/>
        <v>#REF!</v>
      </c>
    </row>
    <row r="37" spans="2:11" x14ac:dyDescent="0.25">
      <c r="B37" s="69" t="s">
        <v>18</v>
      </c>
      <c r="C37" s="52" t="e">
        <f>'1-Mermas y Desperdicios'!#REF!</f>
        <v>#REF!</v>
      </c>
      <c r="D37" s="7" t="s">
        <v>14</v>
      </c>
      <c r="E37" s="52" t="e">
        <f>'3-Capacidad real anual'!#REF!</f>
        <v>#REF!</v>
      </c>
      <c r="F37" s="7" t="s">
        <v>14</v>
      </c>
      <c r="G37" s="135" t="e">
        <f t="shared" si="11"/>
        <v>#REF!</v>
      </c>
      <c r="H37" s="136"/>
      <c r="I37" s="52" t="e">
        <f t="shared" si="12"/>
        <v>#REF!</v>
      </c>
      <c r="J37" s="7" t="s">
        <v>14</v>
      </c>
      <c r="K37" s="31" t="e">
        <f t="shared" si="10"/>
        <v>#REF!</v>
      </c>
    </row>
    <row r="38" spans="2:11" x14ac:dyDescent="0.25">
      <c r="B38" s="70" t="s">
        <v>37</v>
      </c>
      <c r="C38" s="52" t="e">
        <f>'1-Mermas y Desperdicios'!#REF!</f>
        <v>#REF!</v>
      </c>
      <c r="D38" s="7" t="s">
        <v>14</v>
      </c>
      <c r="E38" s="52" t="e">
        <f>'3-Capacidad real anual'!#REF!</f>
        <v>#REF!</v>
      </c>
      <c r="F38" s="7" t="s">
        <v>14</v>
      </c>
      <c r="G38" s="135" t="e">
        <f t="shared" si="11"/>
        <v>#REF!</v>
      </c>
      <c r="H38" s="136"/>
      <c r="I38" s="52" t="e">
        <f t="shared" si="12"/>
        <v>#REF!</v>
      </c>
      <c r="J38" s="7" t="s">
        <v>14</v>
      </c>
      <c r="K38" s="31" t="e">
        <f>(C38/I38)</f>
        <v>#REF!</v>
      </c>
    </row>
    <row r="42" spans="2:11" x14ac:dyDescent="0.25">
      <c r="B42" s="127" t="s">
        <v>3</v>
      </c>
      <c r="C42" s="128"/>
      <c r="D42" s="65"/>
      <c r="E42" s="65"/>
      <c r="F42" s="65"/>
      <c r="G42" s="65"/>
      <c r="H42" s="65"/>
      <c r="I42" s="65"/>
      <c r="J42" s="65"/>
      <c r="K42" s="65"/>
    </row>
    <row r="43" spans="2:11" ht="15" customHeight="1" x14ac:dyDescent="0.25">
      <c r="B43" s="120" t="s">
        <v>31</v>
      </c>
      <c r="C43" s="120" t="s">
        <v>38</v>
      </c>
      <c r="D43" s="120"/>
      <c r="E43" s="129" t="s">
        <v>39</v>
      </c>
      <c r="F43" s="130"/>
      <c r="G43" s="120" t="s">
        <v>40</v>
      </c>
      <c r="H43" s="120"/>
      <c r="I43" s="129" t="s">
        <v>41</v>
      </c>
      <c r="J43" s="130"/>
      <c r="K43" s="137" t="s">
        <v>52</v>
      </c>
    </row>
    <row r="44" spans="2:11" x14ac:dyDescent="0.25">
      <c r="B44" s="120"/>
      <c r="C44" s="120" t="s">
        <v>27</v>
      </c>
      <c r="D44" s="120"/>
      <c r="E44" s="131" t="s">
        <v>36</v>
      </c>
      <c r="F44" s="132"/>
      <c r="G44" s="120"/>
      <c r="H44" s="120"/>
      <c r="I44" s="131" t="s">
        <v>36</v>
      </c>
      <c r="J44" s="132"/>
      <c r="K44" s="138"/>
    </row>
    <row r="45" spans="2:11" x14ac:dyDescent="0.25">
      <c r="B45" s="120"/>
      <c r="C45" s="120" t="s">
        <v>24</v>
      </c>
      <c r="D45" s="120"/>
      <c r="E45" s="133"/>
      <c r="F45" s="134"/>
      <c r="G45" s="120"/>
      <c r="H45" s="120"/>
      <c r="I45" s="133"/>
      <c r="J45" s="134"/>
      <c r="K45" s="139"/>
    </row>
    <row r="46" spans="2:11" x14ac:dyDescent="0.25">
      <c r="B46" s="69" t="s">
        <v>23</v>
      </c>
      <c r="C46" s="52" t="e">
        <f>'1-Mermas y Desperdicios'!#REF!</f>
        <v>#REF!</v>
      </c>
      <c r="D46" s="7" t="s">
        <v>14</v>
      </c>
      <c r="E46" s="52" t="e">
        <f>'3-Capacidad real anual'!#REF!</f>
        <v>#REF!</v>
      </c>
      <c r="F46" s="7" t="s">
        <v>14</v>
      </c>
      <c r="G46" s="135" t="e">
        <f>ROUNDUP(C46/E46,0)</f>
        <v>#REF!</v>
      </c>
      <c r="H46" s="136"/>
      <c r="I46" s="52" t="e">
        <f>E46*G46</f>
        <v>#REF!</v>
      </c>
      <c r="J46" s="7" t="s">
        <v>14</v>
      </c>
      <c r="K46" s="31" t="e">
        <f t="shared" ref="K46:K51" si="13">(C46/I46)</f>
        <v>#REF!</v>
      </c>
    </row>
    <row r="47" spans="2:11" x14ac:dyDescent="0.25">
      <c r="B47" s="69" t="s">
        <v>22</v>
      </c>
      <c r="C47" s="52" t="e">
        <f>'1-Mermas y Desperdicios'!#REF!</f>
        <v>#REF!</v>
      </c>
      <c r="D47" s="7" t="s">
        <v>14</v>
      </c>
      <c r="E47" s="52" t="e">
        <f>'3-Capacidad real anual'!#REF!</f>
        <v>#REF!</v>
      </c>
      <c r="F47" s="7" t="s">
        <v>14</v>
      </c>
      <c r="G47" s="135" t="e">
        <f t="shared" ref="G47:G52" si="14">ROUNDUP(C47/E47,0)</f>
        <v>#REF!</v>
      </c>
      <c r="H47" s="136"/>
      <c r="I47" s="52" t="e">
        <f t="shared" ref="I47:I52" si="15">E47*G47</f>
        <v>#REF!</v>
      </c>
      <c r="J47" s="7" t="s">
        <v>14</v>
      </c>
      <c r="K47" s="31" t="e">
        <f t="shared" si="13"/>
        <v>#REF!</v>
      </c>
    </row>
    <row r="48" spans="2:11" x14ac:dyDescent="0.25">
      <c r="B48" s="69" t="s">
        <v>21</v>
      </c>
      <c r="C48" s="52" t="e">
        <f>'1-Mermas y Desperdicios'!#REF!</f>
        <v>#REF!</v>
      </c>
      <c r="D48" s="7" t="s">
        <v>14</v>
      </c>
      <c r="E48" s="52" t="e">
        <f>'3-Capacidad real anual'!#REF!</f>
        <v>#REF!</v>
      </c>
      <c r="F48" s="7" t="s">
        <v>14</v>
      </c>
      <c r="G48" s="135" t="e">
        <f t="shared" si="14"/>
        <v>#REF!</v>
      </c>
      <c r="H48" s="136"/>
      <c r="I48" s="52" t="e">
        <f t="shared" si="15"/>
        <v>#REF!</v>
      </c>
      <c r="J48" s="7" t="s">
        <v>14</v>
      </c>
      <c r="K48" s="31" t="e">
        <f t="shared" si="13"/>
        <v>#REF!</v>
      </c>
    </row>
    <row r="49" spans="2:11" x14ac:dyDescent="0.25">
      <c r="B49" s="69" t="s">
        <v>20</v>
      </c>
      <c r="C49" s="52" t="e">
        <f>'1-Mermas y Desperdicios'!#REF!</f>
        <v>#REF!</v>
      </c>
      <c r="D49" s="7" t="s">
        <v>14</v>
      </c>
      <c r="E49" s="52" t="e">
        <f>'3-Capacidad real anual'!#REF!</f>
        <v>#REF!</v>
      </c>
      <c r="F49" s="7" t="s">
        <v>14</v>
      </c>
      <c r="G49" s="135" t="e">
        <f t="shared" si="14"/>
        <v>#REF!</v>
      </c>
      <c r="H49" s="136"/>
      <c r="I49" s="52" t="e">
        <f t="shared" si="15"/>
        <v>#REF!</v>
      </c>
      <c r="J49" s="7" t="s">
        <v>14</v>
      </c>
      <c r="K49" s="31" t="e">
        <f t="shared" si="13"/>
        <v>#REF!</v>
      </c>
    </row>
    <row r="50" spans="2:11" x14ac:dyDescent="0.25">
      <c r="B50" s="69" t="s">
        <v>19</v>
      </c>
      <c r="C50" s="52" t="e">
        <f>'1-Mermas y Desperdicios'!#REF!</f>
        <v>#REF!</v>
      </c>
      <c r="D50" s="7" t="s">
        <v>14</v>
      </c>
      <c r="E50" s="52" t="e">
        <f>'3-Capacidad real anual'!#REF!</f>
        <v>#REF!</v>
      </c>
      <c r="F50" s="7" t="s">
        <v>14</v>
      </c>
      <c r="G50" s="135" t="e">
        <f t="shared" si="14"/>
        <v>#REF!</v>
      </c>
      <c r="H50" s="136"/>
      <c r="I50" s="52" t="e">
        <f t="shared" si="15"/>
        <v>#REF!</v>
      </c>
      <c r="J50" s="7" t="s">
        <v>14</v>
      </c>
      <c r="K50" s="31" t="e">
        <f t="shared" si="13"/>
        <v>#REF!</v>
      </c>
    </row>
    <row r="51" spans="2:11" x14ac:dyDescent="0.25">
      <c r="B51" s="69" t="s">
        <v>18</v>
      </c>
      <c r="C51" s="52" t="e">
        <f>'1-Mermas y Desperdicios'!#REF!</f>
        <v>#REF!</v>
      </c>
      <c r="D51" s="7" t="s">
        <v>14</v>
      </c>
      <c r="E51" s="52" t="e">
        <f>'3-Capacidad real anual'!#REF!</f>
        <v>#REF!</v>
      </c>
      <c r="F51" s="7" t="s">
        <v>14</v>
      </c>
      <c r="G51" s="135" t="e">
        <f t="shared" si="14"/>
        <v>#REF!</v>
      </c>
      <c r="H51" s="136"/>
      <c r="I51" s="52" t="e">
        <f t="shared" si="15"/>
        <v>#REF!</v>
      </c>
      <c r="J51" s="7" t="s">
        <v>14</v>
      </c>
      <c r="K51" s="31" t="e">
        <f t="shared" si="13"/>
        <v>#REF!</v>
      </c>
    </row>
    <row r="52" spans="2:11" x14ac:dyDescent="0.25">
      <c r="B52" s="70" t="s">
        <v>37</v>
      </c>
      <c r="C52" s="52" t="e">
        <f>'1-Mermas y Desperdicios'!#REF!</f>
        <v>#REF!</v>
      </c>
      <c r="D52" s="7" t="s">
        <v>14</v>
      </c>
      <c r="E52" s="52" t="e">
        <f>'3-Capacidad real anual'!#REF!</f>
        <v>#REF!</v>
      </c>
      <c r="F52" s="7" t="s">
        <v>14</v>
      </c>
      <c r="G52" s="135" t="e">
        <f t="shared" si="14"/>
        <v>#REF!</v>
      </c>
      <c r="H52" s="136"/>
      <c r="I52" s="52" t="e">
        <f t="shared" si="15"/>
        <v>#REF!</v>
      </c>
      <c r="J52" s="7" t="s">
        <v>14</v>
      </c>
      <c r="K52" s="31" t="e">
        <f>(C52/I52)</f>
        <v>#REF!</v>
      </c>
    </row>
    <row r="56" spans="2:11" x14ac:dyDescent="0.25">
      <c r="B56" s="127" t="s">
        <v>4</v>
      </c>
      <c r="C56" s="128"/>
      <c r="D56" s="65"/>
      <c r="E56" s="65"/>
      <c r="F56" s="65"/>
      <c r="G56" s="65"/>
      <c r="H56" s="65"/>
      <c r="I56" s="65"/>
      <c r="J56" s="65"/>
      <c r="K56" s="65"/>
    </row>
    <row r="57" spans="2:11" ht="15" customHeight="1" x14ac:dyDescent="0.25">
      <c r="B57" s="120" t="s">
        <v>31</v>
      </c>
      <c r="C57" s="120" t="s">
        <v>38</v>
      </c>
      <c r="D57" s="120"/>
      <c r="E57" s="129" t="s">
        <v>39</v>
      </c>
      <c r="F57" s="130"/>
      <c r="G57" s="120" t="s">
        <v>40</v>
      </c>
      <c r="H57" s="120"/>
      <c r="I57" s="129" t="s">
        <v>41</v>
      </c>
      <c r="J57" s="130"/>
      <c r="K57" s="137" t="s">
        <v>52</v>
      </c>
    </row>
    <row r="58" spans="2:11" x14ac:dyDescent="0.25">
      <c r="B58" s="120"/>
      <c r="C58" s="120" t="s">
        <v>27</v>
      </c>
      <c r="D58" s="120"/>
      <c r="E58" s="131" t="s">
        <v>36</v>
      </c>
      <c r="F58" s="132"/>
      <c r="G58" s="120"/>
      <c r="H58" s="120"/>
      <c r="I58" s="131" t="s">
        <v>36</v>
      </c>
      <c r="J58" s="132"/>
      <c r="K58" s="138"/>
    </row>
    <row r="59" spans="2:11" x14ac:dyDescent="0.25">
      <c r="B59" s="120"/>
      <c r="C59" s="120" t="s">
        <v>24</v>
      </c>
      <c r="D59" s="120"/>
      <c r="E59" s="133"/>
      <c r="F59" s="134"/>
      <c r="G59" s="120"/>
      <c r="H59" s="120"/>
      <c r="I59" s="133"/>
      <c r="J59" s="134"/>
      <c r="K59" s="139"/>
    </row>
    <row r="60" spans="2:11" x14ac:dyDescent="0.25">
      <c r="B60" s="69" t="s">
        <v>23</v>
      </c>
      <c r="C60" s="52" t="e">
        <f>'1-Mermas y Desperdicios'!#REF!</f>
        <v>#REF!</v>
      </c>
      <c r="D60" s="7" t="s">
        <v>14</v>
      </c>
      <c r="E60" s="52" t="e">
        <f>'3-Capacidad real anual'!#REF!</f>
        <v>#REF!</v>
      </c>
      <c r="F60" s="7" t="s">
        <v>14</v>
      </c>
      <c r="G60" s="135" t="e">
        <f>ROUNDUP(C60/E60,0)</f>
        <v>#REF!</v>
      </c>
      <c r="H60" s="136"/>
      <c r="I60" s="52" t="e">
        <f>E60*G60</f>
        <v>#REF!</v>
      </c>
      <c r="J60" s="7" t="s">
        <v>14</v>
      </c>
      <c r="K60" s="31" t="e">
        <f t="shared" ref="K60:K65" si="16">(C60/I60)</f>
        <v>#REF!</v>
      </c>
    </row>
    <row r="61" spans="2:11" x14ac:dyDescent="0.25">
      <c r="B61" s="69" t="s">
        <v>22</v>
      </c>
      <c r="C61" s="52" t="e">
        <f>'1-Mermas y Desperdicios'!#REF!</f>
        <v>#REF!</v>
      </c>
      <c r="D61" s="7" t="s">
        <v>14</v>
      </c>
      <c r="E61" s="52" t="e">
        <f>'3-Capacidad real anual'!#REF!</f>
        <v>#REF!</v>
      </c>
      <c r="F61" s="7" t="s">
        <v>14</v>
      </c>
      <c r="G61" s="135" t="e">
        <f t="shared" ref="G61:G66" si="17">ROUNDUP(C61/E61,0)</f>
        <v>#REF!</v>
      </c>
      <c r="H61" s="136"/>
      <c r="I61" s="52" t="e">
        <f t="shared" ref="I61:I66" si="18">E61*G61</f>
        <v>#REF!</v>
      </c>
      <c r="J61" s="7" t="s">
        <v>14</v>
      </c>
      <c r="K61" s="31" t="e">
        <f t="shared" si="16"/>
        <v>#REF!</v>
      </c>
    </row>
    <row r="62" spans="2:11" x14ac:dyDescent="0.25">
      <c r="B62" s="69" t="s">
        <v>21</v>
      </c>
      <c r="C62" s="52" t="e">
        <f>'1-Mermas y Desperdicios'!#REF!</f>
        <v>#REF!</v>
      </c>
      <c r="D62" s="7" t="s">
        <v>14</v>
      </c>
      <c r="E62" s="52" t="e">
        <f>'3-Capacidad real anual'!#REF!</f>
        <v>#REF!</v>
      </c>
      <c r="F62" s="7" t="s">
        <v>14</v>
      </c>
      <c r="G62" s="135" t="e">
        <f t="shared" si="17"/>
        <v>#REF!</v>
      </c>
      <c r="H62" s="136"/>
      <c r="I62" s="52" t="e">
        <f t="shared" si="18"/>
        <v>#REF!</v>
      </c>
      <c r="J62" s="7" t="s">
        <v>14</v>
      </c>
      <c r="K62" s="31" t="e">
        <f t="shared" si="16"/>
        <v>#REF!</v>
      </c>
    </row>
    <row r="63" spans="2:11" x14ac:dyDescent="0.25">
      <c r="B63" s="69" t="s">
        <v>20</v>
      </c>
      <c r="C63" s="52" t="e">
        <f>'1-Mermas y Desperdicios'!#REF!</f>
        <v>#REF!</v>
      </c>
      <c r="D63" s="7" t="s">
        <v>14</v>
      </c>
      <c r="E63" s="52" t="e">
        <f>'3-Capacidad real anual'!#REF!</f>
        <v>#REF!</v>
      </c>
      <c r="F63" s="7" t="s">
        <v>14</v>
      </c>
      <c r="G63" s="135" t="e">
        <f t="shared" si="17"/>
        <v>#REF!</v>
      </c>
      <c r="H63" s="136"/>
      <c r="I63" s="52" t="e">
        <f t="shared" si="18"/>
        <v>#REF!</v>
      </c>
      <c r="J63" s="7" t="s">
        <v>14</v>
      </c>
      <c r="K63" s="31" t="e">
        <f t="shared" si="16"/>
        <v>#REF!</v>
      </c>
    </row>
    <row r="64" spans="2:11" x14ac:dyDescent="0.25">
      <c r="B64" s="69" t="s">
        <v>19</v>
      </c>
      <c r="C64" s="52" t="e">
        <f>'1-Mermas y Desperdicios'!#REF!</f>
        <v>#REF!</v>
      </c>
      <c r="D64" s="7" t="s">
        <v>14</v>
      </c>
      <c r="E64" s="52" t="e">
        <f>'3-Capacidad real anual'!#REF!</f>
        <v>#REF!</v>
      </c>
      <c r="F64" s="7" t="s">
        <v>14</v>
      </c>
      <c r="G64" s="135" t="e">
        <f t="shared" si="17"/>
        <v>#REF!</v>
      </c>
      <c r="H64" s="136"/>
      <c r="I64" s="52" t="e">
        <f t="shared" si="18"/>
        <v>#REF!</v>
      </c>
      <c r="J64" s="7" t="s">
        <v>14</v>
      </c>
      <c r="K64" s="31" t="e">
        <f t="shared" si="16"/>
        <v>#REF!</v>
      </c>
    </row>
    <row r="65" spans="2:11" x14ac:dyDescent="0.25">
      <c r="B65" s="69" t="s">
        <v>18</v>
      </c>
      <c r="C65" s="52" t="e">
        <f>'1-Mermas y Desperdicios'!#REF!</f>
        <v>#REF!</v>
      </c>
      <c r="D65" s="7" t="s">
        <v>14</v>
      </c>
      <c r="E65" s="52" t="e">
        <f>'3-Capacidad real anual'!#REF!</f>
        <v>#REF!</v>
      </c>
      <c r="F65" s="7" t="s">
        <v>14</v>
      </c>
      <c r="G65" s="135" t="e">
        <f t="shared" si="17"/>
        <v>#REF!</v>
      </c>
      <c r="H65" s="136"/>
      <c r="I65" s="52" t="e">
        <f t="shared" si="18"/>
        <v>#REF!</v>
      </c>
      <c r="J65" s="7" t="s">
        <v>14</v>
      </c>
      <c r="K65" s="31" t="e">
        <f t="shared" si="16"/>
        <v>#REF!</v>
      </c>
    </row>
    <row r="66" spans="2:11" x14ac:dyDescent="0.25">
      <c r="B66" s="70" t="s">
        <v>37</v>
      </c>
      <c r="C66" s="52" t="e">
        <f>'1-Mermas y Desperdicios'!#REF!</f>
        <v>#REF!</v>
      </c>
      <c r="D66" s="7" t="s">
        <v>14</v>
      </c>
      <c r="E66" s="52" t="e">
        <f>'3-Capacidad real anual'!#REF!</f>
        <v>#REF!</v>
      </c>
      <c r="F66" s="7" t="s">
        <v>14</v>
      </c>
      <c r="G66" s="135" t="e">
        <f t="shared" si="17"/>
        <v>#REF!</v>
      </c>
      <c r="H66" s="136"/>
      <c r="I66" s="52" t="e">
        <f t="shared" si="18"/>
        <v>#REF!</v>
      </c>
      <c r="J66" s="7" t="s">
        <v>14</v>
      </c>
      <c r="K66" s="31" t="e">
        <f>(C66/I66)</f>
        <v>#REF!</v>
      </c>
    </row>
    <row r="70" spans="2:11" x14ac:dyDescent="0.25">
      <c r="B70" s="127" t="s">
        <v>10</v>
      </c>
      <c r="C70" s="128"/>
      <c r="D70" s="65"/>
      <c r="E70" s="65"/>
      <c r="F70" s="65"/>
      <c r="G70" s="65"/>
      <c r="H70" s="65"/>
      <c r="I70" s="65"/>
      <c r="J70" s="65"/>
      <c r="K70" s="65"/>
    </row>
    <row r="71" spans="2:11" ht="15" customHeight="1" x14ac:dyDescent="0.25">
      <c r="B71" s="120" t="s">
        <v>31</v>
      </c>
      <c r="C71" s="120" t="s">
        <v>38</v>
      </c>
      <c r="D71" s="120"/>
      <c r="E71" s="129" t="s">
        <v>39</v>
      </c>
      <c r="F71" s="130"/>
      <c r="G71" s="120" t="s">
        <v>40</v>
      </c>
      <c r="H71" s="120"/>
      <c r="I71" s="129" t="s">
        <v>41</v>
      </c>
      <c r="J71" s="130"/>
      <c r="K71" s="137" t="s">
        <v>52</v>
      </c>
    </row>
    <row r="72" spans="2:11" x14ac:dyDescent="0.25">
      <c r="B72" s="120"/>
      <c r="C72" s="120" t="s">
        <v>27</v>
      </c>
      <c r="D72" s="120"/>
      <c r="E72" s="131" t="s">
        <v>36</v>
      </c>
      <c r="F72" s="132"/>
      <c r="G72" s="120"/>
      <c r="H72" s="120"/>
      <c r="I72" s="131" t="s">
        <v>36</v>
      </c>
      <c r="J72" s="132"/>
      <c r="K72" s="138"/>
    </row>
    <row r="73" spans="2:11" x14ac:dyDescent="0.25">
      <c r="B73" s="120"/>
      <c r="C73" s="120" t="s">
        <v>24</v>
      </c>
      <c r="D73" s="120"/>
      <c r="E73" s="133"/>
      <c r="F73" s="134"/>
      <c r="G73" s="120"/>
      <c r="H73" s="120"/>
      <c r="I73" s="133"/>
      <c r="J73" s="134"/>
      <c r="K73" s="139"/>
    </row>
    <row r="74" spans="2:11" x14ac:dyDescent="0.25">
      <c r="B74" s="69" t="s">
        <v>23</v>
      </c>
      <c r="C74" s="52" t="e">
        <f>'1-Mermas y Desperdicios'!#REF!</f>
        <v>#REF!</v>
      </c>
      <c r="D74" s="7" t="s">
        <v>14</v>
      </c>
      <c r="E74" s="52" t="e">
        <f>'3-Capacidad real anual'!#REF!</f>
        <v>#REF!</v>
      </c>
      <c r="F74" s="7" t="s">
        <v>14</v>
      </c>
      <c r="G74" s="135" t="e">
        <f>ROUNDUP(C74/E74,0)</f>
        <v>#REF!</v>
      </c>
      <c r="H74" s="136"/>
      <c r="I74" s="52" t="e">
        <f>E74*G74</f>
        <v>#REF!</v>
      </c>
      <c r="J74" s="7" t="s">
        <v>14</v>
      </c>
      <c r="K74" s="31" t="e">
        <f t="shared" ref="K74:K79" si="19">(C74/I74)</f>
        <v>#REF!</v>
      </c>
    </row>
    <row r="75" spans="2:11" x14ac:dyDescent="0.25">
      <c r="B75" s="69" t="s">
        <v>22</v>
      </c>
      <c r="C75" s="52" t="e">
        <f>'1-Mermas y Desperdicios'!#REF!</f>
        <v>#REF!</v>
      </c>
      <c r="D75" s="7" t="s">
        <v>14</v>
      </c>
      <c r="E75" s="52" t="e">
        <f>'3-Capacidad real anual'!#REF!</f>
        <v>#REF!</v>
      </c>
      <c r="F75" s="7" t="s">
        <v>14</v>
      </c>
      <c r="G75" s="135" t="e">
        <f t="shared" ref="G75:G80" si="20">ROUNDUP(C75/E75,0)</f>
        <v>#REF!</v>
      </c>
      <c r="H75" s="136"/>
      <c r="I75" s="52" t="e">
        <f t="shared" ref="I75:I80" si="21">E75*G75</f>
        <v>#REF!</v>
      </c>
      <c r="J75" s="7" t="s">
        <v>14</v>
      </c>
      <c r="K75" s="31" t="e">
        <f t="shared" si="19"/>
        <v>#REF!</v>
      </c>
    </row>
    <row r="76" spans="2:11" x14ac:dyDescent="0.25">
      <c r="B76" s="69" t="s">
        <v>21</v>
      </c>
      <c r="C76" s="52" t="e">
        <f>'1-Mermas y Desperdicios'!#REF!</f>
        <v>#REF!</v>
      </c>
      <c r="D76" s="7" t="s">
        <v>14</v>
      </c>
      <c r="E76" s="52" t="e">
        <f>'3-Capacidad real anual'!#REF!</f>
        <v>#REF!</v>
      </c>
      <c r="F76" s="7" t="s">
        <v>14</v>
      </c>
      <c r="G76" s="135" t="e">
        <f t="shared" si="20"/>
        <v>#REF!</v>
      </c>
      <c r="H76" s="136"/>
      <c r="I76" s="52" t="e">
        <f t="shared" si="21"/>
        <v>#REF!</v>
      </c>
      <c r="J76" s="7" t="s">
        <v>14</v>
      </c>
      <c r="K76" s="31" t="e">
        <f t="shared" si="19"/>
        <v>#REF!</v>
      </c>
    </row>
    <row r="77" spans="2:11" x14ac:dyDescent="0.25">
      <c r="B77" s="69" t="s">
        <v>20</v>
      </c>
      <c r="C77" s="52" t="e">
        <f>'1-Mermas y Desperdicios'!#REF!</f>
        <v>#REF!</v>
      </c>
      <c r="D77" s="7" t="s">
        <v>14</v>
      </c>
      <c r="E77" s="52" t="e">
        <f>'3-Capacidad real anual'!#REF!</f>
        <v>#REF!</v>
      </c>
      <c r="F77" s="7" t="s">
        <v>14</v>
      </c>
      <c r="G77" s="135" t="e">
        <f t="shared" si="20"/>
        <v>#REF!</v>
      </c>
      <c r="H77" s="136"/>
      <c r="I77" s="52" t="e">
        <f t="shared" si="21"/>
        <v>#REF!</v>
      </c>
      <c r="J77" s="7" t="s">
        <v>14</v>
      </c>
      <c r="K77" s="31" t="e">
        <f t="shared" si="19"/>
        <v>#REF!</v>
      </c>
    </row>
    <row r="78" spans="2:11" x14ac:dyDescent="0.25">
      <c r="B78" s="69" t="s">
        <v>19</v>
      </c>
      <c r="C78" s="52" t="e">
        <f>'1-Mermas y Desperdicios'!#REF!</f>
        <v>#REF!</v>
      </c>
      <c r="D78" s="7" t="s">
        <v>14</v>
      </c>
      <c r="E78" s="52" t="e">
        <f>'3-Capacidad real anual'!#REF!</f>
        <v>#REF!</v>
      </c>
      <c r="F78" s="7" t="s">
        <v>14</v>
      </c>
      <c r="G78" s="135" t="e">
        <f t="shared" si="20"/>
        <v>#REF!</v>
      </c>
      <c r="H78" s="136"/>
      <c r="I78" s="52" t="e">
        <f t="shared" si="21"/>
        <v>#REF!</v>
      </c>
      <c r="J78" s="7" t="s">
        <v>14</v>
      </c>
      <c r="K78" s="31" t="e">
        <f t="shared" si="19"/>
        <v>#REF!</v>
      </c>
    </row>
    <row r="79" spans="2:11" x14ac:dyDescent="0.25">
      <c r="B79" s="69" t="s">
        <v>18</v>
      </c>
      <c r="C79" s="52" t="e">
        <f>'1-Mermas y Desperdicios'!#REF!</f>
        <v>#REF!</v>
      </c>
      <c r="D79" s="7" t="s">
        <v>14</v>
      </c>
      <c r="E79" s="52" t="e">
        <f>'3-Capacidad real anual'!#REF!</f>
        <v>#REF!</v>
      </c>
      <c r="F79" s="7" t="s">
        <v>14</v>
      </c>
      <c r="G79" s="135" t="e">
        <f t="shared" si="20"/>
        <v>#REF!</v>
      </c>
      <c r="H79" s="136"/>
      <c r="I79" s="52" t="e">
        <f t="shared" si="21"/>
        <v>#REF!</v>
      </c>
      <c r="J79" s="7" t="s">
        <v>14</v>
      </c>
      <c r="K79" s="31" t="e">
        <f t="shared" si="19"/>
        <v>#REF!</v>
      </c>
    </row>
    <row r="80" spans="2:11" x14ac:dyDescent="0.25">
      <c r="B80" s="70" t="s">
        <v>37</v>
      </c>
      <c r="C80" s="52" t="e">
        <f>'1-Mermas y Desperdicios'!#REF!</f>
        <v>#REF!</v>
      </c>
      <c r="D80" s="7" t="s">
        <v>14</v>
      </c>
      <c r="E80" s="52" t="e">
        <f>'3-Capacidad real anual'!#REF!</f>
        <v>#REF!</v>
      </c>
      <c r="F80" s="7" t="s">
        <v>14</v>
      </c>
      <c r="G80" s="135" t="e">
        <f t="shared" si="20"/>
        <v>#REF!</v>
      </c>
      <c r="H80" s="136"/>
      <c r="I80" s="52" t="e">
        <f t="shared" si="21"/>
        <v>#REF!</v>
      </c>
      <c r="J80" s="7" t="s">
        <v>14</v>
      </c>
      <c r="K80" s="31" t="e">
        <f>(C80/I80)</f>
        <v>#REF!</v>
      </c>
    </row>
  </sheetData>
  <mergeCells count="101">
    <mergeCell ref="Y3:Y5"/>
    <mergeCell ref="Z3:Z5"/>
    <mergeCell ref="J26:S26"/>
    <mergeCell ref="M17:N19"/>
    <mergeCell ref="O17:P19"/>
    <mergeCell ref="Q17:R19"/>
    <mergeCell ref="G18:H18"/>
    <mergeCell ref="G19:H19"/>
    <mergeCell ref="G20:H20"/>
    <mergeCell ref="I15:J17"/>
    <mergeCell ref="K15:K17"/>
    <mergeCell ref="G24:H24"/>
    <mergeCell ref="S17:S19"/>
    <mergeCell ref="G21:H21"/>
    <mergeCell ref="G22:H22"/>
    <mergeCell ref="G23:H23"/>
    <mergeCell ref="G15:H17"/>
    <mergeCell ref="K3:K5"/>
    <mergeCell ref="B2:C2"/>
    <mergeCell ref="B14:C14"/>
    <mergeCell ref="I3:J5"/>
    <mergeCell ref="B15:B17"/>
    <mergeCell ref="C15:D17"/>
    <mergeCell ref="E15:F17"/>
    <mergeCell ref="G6:H6"/>
    <mergeCell ref="G7:H7"/>
    <mergeCell ref="G8:H8"/>
    <mergeCell ref="G9:H9"/>
    <mergeCell ref="G10:H10"/>
    <mergeCell ref="B3:B5"/>
    <mergeCell ref="C3:D5"/>
    <mergeCell ref="E3:F5"/>
    <mergeCell ref="G3:H5"/>
    <mergeCell ref="B28:C28"/>
    <mergeCell ref="B29:B31"/>
    <mergeCell ref="C29:D31"/>
    <mergeCell ref="E29:F31"/>
    <mergeCell ref="K29:K31"/>
    <mergeCell ref="G29:H31"/>
    <mergeCell ref="K43:K45"/>
    <mergeCell ref="G46:H46"/>
    <mergeCell ref="G47:H47"/>
    <mergeCell ref="B42:C42"/>
    <mergeCell ref="I29:J31"/>
    <mergeCell ref="G36:H36"/>
    <mergeCell ref="G37:H37"/>
    <mergeCell ref="G38:H38"/>
    <mergeCell ref="G35:H35"/>
    <mergeCell ref="G32:H32"/>
    <mergeCell ref="G33:H33"/>
    <mergeCell ref="G34:H34"/>
    <mergeCell ref="G48:H48"/>
    <mergeCell ref="I43:J45"/>
    <mergeCell ref="G49:H49"/>
    <mergeCell ref="B43:B45"/>
    <mergeCell ref="C43:D45"/>
    <mergeCell ref="E43:F45"/>
    <mergeCell ref="G43:H45"/>
    <mergeCell ref="G50:H50"/>
    <mergeCell ref="G51:H51"/>
    <mergeCell ref="G52:H52"/>
    <mergeCell ref="B56:C56"/>
    <mergeCell ref="B70:C70"/>
    <mergeCell ref="G63:H63"/>
    <mergeCell ref="G64:H64"/>
    <mergeCell ref="G65:H65"/>
    <mergeCell ref="G66:H66"/>
    <mergeCell ref="K57:K59"/>
    <mergeCell ref="G60:H60"/>
    <mergeCell ref="G61:H61"/>
    <mergeCell ref="G62:H62"/>
    <mergeCell ref="B57:B59"/>
    <mergeCell ref="C57:D59"/>
    <mergeCell ref="E57:F59"/>
    <mergeCell ref="G57:H59"/>
    <mergeCell ref="I57:J59"/>
    <mergeCell ref="B71:B73"/>
    <mergeCell ref="C71:D73"/>
    <mergeCell ref="E71:F73"/>
    <mergeCell ref="G71:H73"/>
    <mergeCell ref="G78:H78"/>
    <mergeCell ref="G80:H80"/>
    <mergeCell ref="K71:K73"/>
    <mergeCell ref="G74:H74"/>
    <mergeCell ref="G75:H75"/>
    <mergeCell ref="G76:H76"/>
    <mergeCell ref="G77:H77"/>
    <mergeCell ref="I71:J73"/>
    <mergeCell ref="G79:H79"/>
    <mergeCell ref="N2:O2"/>
    <mergeCell ref="N3:N5"/>
    <mergeCell ref="O3:P5"/>
    <mergeCell ref="Q3:R5"/>
    <mergeCell ref="S3:T5"/>
    <mergeCell ref="S9:T9"/>
    <mergeCell ref="S10:T10"/>
    <mergeCell ref="U3:V5"/>
    <mergeCell ref="W3:W5"/>
    <mergeCell ref="S6:T6"/>
    <mergeCell ref="S7:T7"/>
    <mergeCell ref="S8:T8"/>
  </mergeCells>
  <phoneticPr fontId="0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2"/>
  <sheetViews>
    <sheetView workbookViewId="0">
      <selection activeCell="L19" sqref="L19"/>
    </sheetView>
  </sheetViews>
  <sheetFormatPr defaultColWidth="11.42578125" defaultRowHeight="15" x14ac:dyDescent="0.25"/>
  <cols>
    <col min="1" max="2" width="11.42578125" style="1"/>
    <col min="3" max="4" width="7.85546875" style="1" customWidth="1"/>
    <col min="5" max="7" width="9.7109375" style="1" customWidth="1"/>
    <col min="8" max="10" width="9.7109375" style="22" customWidth="1"/>
    <col min="11" max="12" width="9.7109375" style="1" customWidth="1"/>
    <col min="13" max="14" width="11.42578125" style="1"/>
    <col min="15" max="15" width="22.5703125" style="1" customWidth="1"/>
    <col min="16" max="16" width="17.42578125" style="1" customWidth="1"/>
    <col min="17" max="16384" width="11.42578125" style="1"/>
  </cols>
  <sheetData>
    <row r="2" spans="2:16" ht="76.5" x14ac:dyDescent="0.25">
      <c r="B2" s="69" t="s">
        <v>42</v>
      </c>
      <c r="C2" s="71" t="s">
        <v>43</v>
      </c>
      <c r="D2" s="71" t="s">
        <v>44</v>
      </c>
      <c r="E2" s="71" t="s">
        <v>45</v>
      </c>
      <c r="F2" s="71" t="s">
        <v>46</v>
      </c>
      <c r="G2" s="72" t="s">
        <v>47</v>
      </c>
      <c r="H2" s="21"/>
    </row>
    <row r="3" spans="2:16" ht="15" customHeight="1" x14ac:dyDescent="0.25">
      <c r="B3" s="69">
        <v>1</v>
      </c>
      <c r="C3" s="58">
        <v>0</v>
      </c>
      <c r="D3" s="58">
        <v>0</v>
      </c>
      <c r="E3" s="94">
        <f>(D3+C3)/2</f>
        <v>0</v>
      </c>
      <c r="F3" s="58">
        <f>'1-Mermas y Desperdicios'!J11/'2-Horas Laborables'!$D$9</f>
        <v>1700.9537259615383</v>
      </c>
      <c r="G3" s="52">
        <f>(F3*E3)/100</f>
        <v>0</v>
      </c>
      <c r="J3" s="77"/>
      <c r="O3" s="93"/>
      <c r="P3" s="58"/>
    </row>
    <row r="4" spans="2:16" x14ac:dyDescent="0.25">
      <c r="B4" s="69">
        <v>2</v>
      </c>
      <c r="C4" s="58">
        <v>0</v>
      </c>
      <c r="D4" s="58">
        <v>0</v>
      </c>
      <c r="E4" s="94">
        <f t="shared" ref="E4:E6" si="0">(D4+C4)/2</f>
        <v>0</v>
      </c>
      <c r="F4" s="58">
        <v>1700.9537259615383</v>
      </c>
      <c r="G4" s="52">
        <f t="shared" ref="G4:G6" si="1">(F4*E4)/100</f>
        <v>0</v>
      </c>
      <c r="J4" s="99"/>
    </row>
    <row r="5" spans="2:16" x14ac:dyDescent="0.25">
      <c r="B5" s="69">
        <v>3</v>
      </c>
      <c r="C5" s="58">
        <v>0</v>
      </c>
      <c r="D5" s="58">
        <v>70</v>
      </c>
      <c r="E5" s="94">
        <f t="shared" si="0"/>
        <v>35</v>
      </c>
      <c r="F5" s="58">
        <v>1700.9537259615383</v>
      </c>
      <c r="G5" s="52">
        <f t="shared" si="1"/>
        <v>595.33380408653841</v>
      </c>
      <c r="J5" s="98"/>
      <c r="K5" s="101"/>
      <c r="M5" s="50"/>
    </row>
    <row r="6" spans="2:16" x14ac:dyDescent="0.25">
      <c r="B6" s="73">
        <v>4</v>
      </c>
      <c r="C6" s="58">
        <v>70</v>
      </c>
      <c r="D6" s="58">
        <v>100</v>
      </c>
      <c r="E6" s="94">
        <f t="shared" si="0"/>
        <v>85</v>
      </c>
      <c r="F6" s="58">
        <v>1700.9537259615383</v>
      </c>
      <c r="G6" s="52">
        <f t="shared" si="1"/>
        <v>1445.8106670673076</v>
      </c>
      <c r="M6" s="50"/>
      <c r="N6" s="50"/>
    </row>
    <row r="7" spans="2:16" x14ac:dyDescent="0.25">
      <c r="C7" s="51"/>
      <c r="D7" s="51"/>
      <c r="E7" s="51"/>
      <c r="F7" s="62" t="s">
        <v>5</v>
      </c>
      <c r="G7" s="62">
        <f>SUM(G3:G6)</f>
        <v>2041.1444711538461</v>
      </c>
      <c r="M7" s="100"/>
    </row>
    <row r="8" spans="2:16" x14ac:dyDescent="0.25">
      <c r="M8" s="100"/>
    </row>
    <row r="12" spans="2:16" x14ac:dyDescent="0.25">
      <c r="F12" s="61"/>
    </row>
  </sheetData>
  <phoneticPr fontId="0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workbookViewId="0">
      <selection activeCell="K15" sqref="K15:K16"/>
    </sheetView>
  </sheetViews>
  <sheetFormatPr defaultColWidth="11.42578125" defaultRowHeight="15" x14ac:dyDescent="0.25"/>
  <cols>
    <col min="1" max="1" width="11.42578125" style="1"/>
    <col min="2" max="2" width="25.7109375" style="1" bestFit="1" customWidth="1"/>
    <col min="3" max="3" width="11" style="22" customWidth="1"/>
    <col min="4" max="4" width="12.5703125" style="22" customWidth="1"/>
    <col min="5" max="5" width="11.5703125" style="22" customWidth="1"/>
    <col min="6" max="6" width="13" style="22" customWidth="1"/>
    <col min="7" max="7" width="11.42578125" style="1"/>
    <col min="8" max="8" width="19.85546875" style="1" customWidth="1"/>
    <col min="9" max="9" width="11.140625" style="1" customWidth="1"/>
    <col min="10" max="10" width="15" style="1" bestFit="1" customWidth="1"/>
    <col min="11" max="16384" width="11.42578125" style="1"/>
  </cols>
  <sheetData>
    <row r="2" spans="2:11" ht="15.75" thickBot="1" x14ac:dyDescent="0.3"/>
    <row r="3" spans="2:11" ht="35.25" customHeight="1" x14ac:dyDescent="0.25">
      <c r="B3" s="103" t="s">
        <v>82</v>
      </c>
      <c r="C3" s="104" t="s">
        <v>57</v>
      </c>
      <c r="D3" s="104" t="s">
        <v>81</v>
      </c>
      <c r="E3" s="105" t="s">
        <v>0</v>
      </c>
      <c r="F3" s="106" t="s">
        <v>78</v>
      </c>
    </row>
    <row r="4" spans="2:11" x14ac:dyDescent="0.25">
      <c r="B4" s="74" t="s">
        <v>53</v>
      </c>
      <c r="C4" s="95" t="s">
        <v>79</v>
      </c>
      <c r="D4" s="82"/>
      <c r="E4" s="82">
        <f>+E6-E5</f>
        <v>381527.247706422</v>
      </c>
      <c r="F4" s="78">
        <v>404341</v>
      </c>
      <c r="I4" s="82"/>
    </row>
    <row r="5" spans="2:11" x14ac:dyDescent="0.25">
      <c r="B5" s="74" t="s">
        <v>54</v>
      </c>
      <c r="C5" s="95" t="s">
        <v>79</v>
      </c>
      <c r="D5" s="82"/>
      <c r="E5" s="82">
        <f>J8</f>
        <v>18547.752293577982</v>
      </c>
      <c r="F5" s="78">
        <f>+E5</f>
        <v>18547.752293577982</v>
      </c>
    </row>
    <row r="6" spans="2:11" x14ac:dyDescent="0.25">
      <c r="B6" s="74" t="s">
        <v>11</v>
      </c>
      <c r="C6" s="95" t="s">
        <v>79</v>
      </c>
      <c r="D6" s="82"/>
      <c r="E6" s="82">
        <f>H12+I12</f>
        <v>400075</v>
      </c>
      <c r="F6" s="78">
        <v>404341</v>
      </c>
    </row>
    <row r="7" spans="2:11" x14ac:dyDescent="0.25">
      <c r="B7" s="74" t="s">
        <v>49</v>
      </c>
      <c r="C7" s="95" t="s">
        <v>79</v>
      </c>
      <c r="D7" s="82"/>
      <c r="E7" s="82">
        <v>7405.52</v>
      </c>
      <c r="F7" s="78">
        <v>7446.2278208499765</v>
      </c>
      <c r="H7" s="113" t="s">
        <v>83</v>
      </c>
      <c r="I7" s="113" t="s">
        <v>86</v>
      </c>
      <c r="J7" s="113" t="s">
        <v>48</v>
      </c>
    </row>
    <row r="8" spans="2:11" x14ac:dyDescent="0.25">
      <c r="B8" s="74" t="s">
        <v>55</v>
      </c>
      <c r="C8" s="95" t="s">
        <v>79</v>
      </c>
      <c r="D8" s="82"/>
      <c r="E8" s="82">
        <f>H18*I18</f>
        <v>3402</v>
      </c>
      <c r="F8" s="83">
        <f>E8</f>
        <v>3402</v>
      </c>
      <c r="H8" s="24">
        <v>10.9</v>
      </c>
      <c r="I8" s="83">
        <f>+(F4/H8)</f>
        <v>37095.504587155963</v>
      </c>
      <c r="J8" s="83">
        <f>+I8/2</f>
        <v>18547.752293577982</v>
      </c>
    </row>
    <row r="9" spans="2:11" x14ac:dyDescent="0.25">
      <c r="B9" s="74" t="s">
        <v>80</v>
      </c>
      <c r="C9" s="95" t="s">
        <v>79</v>
      </c>
      <c r="D9" s="82"/>
      <c r="E9" s="82">
        <f>+E8+E7+E6</f>
        <v>410882.52</v>
      </c>
      <c r="F9" s="78">
        <f>+F7+F6</f>
        <v>411787.22782084998</v>
      </c>
      <c r="G9" s="51"/>
      <c r="H9" s="12"/>
      <c r="I9" s="112"/>
      <c r="J9" s="112"/>
    </row>
    <row r="10" spans="2:11" x14ac:dyDescent="0.25">
      <c r="B10" s="74" t="s">
        <v>65</v>
      </c>
      <c r="C10" s="95" t="s">
        <v>79</v>
      </c>
      <c r="D10" s="82">
        <v>2200</v>
      </c>
      <c r="E10" s="82">
        <v>51473</v>
      </c>
      <c r="F10" s="78">
        <v>51473</v>
      </c>
      <c r="H10" s="143" t="s">
        <v>87</v>
      </c>
      <c r="I10" s="143" t="s">
        <v>88</v>
      </c>
    </row>
    <row r="11" spans="2:11" ht="15.75" thickBot="1" x14ac:dyDescent="0.3">
      <c r="B11" s="75" t="s">
        <v>56</v>
      </c>
      <c r="C11" s="102" t="s">
        <v>79</v>
      </c>
      <c r="D11" s="59">
        <v>2200</v>
      </c>
      <c r="E11" s="59">
        <f>+E10-D10+E9</f>
        <v>460155.52</v>
      </c>
      <c r="F11" s="79">
        <f>+F10-E10+F9</f>
        <v>411787.22782084998</v>
      </c>
      <c r="H11" s="143"/>
      <c r="I11" s="143"/>
    </row>
    <row r="12" spans="2:11" x14ac:dyDescent="0.25">
      <c r="B12" s="116"/>
      <c r="C12" s="117"/>
      <c r="D12" s="112"/>
      <c r="E12" s="112"/>
      <c r="F12" s="112"/>
      <c r="H12" s="118">
        <v>2041</v>
      </c>
      <c r="I12" s="84">
        <f>1701*234</f>
        <v>398034</v>
      </c>
    </row>
    <row r="14" spans="2:11" x14ac:dyDescent="0.25">
      <c r="D14" s="77"/>
      <c r="E14" s="77"/>
      <c r="F14" s="77"/>
    </row>
    <row r="15" spans="2:11" x14ac:dyDescent="0.25">
      <c r="D15" s="77"/>
      <c r="E15" s="77"/>
      <c r="F15" s="77"/>
      <c r="I15" s="108"/>
      <c r="J15" s="108"/>
      <c r="K15" s="108"/>
    </row>
    <row r="16" spans="2:11" x14ac:dyDescent="0.25">
      <c r="D16" s="77"/>
      <c r="E16" s="77"/>
      <c r="F16" s="77"/>
      <c r="H16" s="143" t="s">
        <v>90</v>
      </c>
      <c r="I16" s="143" t="s">
        <v>89</v>
      </c>
      <c r="J16" s="108"/>
      <c r="K16" s="108"/>
    </row>
    <row r="17" spans="2:11" x14ac:dyDescent="0.25">
      <c r="B17" s="80"/>
      <c r="D17" s="77"/>
      <c r="E17" s="77"/>
      <c r="F17" s="77"/>
      <c r="H17" s="143"/>
      <c r="I17" s="143"/>
      <c r="J17" s="108"/>
      <c r="K17" s="108"/>
    </row>
    <row r="18" spans="2:11" x14ac:dyDescent="0.25">
      <c r="B18" s="80"/>
      <c r="D18" s="77"/>
      <c r="E18" s="77"/>
      <c r="F18" s="77"/>
      <c r="H18" s="84">
        <v>2</v>
      </c>
      <c r="I18" s="84">
        <v>1701</v>
      </c>
    </row>
    <row r="19" spans="2:11" x14ac:dyDescent="0.25">
      <c r="B19" s="80"/>
      <c r="D19" s="77"/>
      <c r="E19" s="77"/>
      <c r="F19" s="77"/>
    </row>
    <row r="20" spans="2:11" x14ac:dyDescent="0.25">
      <c r="B20" s="80"/>
      <c r="D20" s="77"/>
      <c r="E20" s="77"/>
      <c r="F20" s="77"/>
    </row>
    <row r="21" spans="2:11" x14ac:dyDescent="0.25">
      <c r="B21" s="80"/>
      <c r="D21" s="77"/>
      <c r="E21" s="77"/>
    </row>
  </sheetData>
  <mergeCells count="4">
    <mergeCell ref="H10:H11"/>
    <mergeCell ref="I10:I11"/>
    <mergeCell ref="H16:H17"/>
    <mergeCell ref="I16:I17"/>
  </mergeCells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Plan de Ventas </vt:lpstr>
      <vt:lpstr>1-Mermas y Desperdicios</vt:lpstr>
      <vt:lpstr>2-Horas Laborables</vt:lpstr>
      <vt:lpstr>3-Capacidad real anual</vt:lpstr>
      <vt:lpstr>4-Capacidad Máxima</vt:lpstr>
      <vt:lpstr>5-Evolución de la producción</vt:lpstr>
      <vt:lpstr>6-Evolución de la mercadería</vt:lpstr>
    </vt:vector>
  </TitlesOfParts>
  <Manager>Ing Diego Roberto Berenguer</Manager>
  <Company>Catedra de Evaluación de Proyectos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Cuadros del Dimensionamiento Economico Financiero</dc:title>
  <dc:creator>Berenguer,Cabeza, Martinez Iraci</dc:creator>
  <cp:keywords>Grupo Hojalata</cp:keywords>
  <cp:lastModifiedBy>Familia</cp:lastModifiedBy>
  <cp:lastPrinted>2007-11-27T11:36:04Z</cp:lastPrinted>
  <dcterms:created xsi:type="dcterms:W3CDTF">2004-09-01T03:31:20Z</dcterms:created>
  <dcterms:modified xsi:type="dcterms:W3CDTF">2017-08-03T01:00:46Z</dcterms:modified>
</cp:coreProperties>
</file>