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lejandra\Desktop\"/>
    </mc:Choice>
  </mc:AlternateContent>
  <xr:revisionPtr revIDLastSave="0" documentId="13_ncr:1_{08B2C21A-A6E8-4F71-B771-CB865F98E427}" xr6:coauthVersionLast="37" xr6:coauthVersionMax="37" xr10:uidLastSave="{00000000-0000-0000-0000-000000000000}"/>
  <bookViews>
    <workbookView xWindow="0" yWindow="0" windowWidth="19200" windowHeight="6880" tabRatio="861" firstSheet="3" activeTab="15" xr2:uid="{00000000-000D-0000-FFFF-FFFF00000000}"/>
  </bookViews>
  <sheets>
    <sheet name="Datos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Apertura financiera" sheetId="17" r:id="rId9"/>
    <sheet name="F-Cred" sheetId="8" r:id="rId10"/>
    <sheet name="F-CRes" sheetId="9" r:id="rId11"/>
    <sheet name="F-2 Estructura" sheetId="10" r:id="rId12"/>
    <sheet name="F-IVA" sheetId="11" r:id="rId13"/>
    <sheet name="F- CFyU" sheetId="12" r:id="rId14"/>
    <sheet name="F-Balance" sheetId="13" r:id="rId15"/>
    <sheet name="F- Form" sheetId="14" r:id="rId16"/>
  </sheets>
  <externalReferences>
    <externalReference r:id="rId17"/>
    <externalReference r:id="rId18"/>
    <externalReference r:id="rId19"/>
  </externalReferences>
  <definedNames>
    <definedName name="_xlnm.Print_Area" localSheetId="3">('E-Costos'!$A$3:$G$47,'E-Costos'!$A$50:$F$81,'E-Costos'!$A$84:$F$138)</definedName>
    <definedName name="_xlnm.Print_Area" localSheetId="13">'F- CFyU'!$A$3:$H$28</definedName>
    <definedName name="_xlnm.Print_Area" localSheetId="14">'F-Balance'!$A$3:$G$35</definedName>
    <definedName name="_xlnm.Print_Area" localSheetId="9">'F-Cred'!$A$1:$I$33</definedName>
    <definedName name="Excel_BuiltIn_Print_Area" localSheetId="13">('F- CFyU'!#REF!,'F- CFyU'!#REF!,'F- CFyU'!$A$3:$H$28)</definedName>
    <definedName name="Excel_BuiltIn_Print_Area" localSheetId="14">('F-Balance'!#REF!,'F-Balance'!#REF!,'F-Balance'!$A$3:$G$35)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2" l="1"/>
  <c r="C16" i="13"/>
  <c r="C14" i="13"/>
  <c r="B14" i="13"/>
  <c r="B11" i="13"/>
  <c r="D23" i="13"/>
  <c r="E23" i="13"/>
  <c r="F23" i="13"/>
  <c r="G23" i="13"/>
  <c r="C23" i="13"/>
  <c r="C21" i="11"/>
  <c r="E21" i="11"/>
  <c r="F21" i="11"/>
  <c r="G21" i="11"/>
  <c r="D21" i="11"/>
  <c r="D19" i="11"/>
  <c r="E19" i="11"/>
  <c r="F19" i="11"/>
  <c r="G19" i="11"/>
  <c r="C19" i="11"/>
  <c r="E18" i="11"/>
  <c r="D18" i="11"/>
  <c r="C18" i="11"/>
  <c r="C17" i="11"/>
  <c r="B17" i="11"/>
  <c r="C9" i="11"/>
  <c r="B9" i="12"/>
  <c r="C10" i="14" l="1"/>
  <c r="C9" i="14"/>
  <c r="C8" i="14"/>
  <c r="C7" i="14"/>
  <c r="C6" i="14"/>
  <c r="C5" i="14"/>
  <c r="D31" i="14"/>
  <c r="F28" i="13" l="1"/>
  <c r="G28" i="13"/>
  <c r="H23" i="12" l="1"/>
  <c r="H22" i="12"/>
  <c r="H20" i="12"/>
  <c r="H12" i="12"/>
  <c r="B11" i="12"/>
  <c r="E70" i="10" l="1"/>
  <c r="H94" i="17" l="1"/>
  <c r="F92" i="17"/>
  <c r="B3" i="17"/>
  <c r="B17" i="10" l="1"/>
  <c r="B13" i="10"/>
  <c r="C12" i="15" l="1"/>
  <c r="B8" i="2" s="1"/>
  <c r="D5" i="8" s="1"/>
  <c r="H102" i="15"/>
  <c r="G105" i="15" s="1"/>
  <c r="B29" i="3" s="1"/>
  <c r="C49" i="15"/>
  <c r="C47" i="15"/>
  <c r="C48" i="15"/>
  <c r="B69" i="3" s="1"/>
  <c r="K130" i="15"/>
  <c r="M129" i="15"/>
  <c r="M128" i="15"/>
  <c r="N129" i="15" s="1"/>
  <c r="K127" i="15"/>
  <c r="B8" i="7"/>
  <c r="B7" i="7"/>
  <c r="B6" i="7"/>
  <c r="K4" i="7"/>
  <c r="F21" i="5"/>
  <c r="G21" i="5"/>
  <c r="H21" i="5"/>
  <c r="E21" i="5"/>
  <c r="C17" i="5"/>
  <c r="C16" i="5"/>
  <c r="C73" i="15"/>
  <c r="C74" i="15"/>
  <c r="B33" i="4"/>
  <c r="B32" i="4"/>
  <c r="B16" i="4"/>
  <c r="B63" i="15"/>
  <c r="C55" i="3" s="1"/>
  <c r="H103" i="15"/>
  <c r="G106" i="15" s="1"/>
  <c r="B8" i="3"/>
  <c r="B11" i="3"/>
  <c r="C8" i="3"/>
  <c r="C91" i="3" s="1"/>
  <c r="B94" i="15"/>
  <c r="F89" i="15"/>
  <c r="E89" i="15"/>
  <c r="J27" i="15"/>
  <c r="D18" i="15"/>
  <c r="D19" i="15"/>
  <c r="D20" i="15"/>
  <c r="D21" i="15"/>
  <c r="D22" i="15"/>
  <c r="D23" i="15"/>
  <c r="D101" i="3"/>
  <c r="E101" i="3"/>
  <c r="F101" i="3"/>
  <c r="C101" i="3"/>
  <c r="B101" i="3"/>
  <c r="D14" i="3"/>
  <c r="E9" i="6" s="1"/>
  <c r="E14" i="3"/>
  <c r="F9" i="6" s="1"/>
  <c r="F14" i="3"/>
  <c r="G9" i="6"/>
  <c r="B14" i="3"/>
  <c r="C9" i="6" s="1"/>
  <c r="C14" i="3"/>
  <c r="B86" i="3"/>
  <c r="C86" i="3"/>
  <c r="D86" i="3"/>
  <c r="E86" i="3"/>
  <c r="F86" i="3"/>
  <c r="C87" i="3"/>
  <c r="D87" i="3"/>
  <c r="E87" i="3"/>
  <c r="F87" i="3"/>
  <c r="B87" i="3"/>
  <c r="D11" i="3"/>
  <c r="E11" i="3"/>
  <c r="F11" i="3"/>
  <c r="C11" i="3"/>
  <c r="D8" i="3"/>
  <c r="D91" i="3" s="1"/>
  <c r="E8" i="3"/>
  <c r="E91" i="3" s="1"/>
  <c r="F8" i="3"/>
  <c r="F91" i="3" s="1"/>
  <c r="K53" i="2"/>
  <c r="K48" i="2"/>
  <c r="K45" i="2"/>
  <c r="K44" i="2"/>
  <c r="C53" i="2"/>
  <c r="B9" i="2"/>
  <c r="B45" i="2" s="1"/>
  <c r="D52" i="3"/>
  <c r="J54" i="15"/>
  <c r="D58" i="15" s="1"/>
  <c r="F5" i="15"/>
  <c r="F7" i="15"/>
  <c r="C49" i="2"/>
  <c r="C50" i="2"/>
  <c r="C48" i="2"/>
  <c r="C47" i="2"/>
  <c r="C46" i="2"/>
  <c r="C45" i="2"/>
  <c r="C44" i="2"/>
  <c r="D14" i="2"/>
  <c r="B14" i="2"/>
  <c r="C6" i="15"/>
  <c r="F6" i="15" s="1"/>
  <c r="C4" i="15"/>
  <c r="D4" i="15" s="1"/>
  <c r="B31" i="15"/>
  <c r="F31" i="15" s="1"/>
  <c r="B29" i="15"/>
  <c r="F29" i="15" s="1"/>
  <c r="B30" i="15"/>
  <c r="F30" i="15" s="1"/>
  <c r="B28" i="15"/>
  <c r="F28" i="15" s="1"/>
  <c r="F32" i="15"/>
  <c r="F33" i="15"/>
  <c r="F34" i="15"/>
  <c r="F35" i="15"/>
  <c r="D5" i="15"/>
  <c r="D7" i="15"/>
  <c r="D8" i="15"/>
  <c r="F8" i="15" s="1"/>
  <c r="D31" i="2"/>
  <c r="E31" i="2"/>
  <c r="C18" i="2"/>
  <c r="C20" i="2" s="1"/>
  <c r="E18" i="2"/>
  <c r="E20" i="2" s="1"/>
  <c r="E33" i="2" s="1"/>
  <c r="E36" i="2" s="1"/>
  <c r="G1" i="5"/>
  <c r="E3" i="3"/>
  <c r="G1" i="7"/>
  <c r="E1" i="2"/>
  <c r="E1" i="4"/>
  <c r="G1" i="6"/>
  <c r="E1" i="12"/>
  <c r="G1" i="14"/>
  <c r="D1" i="10"/>
  <c r="E1" i="13"/>
  <c r="F1" i="8"/>
  <c r="F1" i="9"/>
  <c r="E1" i="11"/>
  <c r="B84" i="15"/>
  <c r="D55" i="15"/>
  <c r="B52" i="3"/>
  <c r="C52" i="3"/>
  <c r="F52" i="3"/>
  <c r="E52" i="3"/>
  <c r="F88" i="3"/>
  <c r="G22" i="6" s="1"/>
  <c r="G13" i="11" s="1"/>
  <c r="C88" i="3"/>
  <c r="E88" i="3"/>
  <c r="F6" i="4"/>
  <c r="F7" i="13" s="1"/>
  <c r="D6" i="15"/>
  <c r="D56" i="15"/>
  <c r="D54" i="15"/>
  <c r="D57" i="15"/>
  <c r="E69" i="3"/>
  <c r="F22" i="6"/>
  <c r="F13" i="11" s="1"/>
  <c r="G6" i="4"/>
  <c r="G7" i="13" s="1"/>
  <c r="B55" i="3"/>
  <c r="B91" i="3"/>
  <c r="C72" i="3"/>
  <c r="B13" i="3"/>
  <c r="D9" i="6"/>
  <c r="E72" i="3"/>
  <c r="J67" i="15"/>
  <c r="K68" i="15"/>
  <c r="K67" i="15"/>
  <c r="F68" i="15"/>
  <c r="D69" i="3" l="1"/>
  <c r="F36" i="15"/>
  <c r="G36" i="15" s="1"/>
  <c r="H36" i="15" s="1"/>
  <c r="B7" i="2"/>
  <c r="B43" i="2" s="1"/>
  <c r="D88" i="3"/>
  <c r="D4" i="9" s="1"/>
  <c r="B88" i="3"/>
  <c r="E64" i="10"/>
  <c r="E60" i="10"/>
  <c r="E56" i="10"/>
  <c r="E52" i="10"/>
  <c r="E50" i="10"/>
  <c r="E65" i="10"/>
  <c r="E57" i="10"/>
  <c r="E49" i="10"/>
  <c r="E63" i="10"/>
  <c r="E59" i="10"/>
  <c r="E55" i="10"/>
  <c r="E51" i="10"/>
  <c r="E62" i="10"/>
  <c r="E58" i="10"/>
  <c r="E54" i="10"/>
  <c r="E61" i="10"/>
  <c r="E53" i="10"/>
  <c r="E83" i="10"/>
  <c r="E79" i="10"/>
  <c r="E75" i="10"/>
  <c r="E71" i="10"/>
  <c r="E72" i="10"/>
  <c r="E86" i="10"/>
  <c r="E82" i="10"/>
  <c r="E78" i="10"/>
  <c r="E74" i="10"/>
  <c r="E84" i="10"/>
  <c r="E85" i="10"/>
  <c r="E81" i="10"/>
  <c r="E77" i="10"/>
  <c r="E73" i="10"/>
  <c r="E80" i="10"/>
  <c r="E76" i="10"/>
  <c r="G68" i="15"/>
  <c r="B30" i="17"/>
  <c r="B13" i="8"/>
  <c r="H9" i="12" s="1"/>
  <c r="J139" i="15"/>
  <c r="H92" i="15"/>
  <c r="G94" i="15" s="1"/>
  <c r="E6" i="4"/>
  <c r="E7" i="13" s="1"/>
  <c r="E43" i="2"/>
  <c r="D43" i="2"/>
  <c r="I43" i="2" s="1"/>
  <c r="C8" i="6"/>
  <c r="C7" i="4"/>
  <c r="C4" i="9"/>
  <c r="F128" i="15"/>
  <c r="F130" i="15" s="1"/>
  <c r="J145" i="15" s="1"/>
  <c r="G32" i="3" s="1"/>
  <c r="F72" i="3"/>
  <c r="B72" i="3"/>
  <c r="C13" i="3"/>
  <c r="D7" i="4"/>
  <c r="D9" i="13" s="1"/>
  <c r="C69" i="3"/>
  <c r="D59" i="15"/>
  <c r="G59" i="15" s="1"/>
  <c r="C6" i="10"/>
  <c r="D9" i="15"/>
  <c r="B4" i="9"/>
  <c r="D24" i="15"/>
  <c r="B16" i="2" s="1"/>
  <c r="B48" i="2" s="1"/>
  <c r="E48" i="2" s="1"/>
  <c r="N128" i="15"/>
  <c r="C50" i="15"/>
  <c r="K69" i="15"/>
  <c r="K70" i="15" s="1"/>
  <c r="D55" i="3"/>
  <c r="E55" i="3"/>
  <c r="F55" i="3"/>
  <c r="D11" i="2"/>
  <c r="D18" i="2" s="1"/>
  <c r="F69" i="3"/>
  <c r="F4" i="9"/>
  <c r="J68" i="15"/>
  <c r="D13" i="3"/>
  <c r="E13" i="3"/>
  <c r="F13" i="3"/>
  <c r="D72" i="3"/>
  <c r="E4" i="9"/>
  <c r="F4" i="15"/>
  <c r="F9" i="15" s="1"/>
  <c r="B50" i="2" s="1"/>
  <c r="F129" i="15"/>
  <c r="F131" i="15" s="1"/>
  <c r="D32" i="3" s="1"/>
  <c r="F67" i="15"/>
  <c r="F69" i="15" s="1"/>
  <c r="F10" i="4"/>
  <c r="B10" i="4"/>
  <c r="D10" i="4"/>
  <c r="I37" i="15"/>
  <c r="B7" i="3" s="1"/>
  <c r="C10" i="4"/>
  <c r="G10" i="4"/>
  <c r="I36" i="15"/>
  <c r="E10" i="4"/>
  <c r="I38" i="15"/>
  <c r="D45" i="2"/>
  <c r="I45" i="2" s="1"/>
  <c r="J45" i="2" s="1"/>
  <c r="E45" i="2"/>
  <c r="J69" i="15"/>
  <c r="C6" i="4"/>
  <c r="C22" i="6"/>
  <c r="C13" i="11" s="1"/>
  <c r="B67" i="15"/>
  <c r="D48" i="2"/>
  <c r="I48" i="2" s="1"/>
  <c r="J48" i="2" s="1"/>
  <c r="E15" i="3"/>
  <c r="C75" i="3"/>
  <c r="B15" i="3"/>
  <c r="D58" i="3"/>
  <c r="D75" i="3"/>
  <c r="B44" i="2"/>
  <c r="F15" i="3"/>
  <c r="E75" i="3"/>
  <c r="C58" i="3"/>
  <c r="B58" i="3"/>
  <c r="F75" i="3"/>
  <c r="D15" i="3"/>
  <c r="E58" i="3"/>
  <c r="F58" i="3"/>
  <c r="B75" i="3"/>
  <c r="C15" i="3"/>
  <c r="I53" i="2"/>
  <c r="J53" i="2" s="1"/>
  <c r="J43" i="2"/>
  <c r="E32" i="3"/>
  <c r="C29" i="3"/>
  <c r="F29" i="3"/>
  <c r="D29" i="3"/>
  <c r="E29" i="3"/>
  <c r="F7" i="4"/>
  <c r="F9" i="13" s="1"/>
  <c r="E7" i="4"/>
  <c r="E9" i="13" s="1"/>
  <c r="D22" i="6"/>
  <c r="D13" i="11" s="1"/>
  <c r="F26" i="3"/>
  <c r="G7" i="4"/>
  <c r="G9" i="13" s="1"/>
  <c r="D6" i="4"/>
  <c r="F120" i="15"/>
  <c r="F122" i="15" s="1"/>
  <c r="B68" i="15"/>
  <c r="E147" i="3"/>
  <c r="E151" i="3"/>
  <c r="E155" i="3"/>
  <c r="E143" i="3"/>
  <c r="E146" i="3"/>
  <c r="E158" i="3"/>
  <c r="E144" i="3"/>
  <c r="E148" i="3"/>
  <c r="E152" i="3"/>
  <c r="E156" i="3"/>
  <c r="E150" i="3"/>
  <c r="E145" i="3"/>
  <c r="E149" i="3"/>
  <c r="E153" i="3"/>
  <c r="E157" i="3"/>
  <c r="E154" i="3"/>
  <c r="G67" i="15"/>
  <c r="G69" i="15" s="1"/>
  <c r="B12" i="2"/>
  <c r="E168" i="3"/>
  <c r="E172" i="3"/>
  <c r="E176" i="3"/>
  <c r="E164" i="3"/>
  <c r="E175" i="3"/>
  <c r="E165" i="3"/>
  <c r="E169" i="3"/>
  <c r="E173" i="3"/>
  <c r="E177" i="3"/>
  <c r="E171" i="3"/>
  <c r="E166" i="3"/>
  <c r="E170" i="3"/>
  <c r="E174" i="3"/>
  <c r="E178" i="3"/>
  <c r="E167" i="3"/>
  <c r="E179" i="3"/>
  <c r="H11" i="5"/>
  <c r="B31" i="3"/>
  <c r="J143" i="15"/>
  <c r="F11" i="5" l="1"/>
  <c r="G11" i="5"/>
  <c r="G8" i="6"/>
  <c r="E22" i="6"/>
  <c r="E13" i="11" s="1"/>
  <c r="C32" i="3"/>
  <c r="F32" i="3"/>
  <c r="J70" i="15"/>
  <c r="G4" i="9"/>
  <c r="C31" i="17"/>
  <c r="I31" i="17"/>
  <c r="D31" i="17"/>
  <c r="I30" i="17"/>
  <c r="C42" i="17"/>
  <c r="C48" i="17"/>
  <c r="C56" i="17"/>
  <c r="C64" i="17"/>
  <c r="C72" i="17"/>
  <c r="C80" i="17"/>
  <c r="C88" i="17"/>
  <c r="C52" i="17"/>
  <c r="C68" i="17"/>
  <c r="C43" i="17"/>
  <c r="C51" i="17"/>
  <c r="C59" i="17"/>
  <c r="C67" i="17"/>
  <c r="C75" i="17"/>
  <c r="C83" i="17"/>
  <c r="C91" i="17"/>
  <c r="C60" i="17"/>
  <c r="C84" i="17"/>
  <c r="C55" i="17"/>
  <c r="C79" i="17"/>
  <c r="C44" i="17"/>
  <c r="C76" i="17"/>
  <c r="C47" i="17"/>
  <c r="C63" i="17"/>
  <c r="C71" i="17"/>
  <c r="C87" i="17"/>
  <c r="C39" i="17"/>
  <c r="C37" i="17"/>
  <c r="C78" i="17"/>
  <c r="C62" i="17"/>
  <c r="C46" i="17"/>
  <c r="C77" i="17"/>
  <c r="C61" i="17"/>
  <c r="C45" i="17"/>
  <c r="C36" i="17"/>
  <c r="C70" i="17"/>
  <c r="C85" i="17"/>
  <c r="C53" i="17"/>
  <c r="C81" i="17"/>
  <c r="C65" i="17"/>
  <c r="C49" i="17"/>
  <c r="C34" i="17"/>
  <c r="C32" i="17"/>
  <c r="C90" i="17"/>
  <c r="E92" i="17" s="1"/>
  <c r="C74" i="17"/>
  <c r="C58" i="17"/>
  <c r="C89" i="17"/>
  <c r="C73" i="17"/>
  <c r="C57" i="17"/>
  <c r="C92" i="17"/>
  <c r="C38" i="17"/>
  <c r="C86" i="17"/>
  <c r="C54" i="17"/>
  <c r="C69" i="17"/>
  <c r="C35" i="17"/>
  <c r="C33" i="17"/>
  <c r="C82" i="17"/>
  <c r="C66" i="17"/>
  <c r="C50" i="17"/>
  <c r="F8" i="6"/>
  <c r="F121" i="15"/>
  <c r="F123" i="15" s="1"/>
  <c r="F31" i="3" s="1"/>
  <c r="G43" i="2"/>
  <c r="B6" i="4"/>
  <c r="C7" i="13"/>
  <c r="C12" i="10"/>
  <c r="C9" i="13"/>
  <c r="C13" i="10"/>
  <c r="D13" i="10" s="1"/>
  <c r="D26" i="3"/>
  <c r="C26" i="3"/>
  <c r="B32" i="3"/>
  <c r="D20" i="2"/>
  <c r="D33" i="2" s="1"/>
  <c r="D36" i="2" s="1"/>
  <c r="E26" i="3"/>
  <c r="F10" i="12"/>
  <c r="G10" i="12"/>
  <c r="C10" i="12"/>
  <c r="D8" i="6"/>
  <c r="E10" i="12"/>
  <c r="E11" i="5"/>
  <c r="D7" i="13"/>
  <c r="B13" i="2"/>
  <c r="B46" i="2" s="1"/>
  <c r="D46" i="2" s="1"/>
  <c r="I46" i="2" s="1"/>
  <c r="B15" i="2"/>
  <c r="B47" i="2" s="1"/>
  <c r="B69" i="15"/>
  <c r="D10" i="12"/>
  <c r="D11" i="5"/>
  <c r="E8" i="6"/>
  <c r="I92" i="15"/>
  <c r="G93" i="15" s="1"/>
  <c r="B26" i="3" s="1"/>
  <c r="K128" i="15"/>
  <c r="K129" i="15" s="1"/>
  <c r="K132" i="15" s="1"/>
  <c r="J138" i="15" s="1"/>
  <c r="J140" i="15" s="1"/>
  <c r="G26" i="3" s="1"/>
  <c r="E46" i="2"/>
  <c r="J136" i="15"/>
  <c r="G25" i="3" s="1"/>
  <c r="C6" i="6"/>
  <c r="B90" i="3"/>
  <c r="D47" i="2"/>
  <c r="I47" i="2" s="1"/>
  <c r="K47" i="2" s="1"/>
  <c r="K49" i="2" s="1"/>
  <c r="E47" i="2"/>
  <c r="E44" i="2"/>
  <c r="D44" i="2"/>
  <c r="I44" i="2" s="1"/>
  <c r="J44" i="2" s="1"/>
  <c r="E7" i="3"/>
  <c r="C7" i="3"/>
  <c r="D7" i="3"/>
  <c r="F7" i="3"/>
  <c r="D30" i="4"/>
  <c r="E14" i="5"/>
  <c r="D50" i="2"/>
  <c r="I50" i="2" s="1"/>
  <c r="G45" i="2"/>
  <c r="H14" i="5"/>
  <c r="G30" i="4"/>
  <c r="B30" i="4"/>
  <c r="C14" i="5"/>
  <c r="F136" i="15"/>
  <c r="F138" i="15" s="1"/>
  <c r="B33" i="3" s="1"/>
  <c r="F137" i="15"/>
  <c r="F139" i="15" s="1"/>
  <c r="F14" i="5"/>
  <c r="E30" i="4"/>
  <c r="G48" i="2"/>
  <c r="D25" i="3"/>
  <c r="F25" i="3"/>
  <c r="B25" i="3"/>
  <c r="E25" i="3"/>
  <c r="C25" i="3"/>
  <c r="C30" i="4"/>
  <c r="D14" i="5"/>
  <c r="F30" i="4"/>
  <c r="G14" i="5"/>
  <c r="E77" i="17" l="1"/>
  <c r="H10" i="12"/>
  <c r="E83" i="17"/>
  <c r="G46" i="2"/>
  <c r="E59" i="17"/>
  <c r="E53" i="17"/>
  <c r="E65" i="17"/>
  <c r="E47" i="17"/>
  <c r="C22" i="8" s="1"/>
  <c r="E33" i="17"/>
  <c r="C94" i="17"/>
  <c r="C31" i="3"/>
  <c r="D31" i="3"/>
  <c r="E31" i="3"/>
  <c r="E71" i="17"/>
  <c r="C30" i="8"/>
  <c r="E31" i="8" s="1"/>
  <c r="G18" i="12" s="1"/>
  <c r="E39" i="17"/>
  <c r="E89" i="17"/>
  <c r="B31" i="17"/>
  <c r="C14" i="6"/>
  <c r="B7" i="13"/>
  <c r="B12" i="10"/>
  <c r="C11" i="5"/>
  <c r="I11" i="5" s="1"/>
  <c r="J144" i="15"/>
  <c r="G31" i="3" s="1"/>
  <c r="G50" i="2"/>
  <c r="G47" i="2"/>
  <c r="J146" i="15"/>
  <c r="B18" i="2"/>
  <c r="E6" i="6"/>
  <c r="D90" i="3"/>
  <c r="J137" i="15"/>
  <c r="B4" i="17" s="1"/>
  <c r="B5" i="17" s="1"/>
  <c r="B7" i="17" s="1"/>
  <c r="B8" i="17" s="1"/>
  <c r="B10" i="17" s="1"/>
  <c r="B12" i="17" s="1"/>
  <c r="D6" i="6"/>
  <c r="C90" i="3"/>
  <c r="G44" i="2"/>
  <c r="E33" i="3"/>
  <c r="D33" i="3"/>
  <c r="F33" i="3"/>
  <c r="C33" i="3"/>
  <c r="I14" i="5"/>
  <c r="F6" i="6"/>
  <c r="E90" i="3"/>
  <c r="G6" i="6"/>
  <c r="F90" i="3"/>
  <c r="B100" i="17" l="1"/>
  <c r="C29" i="10"/>
  <c r="B107" i="17"/>
  <c r="B101" i="17"/>
  <c r="D6" i="8"/>
  <c r="D8" i="8" s="1"/>
  <c r="B104" i="17"/>
  <c r="C104" i="17" s="1"/>
  <c r="B105" i="17"/>
  <c r="B103" i="17"/>
  <c r="B106" i="17"/>
  <c r="C106" i="17" s="1"/>
  <c r="B108" i="17"/>
  <c r="B102" i="17"/>
  <c r="C102" i="17" s="1"/>
  <c r="I32" i="17"/>
  <c r="D32" i="17"/>
  <c r="C23" i="8"/>
  <c r="C24" i="8" s="1"/>
  <c r="B49" i="2"/>
  <c r="B20" i="2"/>
  <c r="D12" i="10"/>
  <c r="G26" i="13" l="1"/>
  <c r="G25" i="13" s="1"/>
  <c r="G30" i="13" s="1"/>
  <c r="F26" i="13"/>
  <c r="D26" i="13"/>
  <c r="C26" i="13"/>
  <c r="E26" i="13"/>
  <c r="C103" i="17"/>
  <c r="E104" i="17" s="1"/>
  <c r="D104" i="17"/>
  <c r="D102" i="17"/>
  <c r="C101" i="17"/>
  <c r="E102" i="17" s="1"/>
  <c r="E23" i="8"/>
  <c r="D106" i="17"/>
  <c r="C105" i="17"/>
  <c r="E106" i="17" s="1"/>
  <c r="B30" i="8"/>
  <c r="C107" i="17"/>
  <c r="D108" i="17"/>
  <c r="C25" i="8"/>
  <c r="C26" i="8" s="1"/>
  <c r="C108" i="17"/>
  <c r="D31" i="8" s="1"/>
  <c r="B31" i="8"/>
  <c r="F27" i="13" s="1"/>
  <c r="D29" i="10"/>
  <c r="C8" i="12"/>
  <c r="H8" i="12" s="1"/>
  <c r="D100" i="17"/>
  <c r="C100" i="17"/>
  <c r="B6" i="10"/>
  <c r="B19" i="13" s="1"/>
  <c r="B22" i="13" s="1"/>
  <c r="C19" i="13" s="1"/>
  <c r="E54" i="3"/>
  <c r="F18" i="6" s="1"/>
  <c r="F7" i="11" s="1"/>
  <c r="D71" i="3"/>
  <c r="E19" i="6" s="1"/>
  <c r="E8" i="11" s="1"/>
  <c r="B12" i="3"/>
  <c r="D54" i="3"/>
  <c r="E18" i="6" s="1"/>
  <c r="E7" i="11" s="1"/>
  <c r="D12" i="3"/>
  <c r="C12" i="3"/>
  <c r="F54" i="3"/>
  <c r="G18" i="6" s="1"/>
  <c r="G7" i="11" s="1"/>
  <c r="B54" i="3"/>
  <c r="C18" i="6" s="1"/>
  <c r="C7" i="11" s="1"/>
  <c r="E71" i="3"/>
  <c r="F19" i="6" s="1"/>
  <c r="F8" i="11" s="1"/>
  <c r="F12" i="3"/>
  <c r="C71" i="3"/>
  <c r="D19" i="6" s="1"/>
  <c r="D8" i="11" s="1"/>
  <c r="E12" i="3"/>
  <c r="C6" i="5"/>
  <c r="C54" i="3"/>
  <c r="D18" i="6" s="1"/>
  <c r="D7" i="11" s="1"/>
  <c r="B71" i="3"/>
  <c r="C19" i="6" s="1"/>
  <c r="C8" i="11" s="1"/>
  <c r="F71" i="3"/>
  <c r="G19" i="6" s="1"/>
  <c r="G8" i="11" s="1"/>
  <c r="E49" i="2"/>
  <c r="E51" i="2" s="1"/>
  <c r="D49" i="2"/>
  <c r="G49" i="2" s="1"/>
  <c r="G51" i="2" s="1"/>
  <c r="B51" i="2"/>
  <c r="F25" i="13" l="1"/>
  <c r="F30" i="13" s="1"/>
  <c r="E25" i="8"/>
  <c r="D18" i="12" s="1"/>
  <c r="C27" i="8"/>
  <c r="C28" i="8" s="1"/>
  <c r="G21" i="13"/>
  <c r="F21" i="13"/>
  <c r="C110" i="17"/>
  <c r="E100" i="17"/>
  <c r="E108" i="17"/>
  <c r="C18" i="12"/>
  <c r="G111" i="15"/>
  <c r="G113" i="15" s="1"/>
  <c r="B30" i="3" s="1"/>
  <c r="C11" i="4" s="1"/>
  <c r="J141" i="15"/>
  <c r="J142" i="15" s="1"/>
  <c r="G30" i="3" s="1"/>
  <c r="G35" i="3" s="1"/>
  <c r="I49" i="2"/>
  <c r="J49" i="2" s="1"/>
  <c r="D51" i="2"/>
  <c r="G112" i="15"/>
  <c r="G114" i="15" s="1"/>
  <c r="C8" i="5"/>
  <c r="C21" i="5" s="1"/>
  <c r="I6" i="5"/>
  <c r="D6" i="10"/>
  <c r="E27" i="8" l="1"/>
  <c r="E18" i="12" s="1"/>
  <c r="E110" i="17"/>
  <c r="E21" i="13"/>
  <c r="C21" i="13"/>
  <c r="C22" i="13" s="1"/>
  <c r="D19" i="13" s="1"/>
  <c r="D22" i="13" s="1"/>
  <c r="E19" i="13" s="1"/>
  <c r="E22" i="13" s="1"/>
  <c r="F19" i="13" s="1"/>
  <c r="F22" i="13" s="1"/>
  <c r="G19" i="13" s="1"/>
  <c r="G22" i="13" s="1"/>
  <c r="D21" i="13"/>
  <c r="C29" i="8"/>
  <c r="C33" i="8" s="1"/>
  <c r="C7" i="6"/>
  <c r="C12" i="6" s="1"/>
  <c r="F30" i="3"/>
  <c r="C30" i="3"/>
  <c r="E30" i="3"/>
  <c r="D30" i="3"/>
  <c r="B41" i="3"/>
  <c r="B97" i="3" s="1"/>
  <c r="C26" i="2"/>
  <c r="B11" i="4"/>
  <c r="C31" i="4"/>
  <c r="E29" i="8" l="1"/>
  <c r="B31" i="4"/>
  <c r="B34" i="4" s="1"/>
  <c r="C15" i="5"/>
  <c r="B9" i="4"/>
  <c r="E7" i="6"/>
  <c r="E12" i="6" s="1"/>
  <c r="E11" i="4"/>
  <c r="F7" i="6"/>
  <c r="F12" i="6" s="1"/>
  <c r="F11" i="4"/>
  <c r="D15" i="5"/>
  <c r="C31" i="2"/>
  <c r="C7" i="10" s="1"/>
  <c r="B29" i="2"/>
  <c r="B31" i="2" s="1"/>
  <c r="D11" i="4"/>
  <c r="D7" i="6"/>
  <c r="D12" i="6" s="1"/>
  <c r="G11" i="4"/>
  <c r="G7" i="6"/>
  <c r="G12" i="6" s="1"/>
  <c r="C15" i="13" l="1"/>
  <c r="C8" i="10"/>
  <c r="B6" i="14" s="1"/>
  <c r="F18" i="12"/>
  <c r="E33" i="8"/>
  <c r="D31" i="4"/>
  <c r="E15" i="5"/>
  <c r="F15" i="5"/>
  <c r="E31" i="4"/>
  <c r="B15" i="4"/>
  <c r="B10" i="13"/>
  <c r="B14" i="10"/>
  <c r="G31" i="4"/>
  <c r="H15" i="5"/>
  <c r="B33" i="2"/>
  <c r="B34" i="2" s="1"/>
  <c r="B36" i="2" s="1"/>
  <c r="B53" i="2"/>
  <c r="B7" i="5"/>
  <c r="C18" i="5"/>
  <c r="C4" i="7" s="1"/>
  <c r="D7" i="5"/>
  <c r="D8" i="5" s="1"/>
  <c r="C33" i="2"/>
  <c r="C34" i="2" s="1"/>
  <c r="C36" i="2" s="1"/>
  <c r="F31" i="4"/>
  <c r="G15" i="5"/>
  <c r="C22" i="5"/>
  <c r="C23" i="5" s="1"/>
  <c r="C25" i="5" s="1"/>
  <c r="B21" i="10"/>
  <c r="I15" i="5" l="1"/>
  <c r="C9" i="10"/>
  <c r="C10" i="10" s="1"/>
  <c r="C25" i="10" s="1"/>
  <c r="C14" i="12"/>
  <c r="D21" i="5"/>
  <c r="B5" i="7"/>
  <c r="B24" i="4"/>
  <c r="B22" i="4"/>
  <c r="B25" i="4" s="1"/>
  <c r="B36" i="4" s="1"/>
  <c r="I7" i="5"/>
  <c r="B8" i="5"/>
  <c r="B56" i="2"/>
  <c r="E53" i="2"/>
  <c r="E56" i="2" s="1"/>
  <c r="F25" i="12" s="1"/>
  <c r="D53" i="2"/>
  <c r="D56" i="2" s="1"/>
  <c r="B15" i="10"/>
  <c r="B15" i="12" l="1"/>
  <c r="G25" i="12"/>
  <c r="J10" i="14" s="1"/>
  <c r="J9" i="14"/>
  <c r="B70" i="3"/>
  <c r="B76" i="3" s="1"/>
  <c r="B78" i="3" s="1"/>
  <c r="B10" i="3"/>
  <c r="C53" i="3"/>
  <c r="C59" i="3" s="1"/>
  <c r="C61" i="3" s="1"/>
  <c r="G98" i="15"/>
  <c r="G99" i="15" s="1"/>
  <c r="G100" i="15" s="1"/>
  <c r="D10" i="3"/>
  <c r="F98" i="15"/>
  <c r="F99" i="15" s="1"/>
  <c r="F100" i="15" s="1"/>
  <c r="B28" i="3" s="1"/>
  <c r="D53" i="3"/>
  <c r="D59" i="3" s="1"/>
  <c r="D61" i="3" s="1"/>
  <c r="C70" i="3"/>
  <c r="C76" i="3" s="1"/>
  <c r="C78" i="3" s="1"/>
  <c r="D70" i="3"/>
  <c r="D76" i="3" s="1"/>
  <c r="D78" i="3" s="1"/>
  <c r="I6" i="7"/>
  <c r="C10" i="3"/>
  <c r="I7" i="7"/>
  <c r="I5" i="7"/>
  <c r="B53" i="3"/>
  <c r="B59" i="3" s="1"/>
  <c r="B61" i="3" s="1"/>
  <c r="F10" i="3"/>
  <c r="H98" i="15"/>
  <c r="H99" i="15" s="1"/>
  <c r="H100" i="15" s="1"/>
  <c r="I8" i="7"/>
  <c r="E70" i="3"/>
  <c r="E76" i="3" s="1"/>
  <c r="E78" i="3" s="1"/>
  <c r="F53" i="3"/>
  <c r="F59" i="3" s="1"/>
  <c r="F61" i="3" s="1"/>
  <c r="E10" i="3"/>
  <c r="I9" i="7"/>
  <c r="F70" i="3"/>
  <c r="F76" i="3" s="1"/>
  <c r="F78" i="3" s="1"/>
  <c r="E53" i="3"/>
  <c r="E59" i="3" s="1"/>
  <c r="E61" i="3" s="1"/>
  <c r="B22" i="10"/>
  <c r="B20" i="10"/>
  <c r="G53" i="2"/>
  <c r="G56" i="2" s="1"/>
  <c r="I8" i="5"/>
  <c r="B21" i="5"/>
  <c r="B4" i="7"/>
  <c r="B9" i="7" l="1"/>
  <c r="B10" i="14"/>
  <c r="B23" i="10"/>
  <c r="C112" i="3"/>
  <c r="C9" i="9" s="1"/>
  <c r="C80" i="3"/>
  <c r="C81" i="3" s="1"/>
  <c r="C135" i="3" s="1"/>
  <c r="C40" i="10" s="1"/>
  <c r="B23" i="5"/>
  <c r="I21" i="5"/>
  <c r="E16" i="3"/>
  <c r="E92" i="3" s="1"/>
  <c r="E127" i="3"/>
  <c r="F28" i="3"/>
  <c r="E28" i="3"/>
  <c r="C127" i="3"/>
  <c r="C16" i="3"/>
  <c r="C92" i="3" s="1"/>
  <c r="D132" i="3"/>
  <c r="D39" i="10" s="1"/>
  <c r="D133" i="3"/>
  <c r="D38" i="10" s="1"/>
  <c r="D111" i="3"/>
  <c r="D8" i="9" s="1"/>
  <c r="C111" i="3"/>
  <c r="C8" i="9" s="1"/>
  <c r="C132" i="3"/>
  <c r="C39" i="10" s="1"/>
  <c r="C133" i="3"/>
  <c r="C38" i="10" s="1"/>
  <c r="E132" i="3"/>
  <c r="E39" i="10" s="1"/>
  <c r="E111" i="3"/>
  <c r="E8" i="9" s="1"/>
  <c r="E133" i="3"/>
  <c r="E38" i="10" s="1"/>
  <c r="F133" i="3"/>
  <c r="F38" i="10" s="1"/>
  <c r="F132" i="3"/>
  <c r="F39" i="10" s="1"/>
  <c r="F111" i="3"/>
  <c r="F8" i="9" s="1"/>
  <c r="F16" i="3"/>
  <c r="F92" i="3" s="1"/>
  <c r="F127" i="3"/>
  <c r="B133" i="3"/>
  <c r="B38" i="10" s="1"/>
  <c r="B111" i="3"/>
  <c r="B8" i="9" s="1"/>
  <c r="B132" i="3"/>
  <c r="B39" i="10" s="1"/>
  <c r="B34" i="3"/>
  <c r="B35" i="3" s="1"/>
  <c r="C17" i="4"/>
  <c r="B127" i="3"/>
  <c r="C18" i="4"/>
  <c r="B16" i="3"/>
  <c r="B11" i="7"/>
  <c r="B5" i="8"/>
  <c r="F5" i="8" s="1"/>
  <c r="C28" i="3"/>
  <c r="D28" i="3"/>
  <c r="F80" i="3"/>
  <c r="F81" i="3" s="1"/>
  <c r="F135" i="3" s="1"/>
  <c r="F112" i="3"/>
  <c r="F9" i="9" s="1"/>
  <c r="E112" i="3"/>
  <c r="E9" i="9" s="1"/>
  <c r="E80" i="3"/>
  <c r="E81" i="3" s="1"/>
  <c r="E135" i="3" s="1"/>
  <c r="E40" i="10" s="1"/>
  <c r="I11" i="7"/>
  <c r="M18" i="7" s="1"/>
  <c r="D80" i="3"/>
  <c r="D81" i="3" s="1"/>
  <c r="D135" i="3" s="1"/>
  <c r="D40" i="10" s="1"/>
  <c r="D112" i="3"/>
  <c r="D9" i="9" s="1"/>
  <c r="D127" i="3"/>
  <c r="D16" i="3"/>
  <c r="D17" i="3" s="1"/>
  <c r="E18" i="4"/>
  <c r="B80" i="3"/>
  <c r="B81" i="3" s="1"/>
  <c r="B135" i="3" s="1"/>
  <c r="B40" i="10" s="1"/>
  <c r="B134" i="3"/>
  <c r="B41" i="10" s="1"/>
  <c r="B112" i="3"/>
  <c r="B9" i="9" s="1"/>
  <c r="G9" i="9" s="1"/>
  <c r="C17" i="10" l="1"/>
  <c r="C134" i="3"/>
  <c r="C41" i="10" s="1"/>
  <c r="F134" i="3"/>
  <c r="D92" i="3"/>
  <c r="D134" i="3"/>
  <c r="E134" i="3"/>
  <c r="E41" i="10" s="1"/>
  <c r="E17" i="3"/>
  <c r="D19" i="3"/>
  <c r="D130" i="3" s="1"/>
  <c r="D37" i="10" s="1"/>
  <c r="D39" i="3"/>
  <c r="D94" i="3"/>
  <c r="D100" i="3" s="1"/>
  <c r="D20" i="3"/>
  <c r="D131" i="3" s="1"/>
  <c r="F41" i="10"/>
  <c r="D18" i="4"/>
  <c r="D17" i="4"/>
  <c r="C34" i="3"/>
  <c r="C35" i="3" s="1"/>
  <c r="B92" i="3"/>
  <c r="C20" i="4"/>
  <c r="D17" i="10"/>
  <c r="F17" i="4"/>
  <c r="E34" i="3"/>
  <c r="E35" i="3" s="1"/>
  <c r="E39" i="3"/>
  <c r="E94" i="3"/>
  <c r="E100" i="3" s="1"/>
  <c r="E20" i="3"/>
  <c r="E131" i="3" s="1"/>
  <c r="D41" i="10"/>
  <c r="B17" i="3"/>
  <c r="B42" i="3"/>
  <c r="C12" i="4"/>
  <c r="F34" i="3"/>
  <c r="F35" i="3" s="1"/>
  <c r="G17" i="4"/>
  <c r="B26" i="6"/>
  <c r="B27" i="6" s="1"/>
  <c r="D4" i="7"/>
  <c r="B25" i="5"/>
  <c r="F40" i="10"/>
  <c r="C18" i="7"/>
  <c r="F17" i="3"/>
  <c r="C17" i="3"/>
  <c r="E19" i="3"/>
  <c r="E130" i="3" s="1"/>
  <c r="B26" i="10"/>
  <c r="D34" i="3"/>
  <c r="D35" i="3" s="1"/>
  <c r="E17" i="4"/>
  <c r="G8" i="9"/>
  <c r="G18" i="4"/>
  <c r="F18" i="4"/>
  <c r="F20" i="4" l="1"/>
  <c r="D20" i="4"/>
  <c r="D42" i="3"/>
  <c r="D43" i="3" s="1"/>
  <c r="E12" i="4"/>
  <c r="E37" i="10"/>
  <c r="G20" i="4"/>
  <c r="B20" i="3"/>
  <c r="B131" i="3" s="1"/>
  <c r="B136" i="3" s="1"/>
  <c r="B94" i="3"/>
  <c r="B100" i="3" s="1"/>
  <c r="B39" i="3"/>
  <c r="B43" i="3" s="1"/>
  <c r="D136" i="3"/>
  <c r="D137" i="3" s="1"/>
  <c r="D36" i="10"/>
  <c r="D43" i="10" s="1"/>
  <c r="C19" i="3"/>
  <c r="C130" i="3" s="1"/>
  <c r="C37" i="10" s="1"/>
  <c r="C94" i="3"/>
  <c r="C100" i="3" s="1"/>
  <c r="C39" i="3"/>
  <c r="C20" i="3"/>
  <c r="C131" i="3" s="1"/>
  <c r="G12" i="4"/>
  <c r="F42" i="3"/>
  <c r="E42" i="3"/>
  <c r="E43" i="3" s="1"/>
  <c r="F12" i="4"/>
  <c r="B19" i="3"/>
  <c r="B130" i="3" s="1"/>
  <c r="B159" i="3" s="1"/>
  <c r="F94" i="3"/>
  <c r="F100" i="3" s="1"/>
  <c r="F20" i="3"/>
  <c r="F131" i="3" s="1"/>
  <c r="F39" i="3"/>
  <c r="F19" i="3"/>
  <c r="F130" i="3" s="1"/>
  <c r="B180" i="3" s="1"/>
  <c r="G4" i="7"/>
  <c r="L4" i="7" s="1"/>
  <c r="M4" i="7" s="1"/>
  <c r="C15" i="6"/>
  <c r="D16" i="5"/>
  <c r="C32" i="4"/>
  <c r="E36" i="10"/>
  <c r="E43" i="10" s="1"/>
  <c r="E136" i="3"/>
  <c r="E137" i="3" s="1"/>
  <c r="E20" i="4"/>
  <c r="C25" i="6"/>
  <c r="B30" i="6"/>
  <c r="C42" i="3"/>
  <c r="D12" i="4"/>
  <c r="F43" i="3" l="1"/>
  <c r="B44" i="3"/>
  <c r="B102" i="3" s="1"/>
  <c r="B46" i="3"/>
  <c r="B47" i="3" s="1"/>
  <c r="F36" i="10"/>
  <c r="F136" i="3"/>
  <c r="F137" i="3" s="1"/>
  <c r="C170" i="3"/>
  <c r="C178" i="3"/>
  <c r="C165" i="3"/>
  <c r="C167" i="3"/>
  <c r="C169" i="3"/>
  <c r="C173" i="3"/>
  <c r="C175" i="3"/>
  <c r="C166" i="3"/>
  <c r="C164" i="3"/>
  <c r="C172" i="3"/>
  <c r="C179" i="3"/>
  <c r="C168" i="3"/>
  <c r="C176" i="3"/>
  <c r="C174" i="3"/>
  <c r="C177" i="3"/>
  <c r="C171" i="3"/>
  <c r="B37" i="10"/>
  <c r="B156" i="3"/>
  <c r="B149" i="3"/>
  <c r="B142" i="3"/>
  <c r="D142" i="3" s="1"/>
  <c r="B143" i="3"/>
  <c r="B153" i="3"/>
  <c r="B157" i="3"/>
  <c r="B147" i="3"/>
  <c r="B144" i="3"/>
  <c r="B150" i="3"/>
  <c r="B152" i="3"/>
  <c r="B154" i="3"/>
  <c r="B151" i="3"/>
  <c r="B146" i="3"/>
  <c r="D146" i="3" s="1"/>
  <c r="B158" i="3"/>
  <c r="B145" i="3"/>
  <c r="B155" i="3"/>
  <c r="B148" i="3"/>
  <c r="G15" i="6"/>
  <c r="H16" i="5"/>
  <c r="G32" i="4"/>
  <c r="G16" i="5"/>
  <c r="F15" i="6"/>
  <c r="F32" i="4"/>
  <c r="C136" i="3"/>
  <c r="C137" i="3" s="1"/>
  <c r="C36" i="10"/>
  <c r="C43" i="10" s="1"/>
  <c r="B36" i="10"/>
  <c r="C146" i="3"/>
  <c r="C152" i="3"/>
  <c r="C151" i="3"/>
  <c r="C155" i="3"/>
  <c r="B137" i="3"/>
  <c r="C147" i="3"/>
  <c r="C143" i="3"/>
  <c r="C148" i="3"/>
  <c r="C153" i="3"/>
  <c r="C156" i="3"/>
  <c r="C149" i="3"/>
  <c r="C157" i="3"/>
  <c r="C144" i="3"/>
  <c r="C158" i="3"/>
  <c r="C150" i="3"/>
  <c r="C145" i="3"/>
  <c r="C154" i="3"/>
  <c r="E32" i="4"/>
  <c r="F16" i="5"/>
  <c r="E15" i="6"/>
  <c r="D15" i="6"/>
  <c r="D32" i="4"/>
  <c r="E16" i="5"/>
  <c r="F37" i="10"/>
  <c r="B171" i="3"/>
  <c r="D171" i="3" s="1"/>
  <c r="B173" i="3"/>
  <c r="B170" i="3"/>
  <c r="D170" i="3" s="1"/>
  <c r="B169" i="3"/>
  <c r="D169" i="3" s="1"/>
  <c r="B163" i="3"/>
  <c r="D163" i="3" s="1"/>
  <c r="B176" i="3"/>
  <c r="D176" i="3" s="1"/>
  <c r="B179" i="3"/>
  <c r="B166" i="3"/>
  <c r="B178" i="3"/>
  <c r="B175" i="3"/>
  <c r="B172" i="3"/>
  <c r="D172" i="3" s="1"/>
  <c r="B174" i="3"/>
  <c r="D174" i="3" s="1"/>
  <c r="B177" i="3"/>
  <c r="B167" i="3"/>
  <c r="D167" i="3" s="1"/>
  <c r="B164" i="3"/>
  <c r="D164" i="3" s="1"/>
  <c r="B168" i="3"/>
  <c r="D168" i="3" s="1"/>
  <c r="B165" i="3"/>
  <c r="E44" i="3"/>
  <c r="E102" i="3" s="1"/>
  <c r="E106" i="3" s="1"/>
  <c r="E46" i="3"/>
  <c r="E47" i="3" s="1"/>
  <c r="C43" i="3"/>
  <c r="D44" i="3"/>
  <c r="D102" i="3" s="1"/>
  <c r="D106" i="3" s="1"/>
  <c r="D46" i="3"/>
  <c r="D47" i="3" s="1"/>
  <c r="D158" i="3" l="1"/>
  <c r="D152" i="3"/>
  <c r="D179" i="3"/>
  <c r="D153" i="3"/>
  <c r="D148" i="3"/>
  <c r="B43" i="10"/>
  <c r="C65" i="10"/>
  <c r="C61" i="10"/>
  <c r="C57" i="10"/>
  <c r="C53" i="10"/>
  <c r="C49" i="10"/>
  <c r="C60" i="10"/>
  <c r="C56" i="10"/>
  <c r="C55" i="10"/>
  <c r="C58" i="10"/>
  <c r="C50" i="10"/>
  <c r="C64" i="10"/>
  <c r="C51" i="10"/>
  <c r="C63" i="10"/>
  <c r="C59" i="10"/>
  <c r="C52" i="10"/>
  <c r="C62" i="10"/>
  <c r="C54" i="10"/>
  <c r="D157" i="3"/>
  <c r="C83" i="10"/>
  <c r="C79" i="10"/>
  <c r="C75" i="10"/>
  <c r="C71" i="10"/>
  <c r="C76" i="10"/>
  <c r="C86" i="10"/>
  <c r="C82" i="10"/>
  <c r="C78" i="10"/>
  <c r="C74" i="10"/>
  <c r="C70" i="10"/>
  <c r="C85" i="10"/>
  <c r="C81" i="10"/>
  <c r="C77" i="10"/>
  <c r="C73" i="10"/>
  <c r="C84" i="10"/>
  <c r="C80" i="10"/>
  <c r="C72" i="10"/>
  <c r="F43" i="10"/>
  <c r="D175" i="3"/>
  <c r="D173" i="3"/>
  <c r="I16" i="5"/>
  <c r="D155" i="3"/>
  <c r="D151" i="3"/>
  <c r="D144" i="3"/>
  <c r="D143" i="3"/>
  <c r="B107" i="3"/>
  <c r="B109" i="3" s="1"/>
  <c r="B106" i="3"/>
  <c r="D149" i="3"/>
  <c r="F13" i="4"/>
  <c r="F105" i="3"/>
  <c r="D150" i="3"/>
  <c r="D156" i="3"/>
  <c r="E105" i="3"/>
  <c r="E107" i="3" s="1"/>
  <c r="E109" i="3" s="1"/>
  <c r="E13" i="4"/>
  <c r="C44" i="3"/>
  <c r="C102" i="3" s="1"/>
  <c r="C106" i="3" s="1"/>
  <c r="C46" i="3"/>
  <c r="C47" i="3" s="1"/>
  <c r="D165" i="3"/>
  <c r="D177" i="3"/>
  <c r="D178" i="3"/>
  <c r="D145" i="3"/>
  <c r="D154" i="3"/>
  <c r="D147" i="3"/>
  <c r="D166" i="3"/>
  <c r="F44" i="3"/>
  <c r="F102" i="3" s="1"/>
  <c r="F106" i="3" s="1"/>
  <c r="F46" i="3"/>
  <c r="F47" i="3" s="1"/>
  <c r="E33" i="4" l="1"/>
  <c r="E34" i="4" s="1"/>
  <c r="F22" i="5" s="1"/>
  <c r="F23" i="5" s="1"/>
  <c r="E16" i="6"/>
  <c r="E17" i="6" s="1"/>
  <c r="E9" i="4"/>
  <c r="B114" i="3"/>
  <c r="B5" i="9"/>
  <c r="B6" i="9" s="1"/>
  <c r="E114" i="3"/>
  <c r="E5" i="9"/>
  <c r="E6" i="9" s="1"/>
  <c r="F16" i="6"/>
  <c r="F17" i="6" s="1"/>
  <c r="F9" i="4"/>
  <c r="F33" i="4"/>
  <c r="F34" i="4" s="1"/>
  <c r="G22" i="5" s="1"/>
  <c r="G23" i="5" s="1"/>
  <c r="G17" i="5"/>
  <c r="G13" i="4"/>
  <c r="F107" i="3"/>
  <c r="F109" i="3" s="1"/>
  <c r="D13" i="4"/>
  <c r="F17" i="5" s="1"/>
  <c r="D105" i="3"/>
  <c r="D107" i="3" s="1"/>
  <c r="D109" i="3" s="1"/>
  <c r="C13" i="4"/>
  <c r="C105" i="3"/>
  <c r="C107" i="3" s="1"/>
  <c r="C109" i="3" s="1"/>
  <c r="D8" i="7" l="1"/>
  <c r="F26" i="6"/>
  <c r="F17" i="11" s="1"/>
  <c r="E118" i="3"/>
  <c r="E116" i="3"/>
  <c r="C114" i="3"/>
  <c r="C5" i="9"/>
  <c r="C6" i="9" s="1"/>
  <c r="F114" i="3"/>
  <c r="F5" i="9"/>
  <c r="F6" i="9" s="1"/>
  <c r="F15" i="4"/>
  <c r="F10" i="13"/>
  <c r="D114" i="3"/>
  <c r="D5" i="9"/>
  <c r="D6" i="9" s="1"/>
  <c r="E15" i="4"/>
  <c r="E10" i="13"/>
  <c r="D16" i="6"/>
  <c r="D17" i="6" s="1"/>
  <c r="D9" i="4"/>
  <c r="E17" i="5"/>
  <c r="D33" i="4"/>
  <c r="D34" i="4" s="1"/>
  <c r="E22" i="5" s="1"/>
  <c r="E23" i="5" s="1"/>
  <c r="E21" i="6"/>
  <c r="E23" i="6" s="1"/>
  <c r="E6" i="11"/>
  <c r="D17" i="5"/>
  <c r="C16" i="6"/>
  <c r="C17" i="6" s="1"/>
  <c r="C33" i="4"/>
  <c r="C34" i="4" s="1"/>
  <c r="C9" i="4"/>
  <c r="H17" i="5"/>
  <c r="G16" i="6"/>
  <c r="G17" i="6" s="1"/>
  <c r="G33" i="4"/>
  <c r="G34" i="4" s="1"/>
  <c r="H22" i="5" s="1"/>
  <c r="H23" i="5" s="1"/>
  <c r="G9" i="4"/>
  <c r="F21" i="6"/>
  <c r="F23" i="6" s="1"/>
  <c r="F6" i="11"/>
  <c r="B116" i="3"/>
  <c r="B118" i="3"/>
  <c r="E26" i="6"/>
  <c r="E17" i="11" s="1"/>
  <c r="D7" i="7"/>
  <c r="F21" i="12" l="1"/>
  <c r="D9" i="14"/>
  <c r="E21" i="12"/>
  <c r="D8" i="14"/>
  <c r="F24" i="4"/>
  <c r="H5" i="7"/>
  <c r="B119" i="3"/>
  <c r="B120" i="3" s="1"/>
  <c r="G15" i="4"/>
  <c r="G24" i="4" s="1"/>
  <c r="G10" i="13"/>
  <c r="C15" i="4"/>
  <c r="C24" i="4" s="1"/>
  <c r="C10" i="13"/>
  <c r="C14" i="10"/>
  <c r="D15" i="4"/>
  <c r="E24" i="4" s="1"/>
  <c r="D10" i="13"/>
  <c r="D9" i="7"/>
  <c r="G26" i="6"/>
  <c r="G17" i="11" s="1"/>
  <c r="D22" i="5"/>
  <c r="C21" i="10"/>
  <c r="D21" i="10" s="1"/>
  <c r="D21" i="6"/>
  <c r="D23" i="6" s="1"/>
  <c r="D6" i="11"/>
  <c r="D116" i="3"/>
  <c r="D118" i="3"/>
  <c r="C118" i="3"/>
  <c r="C116" i="3"/>
  <c r="G21" i="6"/>
  <c r="G23" i="6" s="1"/>
  <c r="G6" i="11"/>
  <c r="C21" i="6"/>
  <c r="C23" i="6" s="1"/>
  <c r="C6" i="11"/>
  <c r="D26" i="6"/>
  <c r="D17" i="11" s="1"/>
  <c r="D6" i="7"/>
  <c r="I17" i="5"/>
  <c r="G5" i="9"/>
  <c r="G6" i="9" s="1"/>
  <c r="F116" i="3"/>
  <c r="F118" i="3"/>
  <c r="E119" i="3"/>
  <c r="E120" i="3" s="1"/>
  <c r="F8" i="7" s="1"/>
  <c r="H8" i="7"/>
  <c r="G21" i="12" l="1"/>
  <c r="D10" i="14"/>
  <c r="G15" i="12"/>
  <c r="C15" i="12"/>
  <c r="D21" i="12"/>
  <c r="D7" i="14"/>
  <c r="E15" i="12"/>
  <c r="F15" i="12"/>
  <c r="F5" i="7"/>
  <c r="B122" i="3"/>
  <c r="H9" i="7"/>
  <c r="F119" i="3"/>
  <c r="F120" i="3" s="1"/>
  <c r="F9" i="7" s="1"/>
  <c r="I22" i="5"/>
  <c r="D23" i="5"/>
  <c r="D24" i="4"/>
  <c r="B12" i="9"/>
  <c r="E5" i="7"/>
  <c r="B126" i="3"/>
  <c r="B128" i="3" s="1"/>
  <c r="B123" i="3"/>
  <c r="C19" i="4" s="1"/>
  <c r="E12" i="9"/>
  <c r="E9" i="14" s="1"/>
  <c r="E8" i="7"/>
  <c r="D119" i="3"/>
  <c r="H7" i="7"/>
  <c r="E122" i="3"/>
  <c r="C119" i="3"/>
  <c r="C120" i="3" s="1"/>
  <c r="F6" i="7" s="1"/>
  <c r="H6" i="7"/>
  <c r="C15" i="10"/>
  <c r="D14" i="10"/>
  <c r="B29" i="14" l="1"/>
  <c r="C29" i="14" s="1"/>
  <c r="C19" i="12"/>
  <c r="E6" i="14"/>
  <c r="D15" i="12"/>
  <c r="H15" i="12" s="1"/>
  <c r="F122" i="3"/>
  <c r="H11" i="7"/>
  <c r="D12" i="9"/>
  <c r="E7" i="7"/>
  <c r="C22" i="10"/>
  <c r="D22" i="10" s="1"/>
  <c r="D5" i="7"/>
  <c r="I23" i="5"/>
  <c r="C26" i="6"/>
  <c r="F12" i="9"/>
  <c r="E10" i="14" s="1"/>
  <c r="E9" i="7"/>
  <c r="E126" i="3"/>
  <c r="E128" i="3" s="1"/>
  <c r="E123" i="3"/>
  <c r="F19" i="4" s="1"/>
  <c r="F19" i="12"/>
  <c r="F126" i="3"/>
  <c r="F128" i="3" s="1"/>
  <c r="F123" i="3"/>
  <c r="G19" i="4" s="1"/>
  <c r="D12" i="5"/>
  <c r="C16" i="4"/>
  <c r="C22" i="4" s="1"/>
  <c r="C25" i="4" s="1"/>
  <c r="C36" i="4" s="1"/>
  <c r="C12" i="9"/>
  <c r="E6" i="7"/>
  <c r="C122" i="3"/>
  <c r="D120" i="3"/>
  <c r="F7" i="7" s="1"/>
  <c r="F11" i="7" s="1"/>
  <c r="C21" i="12" l="1"/>
  <c r="D6" i="14"/>
  <c r="G12" i="9"/>
  <c r="E8" i="14"/>
  <c r="D19" i="12"/>
  <c r="E7" i="14"/>
  <c r="C12" i="14"/>
  <c r="L27" i="14" s="1"/>
  <c r="D122" i="3"/>
  <c r="D123" i="3" s="1"/>
  <c r="E19" i="4" s="1"/>
  <c r="G12" i="5" s="1"/>
  <c r="G18" i="5" s="1"/>
  <c r="E11" i="7"/>
  <c r="D126" i="3"/>
  <c r="D128" i="3" s="1"/>
  <c r="D18" i="5"/>
  <c r="D11" i="7"/>
  <c r="B7" i="8"/>
  <c r="F7" i="8" s="1"/>
  <c r="H12" i="5"/>
  <c r="H18" i="5" s="1"/>
  <c r="H25" i="5" s="1"/>
  <c r="G16" i="4"/>
  <c r="G22" i="4" s="1"/>
  <c r="G19" i="12"/>
  <c r="C123" i="3"/>
  <c r="D19" i="4" s="1"/>
  <c r="C126" i="3"/>
  <c r="C128" i="3" s="1"/>
  <c r="E19" i="12"/>
  <c r="H19" i="12" s="1"/>
  <c r="F16" i="4"/>
  <c r="F22" i="4" s="1"/>
  <c r="C27" i="6"/>
  <c r="C28" i="6"/>
  <c r="J5" i="7" s="1"/>
  <c r="K5" i="7" s="1"/>
  <c r="E12" i="14" l="1"/>
  <c r="E12" i="5"/>
  <c r="D16" i="4"/>
  <c r="D22" i="4" s="1"/>
  <c r="D25" i="4" s="1"/>
  <c r="D36" i="4" s="1"/>
  <c r="C8" i="7"/>
  <c r="G8" i="7" s="1"/>
  <c r="G25" i="5"/>
  <c r="D25" i="5"/>
  <c r="C5" i="7"/>
  <c r="E16" i="4"/>
  <c r="E22" i="4" s="1"/>
  <c r="E25" i="4" s="1"/>
  <c r="E36" i="4" s="1"/>
  <c r="F12" i="5"/>
  <c r="F18" i="5" s="1"/>
  <c r="D25" i="6"/>
  <c r="C30" i="6"/>
  <c r="G25" i="4"/>
  <c r="G36" i="4" s="1"/>
  <c r="F25" i="4" l="1"/>
  <c r="F36" i="4" s="1"/>
  <c r="D27" i="6"/>
  <c r="D28" i="6"/>
  <c r="J6" i="7" s="1"/>
  <c r="K6" i="7" s="1"/>
  <c r="F25" i="5"/>
  <c r="C7" i="7"/>
  <c r="G7" i="7" s="1"/>
  <c r="G5" i="7"/>
  <c r="E18" i="5"/>
  <c r="I12" i="5"/>
  <c r="E25" i="5" l="1"/>
  <c r="I25" i="5" s="1"/>
  <c r="C6" i="7"/>
  <c r="I18" i="5"/>
  <c r="C9" i="7" s="1"/>
  <c r="G9" i="7" s="1"/>
  <c r="L5" i="7"/>
  <c r="M5" i="7" s="1"/>
  <c r="E25" i="6"/>
  <c r="D30" i="6"/>
  <c r="G6" i="7" l="1"/>
  <c r="B6" i="8"/>
  <c r="F6" i="8" s="1"/>
  <c r="C11" i="7"/>
  <c r="M20" i="7" s="1"/>
  <c r="E28" i="6"/>
  <c r="J7" i="7" s="1"/>
  <c r="K7" i="7" s="1"/>
  <c r="L7" i="7" s="1"/>
  <c r="E27" i="6"/>
  <c r="B8" i="8" l="1"/>
  <c r="E30" i="6"/>
  <c r="F25" i="6"/>
  <c r="L6" i="7"/>
  <c r="M6" i="7" s="1"/>
  <c r="M7" i="7" s="1"/>
  <c r="G11" i="7"/>
  <c r="E5" i="8" l="1"/>
  <c r="E6" i="8"/>
  <c r="F8" i="8"/>
  <c r="G5" i="8"/>
  <c r="G7" i="8"/>
  <c r="G6" i="8"/>
  <c r="F27" i="6"/>
  <c r="F28" i="6"/>
  <c r="J8" i="7" s="1"/>
  <c r="C5" i="8"/>
  <c r="C7" i="8"/>
  <c r="C6" i="8"/>
  <c r="G8" i="8" l="1"/>
  <c r="E8" i="8"/>
  <c r="C8" i="8"/>
  <c r="K8" i="7"/>
  <c r="G25" i="6"/>
  <c r="F30" i="6"/>
  <c r="L8" i="7" l="1"/>
  <c r="G27" i="6"/>
  <c r="G28" i="6"/>
  <c r="J9" i="7" s="1"/>
  <c r="K9" i="7" l="1"/>
  <c r="J11" i="7"/>
  <c r="M19" i="7" s="1"/>
  <c r="G30" i="6"/>
  <c r="M8" i="7"/>
  <c r="L9" i="7" l="1"/>
  <c r="D15" i="7" s="1"/>
  <c r="K11" i="7"/>
  <c r="L11" i="7" s="1"/>
  <c r="D13" i="7" s="1"/>
  <c r="M9" i="7" l="1"/>
  <c r="M21" i="7" s="1"/>
  <c r="B32" i="17" l="1"/>
  <c r="B33" i="17" s="1"/>
  <c r="B14" i="8" l="1"/>
  <c r="F33" i="17"/>
  <c r="I34" i="17"/>
  <c r="C14" i="8"/>
  <c r="I33" i="17"/>
  <c r="D33" i="17"/>
  <c r="D34" i="17"/>
  <c r="B34" i="17"/>
  <c r="I35" i="17" s="1"/>
  <c r="G33" i="17" l="1"/>
  <c r="J33" i="17"/>
  <c r="D35" i="17"/>
  <c r="D14" i="8"/>
  <c r="I14" i="8" l="1"/>
  <c r="B35" i="17"/>
  <c r="I36" i="17" s="1"/>
  <c r="B36" i="17" l="1"/>
  <c r="I37" i="17" s="1"/>
  <c r="D36" i="17"/>
  <c r="D37" i="17" l="1"/>
  <c r="B37" i="17"/>
  <c r="I38" i="17" s="1"/>
  <c r="B38" i="17" l="1"/>
  <c r="D38" i="17"/>
  <c r="I39" i="17" l="1"/>
  <c r="B39" i="17"/>
  <c r="B15" i="8" s="1"/>
  <c r="D39" i="17"/>
  <c r="F15" i="8" l="1"/>
  <c r="B30" i="10"/>
  <c r="D30" i="10" s="1"/>
  <c r="D40" i="17"/>
  <c r="G39" i="17"/>
  <c r="G40" i="17" s="1"/>
  <c r="F39" i="17"/>
  <c r="B41" i="17"/>
  <c r="J39" i="17"/>
  <c r="I40" i="17"/>
  <c r="D15" i="8" l="1"/>
  <c r="G15" i="8" s="1"/>
  <c r="I15" i="8"/>
  <c r="I21" i="8" s="1"/>
  <c r="J40" i="17"/>
  <c r="D42" i="17"/>
  <c r="B42" i="17"/>
  <c r="E94" i="17"/>
  <c r="C15" i="8"/>
  <c r="E15" i="8" s="1"/>
  <c r="D21" i="8"/>
  <c r="G21" i="8" l="1"/>
  <c r="I5" i="14"/>
  <c r="H18" i="12"/>
  <c r="H15" i="8"/>
  <c r="D43" i="17"/>
  <c r="B43" i="17"/>
  <c r="L5" i="14" l="1"/>
  <c r="C25" i="12"/>
  <c r="B7" i="10"/>
  <c r="D25" i="12"/>
  <c r="J7" i="14" s="1"/>
  <c r="E25" i="12"/>
  <c r="J8" i="14" s="1"/>
  <c r="C18" i="10"/>
  <c r="D18" i="10" s="1"/>
  <c r="B44" i="17"/>
  <c r="D44" i="17"/>
  <c r="J6" i="14" l="1"/>
  <c r="J12" i="14" s="1"/>
  <c r="H25" i="12"/>
  <c r="D7" i="10"/>
  <c r="B8" i="10"/>
  <c r="B21" i="12"/>
  <c r="H21" i="12" s="1"/>
  <c r="D5" i="14"/>
  <c r="D12" i="14" s="1"/>
  <c r="B18" i="11"/>
  <c r="C16" i="11"/>
  <c r="B45" i="17"/>
  <c r="D45" i="17"/>
  <c r="B5" i="14" l="1"/>
  <c r="B14" i="12"/>
  <c r="B9" i="10"/>
  <c r="D9" i="10" s="1"/>
  <c r="D8" i="10"/>
  <c r="B17" i="13"/>
  <c r="B46" i="17"/>
  <c r="D46" i="17"/>
  <c r="B10" i="10" l="1"/>
  <c r="B13" i="12"/>
  <c r="H14" i="12"/>
  <c r="C17" i="13"/>
  <c r="B12" i="14"/>
  <c r="L25" i="14" s="1"/>
  <c r="G5" i="14"/>
  <c r="D47" i="17"/>
  <c r="G47" i="17" s="1"/>
  <c r="D22" i="8" s="1"/>
  <c r="B47" i="17"/>
  <c r="B22" i="8" s="1"/>
  <c r="C12" i="13" l="1"/>
  <c r="D14" i="13"/>
  <c r="D17" i="13" s="1"/>
  <c r="M5" i="14"/>
  <c r="D10" i="10"/>
  <c r="B25" i="10"/>
  <c r="F47" i="17"/>
  <c r="D48" i="17"/>
  <c r="B48" i="17"/>
  <c r="D12" i="13" l="1"/>
  <c r="E14" i="13"/>
  <c r="E17" i="13" s="1"/>
  <c r="N5" i="14"/>
  <c r="D25" i="10"/>
  <c r="B27" i="10"/>
  <c r="B32" i="10" s="1"/>
  <c r="B31" i="10" s="1"/>
  <c r="B49" i="17"/>
  <c r="D49" i="17"/>
  <c r="B7" i="12" l="1"/>
  <c r="B5" i="12" s="1"/>
  <c r="B24" i="12" s="1"/>
  <c r="B27" i="12" s="1"/>
  <c r="B24" i="14"/>
  <c r="B32" i="13"/>
  <c r="B31" i="13" s="1"/>
  <c r="F14" i="13"/>
  <c r="F17" i="13" s="1"/>
  <c r="E12" i="13"/>
  <c r="D50" i="17"/>
  <c r="B50" i="17"/>
  <c r="C24" i="14" l="1"/>
  <c r="F12" i="13"/>
  <c r="G14" i="13"/>
  <c r="G17" i="13" s="1"/>
  <c r="G12" i="13" s="1"/>
  <c r="C6" i="12"/>
  <c r="B28" i="12"/>
  <c r="E24" i="14" s="1"/>
  <c r="B51" i="17"/>
  <c r="D51" i="17"/>
  <c r="F24" i="14" l="1"/>
  <c r="B52" i="17"/>
  <c r="D52" i="17"/>
  <c r="G24" i="14" l="1"/>
  <c r="B53" i="17"/>
  <c r="I23" i="8"/>
  <c r="D53" i="17"/>
  <c r="G53" i="17" s="1"/>
  <c r="D23" i="8" s="1"/>
  <c r="B23" i="8" l="1"/>
  <c r="B29" i="13"/>
  <c r="B28" i="13" s="1"/>
  <c r="H24" i="14"/>
  <c r="G23" i="8"/>
  <c r="F53" i="17"/>
  <c r="B54" i="17"/>
  <c r="D54" i="17"/>
  <c r="F23" i="8" l="1"/>
  <c r="B27" i="13"/>
  <c r="B25" i="13" s="1"/>
  <c r="B30" i="13" s="1"/>
  <c r="B35" i="13" s="1"/>
  <c r="C10" i="11"/>
  <c r="C12" i="11" s="1"/>
  <c r="C14" i="11" s="1"/>
  <c r="I6" i="14"/>
  <c r="H23" i="8"/>
  <c r="B10" i="9"/>
  <c r="D55" i="17"/>
  <c r="B55" i="17"/>
  <c r="K6" i="14" l="1"/>
  <c r="B23" i="13"/>
  <c r="B12" i="13" s="1"/>
  <c r="D16" i="11"/>
  <c r="C11" i="12"/>
  <c r="B5" i="13"/>
  <c r="C16" i="12"/>
  <c r="B11" i="9"/>
  <c r="H6" i="14" s="1"/>
  <c r="B42" i="10"/>
  <c r="B66" i="10" s="1"/>
  <c r="B56" i="17"/>
  <c r="D56" i="17"/>
  <c r="B24" i="13" l="1"/>
  <c r="B38" i="13" s="1"/>
  <c r="L6" i="14"/>
  <c r="B13" i="9"/>
  <c r="B54" i="10"/>
  <c r="D54" i="10" s="1"/>
  <c r="B60" i="10"/>
  <c r="D60" i="10" s="1"/>
  <c r="B51" i="10"/>
  <c r="D51" i="10" s="1"/>
  <c r="B63" i="10"/>
  <c r="D63" i="10" s="1"/>
  <c r="B65" i="10"/>
  <c r="D65" i="10" s="1"/>
  <c r="B61" i="10"/>
  <c r="D61" i="10" s="1"/>
  <c r="B59" i="10"/>
  <c r="D59" i="10" s="1"/>
  <c r="B52" i="10"/>
  <c r="D52" i="10" s="1"/>
  <c r="B57" i="10"/>
  <c r="D57" i="10" s="1"/>
  <c r="B64" i="10"/>
  <c r="D64" i="10" s="1"/>
  <c r="B50" i="10"/>
  <c r="D50" i="10" s="1"/>
  <c r="B49" i="10"/>
  <c r="D49" i="10" s="1"/>
  <c r="B53" i="10"/>
  <c r="D53" i="10" s="1"/>
  <c r="B56" i="10"/>
  <c r="D56" i="10" s="1"/>
  <c r="B55" i="10"/>
  <c r="D55" i="10" s="1"/>
  <c r="B62" i="10"/>
  <c r="D62" i="10" s="1"/>
  <c r="B44" i="10"/>
  <c r="B58" i="10"/>
  <c r="D58" i="10" s="1"/>
  <c r="D57" i="17"/>
  <c r="B57" i="17"/>
  <c r="B14" i="9" l="1"/>
  <c r="C33" i="13" s="1"/>
  <c r="D34" i="13" s="1"/>
  <c r="F6" i="14"/>
  <c r="C19" i="10"/>
  <c r="C17" i="12"/>
  <c r="B58" i="17"/>
  <c r="D58" i="17"/>
  <c r="G6" i="14" l="1"/>
  <c r="D19" i="10"/>
  <c r="C20" i="10"/>
  <c r="C13" i="12"/>
  <c r="B59" i="17"/>
  <c r="B24" i="8" s="1"/>
  <c r="D59" i="17"/>
  <c r="G59" i="17" s="1"/>
  <c r="D24" i="8" s="1"/>
  <c r="M6" i="14" l="1"/>
  <c r="C23" i="10"/>
  <c r="D20" i="10"/>
  <c r="D60" i="17"/>
  <c r="F59" i="17"/>
  <c r="B60" i="17"/>
  <c r="N6" i="14" l="1"/>
  <c r="D23" i="10"/>
  <c r="C26" i="10"/>
  <c r="B61" i="17"/>
  <c r="D61" i="17"/>
  <c r="C27" i="10" l="1"/>
  <c r="D26" i="10"/>
  <c r="B62" i="17"/>
  <c r="D62" i="17"/>
  <c r="D27" i="10" l="1"/>
  <c r="C32" i="10"/>
  <c r="C31" i="10" s="1"/>
  <c r="B63" i="17"/>
  <c r="D63" i="17"/>
  <c r="B25" i="14" l="1"/>
  <c r="D32" i="13"/>
  <c r="C32" i="13"/>
  <c r="C31" i="13" s="1"/>
  <c r="E32" i="13"/>
  <c r="F32" i="13"/>
  <c r="G32" i="13"/>
  <c r="D31" i="10"/>
  <c r="C7" i="12"/>
  <c r="D64" i="17"/>
  <c r="B64" i="17"/>
  <c r="C25" i="14" l="1"/>
  <c r="C31" i="14" s="1"/>
  <c r="B31" i="14"/>
  <c r="H7" i="12"/>
  <c r="C5" i="12"/>
  <c r="D32" i="10"/>
  <c r="I25" i="8"/>
  <c r="B65" i="17"/>
  <c r="D65" i="17"/>
  <c r="G65" i="17" s="1"/>
  <c r="D25" i="8" s="1"/>
  <c r="B25" i="8" l="1"/>
  <c r="C29" i="13"/>
  <c r="C28" i="13" s="1"/>
  <c r="E29" i="10"/>
  <c r="E30" i="10"/>
  <c r="G25" i="8"/>
  <c r="I7" i="14" s="1"/>
  <c r="C24" i="12"/>
  <c r="C27" i="12" s="1"/>
  <c r="E31" i="10"/>
  <c r="F65" i="17"/>
  <c r="B66" i="17"/>
  <c r="D66" i="17"/>
  <c r="F25" i="8" l="1"/>
  <c r="H25" i="8" s="1"/>
  <c r="C27" i="13"/>
  <c r="C25" i="13" s="1"/>
  <c r="C30" i="13" s="1"/>
  <c r="C35" i="13" s="1"/>
  <c r="D9" i="11"/>
  <c r="D10" i="11" s="1"/>
  <c r="D12" i="11" s="1"/>
  <c r="D14" i="11" s="1"/>
  <c r="C10" i="9"/>
  <c r="C28" i="12"/>
  <c r="C8" i="13"/>
  <c r="D6" i="12"/>
  <c r="E32" i="10"/>
  <c r="D67" i="17"/>
  <c r="B67" i="17"/>
  <c r="E25" i="14" l="1"/>
  <c r="F25" i="14" s="1"/>
  <c r="D16" i="12"/>
  <c r="C42" i="10"/>
  <c r="C44" i="10" s="1"/>
  <c r="C11" i="9"/>
  <c r="H7" i="14" s="1"/>
  <c r="K7" i="14"/>
  <c r="E16" i="11"/>
  <c r="B68" i="17"/>
  <c r="D68" i="17"/>
  <c r="L7" i="14" l="1"/>
  <c r="G25" i="14"/>
  <c r="C11" i="13"/>
  <c r="C5" i="13" s="1"/>
  <c r="C24" i="13" s="1"/>
  <c r="C38" i="13" s="1"/>
  <c r="D11" i="12"/>
  <c r="C13" i="9"/>
  <c r="B69" i="17"/>
  <c r="D69" i="17"/>
  <c r="H25" i="14" l="1"/>
  <c r="C14" i="9"/>
  <c r="D33" i="13" s="1"/>
  <c r="F7" i="14"/>
  <c r="D17" i="12"/>
  <c r="D5" i="12"/>
  <c r="B70" i="17"/>
  <c r="D70" i="17"/>
  <c r="E34" i="13" l="1"/>
  <c r="D31" i="13"/>
  <c r="G7" i="14"/>
  <c r="D13" i="12"/>
  <c r="D24" i="12" s="1"/>
  <c r="D27" i="12" s="1"/>
  <c r="D71" i="17"/>
  <c r="G71" i="17" s="1"/>
  <c r="D26" i="8" s="1"/>
  <c r="B71" i="17"/>
  <c r="B26" i="8" s="1"/>
  <c r="M7" i="14" l="1"/>
  <c r="D8" i="13"/>
  <c r="D28" i="12"/>
  <c r="E6" i="12"/>
  <c r="D72" i="17"/>
  <c r="F71" i="17"/>
  <c r="B72" i="17"/>
  <c r="E26" i="14" l="1"/>
  <c r="F26" i="14" s="1"/>
  <c r="N7" i="14"/>
  <c r="B73" i="17"/>
  <c r="D73" i="17"/>
  <c r="G26" i="14" l="1"/>
  <c r="D74" i="17"/>
  <c r="B74" i="17"/>
  <c r="H26" i="14" l="1"/>
  <c r="B75" i="17"/>
  <c r="D75" i="17"/>
  <c r="D76" i="17" l="1"/>
  <c r="B76" i="17"/>
  <c r="B77" i="17" l="1"/>
  <c r="I27" i="8"/>
  <c r="D77" i="17"/>
  <c r="G77" i="17" s="1"/>
  <c r="D27" i="8" s="1"/>
  <c r="B27" i="8" l="1"/>
  <c r="D29" i="13"/>
  <c r="D28" i="13" s="1"/>
  <c r="B78" i="17"/>
  <c r="F77" i="17"/>
  <c r="D78" i="17"/>
  <c r="F27" i="8" l="1"/>
  <c r="D27" i="13"/>
  <c r="D25" i="13" s="1"/>
  <c r="D30" i="13" s="1"/>
  <c r="D35" i="13" s="1"/>
  <c r="B79" i="17"/>
  <c r="D79" i="17"/>
  <c r="B80" i="17" l="1"/>
  <c r="D80" i="17"/>
  <c r="D81" i="17" l="1"/>
  <c r="B81" i="17"/>
  <c r="B82" i="17" l="1"/>
  <c r="D82" i="17"/>
  <c r="D83" i="17" l="1"/>
  <c r="G83" i="17" s="1"/>
  <c r="D28" i="8" s="1"/>
  <c r="B83" i="17"/>
  <c r="B28" i="8" s="1"/>
  <c r="D84" i="17" l="1"/>
  <c r="F83" i="17"/>
  <c r="B84" i="17"/>
  <c r="B85" i="17" l="1"/>
  <c r="D85" i="17"/>
  <c r="D86" i="17" l="1"/>
  <c r="B86" i="17"/>
  <c r="B87" i="17" l="1"/>
  <c r="D87" i="17"/>
  <c r="D88" i="17" l="1"/>
  <c r="B88" i="17"/>
  <c r="B89" i="17" l="1"/>
  <c r="I29" i="8"/>
  <c r="D89" i="17"/>
  <c r="G89" i="17" s="1"/>
  <c r="D29" i="8" s="1"/>
  <c r="B29" i="8" l="1"/>
  <c r="E27" i="13" s="1"/>
  <c r="E25" i="13" s="1"/>
  <c r="E29" i="13"/>
  <c r="E28" i="13" s="1"/>
  <c r="G29" i="8"/>
  <c r="I9" i="14" s="1"/>
  <c r="G27" i="8"/>
  <c r="I8" i="14" s="1"/>
  <c r="F29" i="8"/>
  <c r="F31" i="8"/>
  <c r="F89" i="17"/>
  <c r="B90" i="17"/>
  <c r="D90" i="17"/>
  <c r="E30" i="13" l="1"/>
  <c r="F9" i="11"/>
  <c r="F10" i="11" s="1"/>
  <c r="F12" i="11" s="1"/>
  <c r="F14" i="11" s="1"/>
  <c r="E10" i="9"/>
  <c r="H29" i="8"/>
  <c r="H27" i="8"/>
  <c r="D10" i="9"/>
  <c r="E9" i="11"/>
  <c r="E10" i="11" s="1"/>
  <c r="E12" i="11" s="1"/>
  <c r="E14" i="11" s="1"/>
  <c r="D91" i="17"/>
  <c r="B91" i="17"/>
  <c r="F16" i="11" l="1"/>
  <c r="F18" i="11" s="1"/>
  <c r="K8" i="14"/>
  <c r="E42" i="10"/>
  <c r="E44" i="10" s="1"/>
  <c r="F16" i="12"/>
  <c r="E11" i="9"/>
  <c r="H9" i="14" s="1"/>
  <c r="E16" i="12"/>
  <c r="D42" i="10"/>
  <c r="D44" i="10" s="1"/>
  <c r="D11" i="9"/>
  <c r="H8" i="14" s="1"/>
  <c r="I94" i="17"/>
  <c r="D92" i="17"/>
  <c r="D94" i="17" s="1"/>
  <c r="L8" i="14" l="1"/>
  <c r="G92" i="17"/>
  <c r="D30" i="8" s="1"/>
  <c r="G31" i="8" s="1"/>
  <c r="E11" i="12"/>
  <c r="D11" i="13"/>
  <c r="D5" i="13" s="1"/>
  <c r="D24" i="13" s="1"/>
  <c r="D38" i="13" s="1"/>
  <c r="E13" i="9"/>
  <c r="K9" i="14"/>
  <c r="L9" i="14" s="1"/>
  <c r="D13" i="9"/>
  <c r="F8" i="14" s="1"/>
  <c r="G94" i="17"/>
  <c r="G8" i="14" l="1"/>
  <c r="F17" i="12"/>
  <c r="F13" i="12" s="1"/>
  <c r="F9" i="14"/>
  <c r="G9" i="14" s="1"/>
  <c r="M9" i="14" s="1"/>
  <c r="D14" i="9"/>
  <c r="E33" i="13" s="1"/>
  <c r="E14" i="9"/>
  <c r="F33" i="13" s="1"/>
  <c r="D33" i="8"/>
  <c r="F11" i="12"/>
  <c r="E11" i="13"/>
  <c r="E5" i="12"/>
  <c r="J94" i="17"/>
  <c r="I31" i="8"/>
  <c r="I33" i="8" s="1"/>
  <c r="E17" i="12"/>
  <c r="G16" i="11"/>
  <c r="G18" i="11" s="1"/>
  <c r="F10" i="9"/>
  <c r="H31" i="8"/>
  <c r="G33" i="8"/>
  <c r="I10" i="14" l="1"/>
  <c r="I12" i="14" s="1"/>
  <c r="M8" i="14"/>
  <c r="D15" i="14" s="1"/>
  <c r="F34" i="13"/>
  <c r="F31" i="13" s="1"/>
  <c r="F35" i="13" s="1"/>
  <c r="E31" i="13"/>
  <c r="E35" i="13" s="1"/>
  <c r="F42" i="10"/>
  <c r="G16" i="12"/>
  <c r="H16" i="12" s="1"/>
  <c r="F11" i="9"/>
  <c r="H10" i="14" s="1"/>
  <c r="G10" i="9"/>
  <c r="G9" i="11"/>
  <c r="G10" i="11" s="1"/>
  <c r="G12" i="11" s="1"/>
  <c r="G14" i="11" s="1"/>
  <c r="E13" i="12"/>
  <c r="E24" i="12" s="1"/>
  <c r="E27" i="12" s="1"/>
  <c r="G34" i="13" l="1"/>
  <c r="G11" i="12"/>
  <c r="H11" i="12" s="1"/>
  <c r="K10" i="14"/>
  <c r="K12" i="14" s="1"/>
  <c r="L26" i="14" s="1"/>
  <c r="H12" i="14"/>
  <c r="N8" i="14"/>
  <c r="N9" i="14" s="1"/>
  <c r="F6" i="12"/>
  <c r="F5" i="12" s="1"/>
  <c r="E8" i="13"/>
  <c r="E5" i="13" s="1"/>
  <c r="E24" i="13" s="1"/>
  <c r="E38" i="13" s="1"/>
  <c r="E28" i="12"/>
  <c r="B87" i="10"/>
  <c r="B82" i="10"/>
  <c r="D82" i="10" s="1"/>
  <c r="B81" i="10"/>
  <c r="D81" i="10" s="1"/>
  <c r="F44" i="10"/>
  <c r="B72" i="10"/>
  <c r="D72" i="10" s="1"/>
  <c r="B86" i="10"/>
  <c r="D86" i="10" s="1"/>
  <c r="B75" i="10"/>
  <c r="D75" i="10" s="1"/>
  <c r="B83" i="10"/>
  <c r="D83" i="10" s="1"/>
  <c r="B78" i="10"/>
  <c r="D78" i="10" s="1"/>
  <c r="B77" i="10"/>
  <c r="D77" i="10" s="1"/>
  <c r="B84" i="10"/>
  <c r="D84" i="10" s="1"/>
  <c r="B79" i="10"/>
  <c r="D79" i="10" s="1"/>
  <c r="B85" i="10"/>
  <c r="D85" i="10" s="1"/>
  <c r="B76" i="10"/>
  <c r="D76" i="10" s="1"/>
  <c r="B71" i="10"/>
  <c r="D71" i="10" s="1"/>
  <c r="B74" i="10"/>
  <c r="D74" i="10" s="1"/>
  <c r="B73" i="10"/>
  <c r="D73" i="10" s="1"/>
  <c r="B80" i="10"/>
  <c r="D80" i="10" s="1"/>
  <c r="B70" i="10"/>
  <c r="D70" i="10" s="1"/>
  <c r="F13" i="9"/>
  <c r="F10" i="14" s="1"/>
  <c r="G11" i="9"/>
  <c r="L10" i="14" l="1"/>
  <c r="L12" i="14" s="1"/>
  <c r="E27" i="14"/>
  <c r="F27" i="14" s="1"/>
  <c r="G10" i="14"/>
  <c r="G12" i="14" s="1"/>
  <c r="F12" i="14"/>
  <c r="D14" i="14" s="1"/>
  <c r="F14" i="9"/>
  <c r="G17" i="12"/>
  <c r="G13" i="9"/>
  <c r="F24" i="12"/>
  <c r="F27" i="12" s="1"/>
  <c r="M10" i="14" l="1"/>
  <c r="N10" i="14" s="1"/>
  <c r="G14" i="9"/>
  <c r="G33" i="13"/>
  <c r="G27" i="14"/>
  <c r="D35" i="14" s="1"/>
  <c r="D16" i="14"/>
  <c r="F8" i="13"/>
  <c r="F5" i="13" s="1"/>
  <c r="F24" i="13" s="1"/>
  <c r="F38" i="13" s="1"/>
  <c r="G6" i="12"/>
  <c r="G5" i="12" s="1"/>
  <c r="F28" i="12"/>
  <c r="G13" i="12"/>
  <c r="H13" i="12" s="1"/>
  <c r="H17" i="12"/>
  <c r="M12" i="14" l="1"/>
  <c r="L28" i="14" s="1"/>
  <c r="E28" i="14"/>
  <c r="F28" i="14" s="1"/>
  <c r="G31" i="13"/>
  <c r="G35" i="13" s="1"/>
  <c r="H27" i="14"/>
  <c r="G24" i="12"/>
  <c r="G27" i="12" s="1"/>
  <c r="H27" i="12" s="1"/>
  <c r="H5" i="12"/>
  <c r="H24" i="12" s="1"/>
  <c r="G28" i="14" l="1"/>
  <c r="G28" i="12"/>
  <c r="G8" i="13"/>
  <c r="G5" i="13" s="1"/>
  <c r="G24" i="13" s="1"/>
  <c r="G38" i="13" s="1"/>
  <c r="E29" i="14" l="1"/>
  <c r="F29" i="14" s="1"/>
  <c r="H28" i="12"/>
  <c r="L36" i="14"/>
  <c r="H28" i="14"/>
  <c r="E31" i="14" l="1"/>
  <c r="G29" i="14"/>
  <c r="F31" i="14"/>
  <c r="H29" i="14" l="1"/>
  <c r="H31" i="14" s="1"/>
  <c r="D36" i="14"/>
  <c r="G31" i="14"/>
  <c r="D34" i="14" l="1"/>
  <c r="L30" i="14"/>
  <c r="L34" i="14"/>
  <c r="L33" i="14"/>
  <c r="L32" i="14"/>
  <c r="L31" i="14"/>
</calcChain>
</file>

<file path=xl/sharedStrings.xml><?xml version="1.0" encoding="utf-8"?>
<sst xmlns="http://schemas.openxmlformats.org/spreadsheetml/2006/main" count="958" uniqueCount="606">
  <si>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</si>
  <si>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</si>
  <si>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</si>
  <si>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</si>
  <si>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</si>
  <si>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</si>
  <si>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</si>
  <si>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</si>
  <si>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</si>
  <si>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</si>
  <si>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</si>
  <si>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</si>
  <si>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</si>
  <si>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</si>
  <si>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</si>
  <si>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</si>
  <si>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</si>
  <si>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</si>
  <si>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</si>
  <si>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</si>
  <si>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</si>
  <si>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</si>
  <si>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</si>
  <si>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</si>
  <si>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</si>
  <si>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</si>
  <si>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</si>
  <si>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</si>
  <si>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</si>
  <si>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</si>
  <si>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</si>
  <si>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</si>
  <si>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</si>
  <si>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</si>
  <si>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</si>
  <si>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</si>
  <si>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</si>
  <si>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</si>
  <si>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</si>
  <si>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</si>
  <si>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</si>
  <si>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</si>
  <si>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</si>
  <si>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</si>
  <si>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</si>
  <si>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</si>
  <si>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</si>
  <si>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</si>
  <si>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Libertadores2018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</si>
  <si>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</si>
  <si>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</si>
  <si>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</si>
  <si>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</si>
  <si>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</si>
  <si>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</si>
  <si>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</si>
  <si>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</si>
  <si>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</si>
  <si>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</si>
  <si>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</si>
  <si>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</si>
  <si>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</si>
  <si>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</si>
  <si>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</si>
  <si>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</si>
  <si>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</si>
  <si>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</si>
  <si>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</si>
  <si>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</si>
  <si>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</si>
  <si>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</si>
  <si>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</si>
  <si>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</si>
  <si>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</si>
  <si>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</si>
  <si>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</si>
  <si>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</si>
  <si>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</si>
  <si>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</si>
  <si>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</si>
  <si>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</si>
  <si>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</si>
  <si>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</si>
  <si>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</si>
  <si>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</si>
  <si>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</si>
  <si>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</si>
  <si>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</si>
  <si>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</si>
  <si>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</si>
  <si>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</si>
  <si>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</si>
  <si>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</si>
  <si>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</si>
  <si>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</si>
  <si>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</si>
  <si>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</si>
  <si>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</si>
  <si>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</si>
  <si>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</si>
  <si>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</si>
  <si>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</si>
  <si>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</si>
  <si>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</si>
  <si>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</si>
  <si>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</si>
  <si>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</si>
  <si>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</si>
  <si>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</si>
  <si>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</si>
  <si>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</si>
  <si>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</si>
  <si>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</si>
  <si>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</si>
  <si>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</si>
  <si>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</si>
  <si>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</si>
  <si>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</si>
  <si>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</si>
  <si>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</si>
  <si>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</si>
  <si>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</si>
  <si>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</si>
  <si>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</si>
  <si>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</si>
  <si>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</si>
  <si>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</si>
  <si>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</si>
  <si>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</si>
  <si>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</si>
  <si>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</si>
  <si>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</si>
  <si>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</si>
  <si>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</si>
  <si>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</si>
  <si>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</si>
  <si>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</si>
  <si>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</si>
  <si>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</si>
  <si>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</si>
  <si>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</si>
  <si>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</si>
  <si>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</si>
  <si>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</si>
  <si>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</si>
  <si>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</si>
  <si>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</si>
  <si>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</si>
  <si>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</si>
  <si>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</si>
  <si>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</si>
  <si>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</si>
  <si>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</si>
  <si>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</si>
  <si>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</si>
  <si>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</si>
  <si>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</si>
  <si>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</si>
  <si>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</si>
  <si>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</si>
  <si>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</si>
  <si>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</si>
  <si>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</si>
  <si>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</si>
  <si>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</si>
  <si>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</si>
  <si>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</si>
  <si>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</si>
  <si>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</si>
  <si>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</si>
  <si>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</si>
  <si>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</si>
  <si>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</si>
  <si>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</si>
  <si>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</si>
  <si>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</si>
  <si>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</si>
  <si>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</si>
  <si>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</si>
  <si>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</si>
  <si>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</si>
  <si>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</si>
  <si>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</si>
  <si>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</si>
  <si>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</si>
  <si>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</si>
  <si>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</si>
  <si>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</si>
  <si>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</si>
  <si>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</si>
  <si>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</si>
  <si>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</si>
  <si>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</si>
  <si>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</si>
  <si>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</si>
  <si>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</si>
  <si>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</si>
  <si>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</si>
  <si>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</si>
  <si>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</si>
  <si>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</si>
  <si>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</si>
  <si>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</si>
  <si>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</si>
  <si>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</si>
  <si>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</si>
  <si>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</si>
  <si>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</si>
  <si>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</si>
  <si>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</si>
  <si>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</si>
  <si>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</si>
  <si>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</si>
  <si>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</si>
  <si>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</si>
  <si>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</si>
  <si>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</si>
  <si>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</si>
  <si>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</si>
  <si>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</si>
  <si>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</si>
  <si>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</si>
  <si>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</si>
  <si>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</si>
  <si>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</si>
  <si>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</si>
  <si>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</si>
  <si>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</si>
  <si>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</si>
  <si>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</si>
  <si>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</si>
  <si>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</si>
  <si>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</si>
  <si>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</si>
  <si>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</si>
  <si>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</si>
  <si>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</si>
  <si>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</si>
  <si>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</si>
  <si>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</si>
  <si>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</si>
  <si>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</si>
  <si>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</si>
  <si>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</si>
  <si>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</si>
  <si>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</si>
  <si>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</si>
  <si>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</si>
  <si>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</si>
  <si>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</si>
  <si>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</si>
  <si>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</si>
  <si>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</si>
  <si>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</si>
  <si>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</si>
  <si>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</si>
  <si>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</si>
  <si>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</si>
  <si>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</si>
  <si>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</si>
  <si>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</si>
  <si>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</si>
  <si>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</si>
  <si>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</si>
  <si>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</si>
  <si>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</si>
  <si>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</si>
  <si>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</si>
  <si>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</si>
  <si>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</si>
  <si>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</si>
  <si>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</si>
  <si>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</si>
  <si>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</si>
  <si>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</si>
  <si>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</si>
  <si>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</si>
  <si>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</si>
  <si>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</si>
  <si>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</si>
  <si>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</si>
  <si>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</si>
  <si>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</si>
  <si>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</si>
  <si>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</si>
  <si>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</si>
  <si>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</si>
  <si>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</si>
  <si>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</si>
  <si>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</si>
  <si>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</si>
  <si>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</si>
  <si>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</si>
  <si>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</si>
  <si>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</si>
  <si>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</si>
  <si>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</si>
  <si>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</si>
  <si>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</si>
  <si>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</si>
  <si>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</si>
  <si>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</si>
  <si>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</si>
  <si>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</si>
  <si>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</si>
  <si>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</si>
  <si>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</si>
  <si>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</si>
  <si>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</si>
  <si>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</si>
  <si>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</si>
  <si>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</si>
  <si>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</si>
  <si>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</si>
  <si>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</si>
  <si>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</si>
  <si>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</si>
  <si>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</si>
  <si>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</si>
  <si>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</si>
  <si>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</si>
  <si>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</si>
  <si>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</si>
  <si>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</si>
  <si>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</si>
  <si>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</si>
  <si>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</si>
  <si>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</si>
  <si>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</si>
  <si>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</si>
  <si>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</si>
  <si>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</si>
  <si>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</si>
  <si>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</si>
  <si>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</si>
  <si>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</si>
  <si>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</si>
  <si>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</si>
  <si>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</si>
  <si>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</si>
  <si>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</si>
  <si>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</si>
  <si>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</si>
  <si>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</si>
  <si>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</si>
  <si>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</si>
  <si>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</si>
  <si>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</si>
  <si>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</si>
  <si>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</si>
  <si>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</si>
  <si>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</si>
  <si>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</si>
  <si>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</si>
  <si>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</si>
  <si>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</si>
  <si>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</si>
  <si>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</si>
  <si>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</si>
  <si>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</si>
  <si>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</si>
  <si>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</si>
  <si>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</si>
  <si>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</si>
  <si>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</si>
  <si>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</si>
  <si>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</si>
  <si>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</si>
  <si>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</si>
  <si>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</si>
  <si>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</si>
  <si>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</si>
  <si>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</si>
  <si>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</si>
  <si>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</si>
  <si>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</si>
  <si>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</si>
  <si>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</si>
  <si>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</si>
  <si>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</si>
  <si>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</si>
  <si>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</si>
  <si>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</si>
  <si>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</si>
  <si>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</si>
  <si>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</si>
  <si>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</si>
  <si>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</si>
  <si>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</si>
  <si>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</si>
  <si>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</si>
  <si>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</si>
  <si>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</si>
  <si>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</si>
  <si>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</si>
  <si>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</si>
  <si>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</si>
  <si>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</si>
  <si>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</si>
  <si>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</si>
  <si>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</si>
  <si>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</si>
  <si>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Ecubiertos</t>
  </si>
  <si>
    <t>20x30</t>
  </si>
  <si>
    <t>Mezcladora</t>
  </si>
  <si>
    <t>Prensa</t>
  </si>
  <si>
    <t>Horno</t>
  </si>
  <si>
    <t>Envolvedoras</t>
  </si>
  <si>
    <t>Cantidad</t>
  </si>
  <si>
    <t>Máquina</t>
  </si>
  <si>
    <t>Precio</t>
  </si>
  <si>
    <t>Valor</t>
  </si>
  <si>
    <t>Valor total</t>
  </si>
  <si>
    <t>Galpón Parque Suarez</t>
  </si>
  <si>
    <t>Valor U$D</t>
  </si>
  <si>
    <t>Valor $</t>
  </si>
  <si>
    <t>Rodados y equipos</t>
  </si>
  <si>
    <t>Camioneta</t>
  </si>
  <si>
    <t>Materias primas</t>
  </si>
  <si>
    <t>Harina de trigo</t>
  </si>
  <si>
    <t>Harina de sorgo</t>
  </si>
  <si>
    <t>Harina de arroz</t>
  </si>
  <si>
    <t>Sal</t>
  </si>
  <si>
    <t>Menta</t>
  </si>
  <si>
    <t>Jengibre</t>
  </si>
  <si>
    <t xml:space="preserve">Ajo </t>
  </si>
  <si>
    <t>Pimienta</t>
  </si>
  <si>
    <t>Unidad</t>
  </si>
  <si>
    <t>$/kg</t>
  </si>
  <si>
    <t>kg</t>
  </si>
  <si>
    <t>Cantidad unitaria</t>
  </si>
  <si>
    <t>Cernidora</t>
  </si>
  <si>
    <t>Escritorios</t>
  </si>
  <si>
    <t>Computadoras</t>
  </si>
  <si>
    <t>Sillas</t>
  </si>
  <si>
    <t>Bandejas</t>
  </si>
  <si>
    <t>Operario</t>
  </si>
  <si>
    <t>Comercial</t>
  </si>
  <si>
    <t>Administrativo</t>
  </si>
  <si>
    <t>Autoelevador</t>
  </si>
  <si>
    <t>Estanterías</t>
  </si>
  <si>
    <t>Maquina</t>
  </si>
  <si>
    <t>cernidor</t>
  </si>
  <si>
    <t>kwh</t>
  </si>
  <si>
    <t>gas</t>
  </si>
  <si>
    <t>m3 h</t>
  </si>
  <si>
    <t>electricidad</t>
  </si>
  <si>
    <t>Consumos</t>
  </si>
  <si>
    <t>$/kwh</t>
  </si>
  <si>
    <t>Sueldo</t>
  </si>
  <si>
    <t>% producción</t>
  </si>
  <si>
    <t>% administración</t>
  </si>
  <si>
    <t>% comercial</t>
  </si>
  <si>
    <t>Gas</t>
  </si>
  <si>
    <t>Produccion</t>
  </si>
  <si>
    <t>Año 2 a n</t>
  </si>
  <si>
    <t>Columna1</t>
  </si>
  <si>
    <t>SUELDOS</t>
  </si>
  <si>
    <t>Total2</t>
  </si>
  <si>
    <t>TOTAL</t>
  </si>
  <si>
    <t>Columna2</t>
  </si>
  <si>
    <t>BIENES DE USO</t>
  </si>
  <si>
    <t>VENTAS</t>
  </si>
  <si>
    <t>Stock promedio de MP</t>
  </si>
  <si>
    <t>Año 1 a 5</t>
  </si>
  <si>
    <t>Stock promedio de PT</t>
  </si>
  <si>
    <t xml:space="preserve"> Cantidad</t>
  </si>
  <si>
    <t xml:space="preserve">Año 1 a 5 </t>
  </si>
  <si>
    <t>Desperdicio real operativo</t>
  </si>
  <si>
    <t>COEFICIENTES</t>
  </si>
  <si>
    <t>VALORES DE COEFICIENTES</t>
  </si>
  <si>
    <t>BALANCE ANUAL DEL MATERIAL</t>
  </si>
  <si>
    <t>DNR</t>
  </si>
  <si>
    <t>Producciones seccionales</t>
  </si>
  <si>
    <t>Secciones</t>
  </si>
  <si>
    <t>MC Y SE</t>
  </si>
  <si>
    <t>CANTIDAD</t>
  </si>
  <si>
    <t>PRODUCTO ELABORADO</t>
  </si>
  <si>
    <t>UNIDAD</t>
  </si>
  <si>
    <t>Kg</t>
  </si>
  <si>
    <t>Gasto específico</t>
  </si>
  <si>
    <t>MOD</t>
  </si>
  <si>
    <t>MOD=</t>
  </si>
  <si>
    <t>Costo de MOD en MC y Se=</t>
  </si>
  <si>
    <t>CONSUMO MP</t>
  </si>
  <si>
    <t>AÑO 1</t>
  </si>
  <si>
    <t>AÑO 2 A 5</t>
  </si>
  <si>
    <t>Año 2 a 3</t>
  </si>
  <si>
    <t>Año 4 a 5</t>
  </si>
  <si>
    <t>Importe imputable a MCySE</t>
  </si>
  <si>
    <t xml:space="preserve">Gasto especifico </t>
  </si>
  <si>
    <t>Amortización</t>
  </si>
  <si>
    <t>MOI=</t>
  </si>
  <si>
    <t>AÑO1</t>
  </si>
  <si>
    <t xml:space="preserve">AÑO 2 A 5 </t>
  </si>
  <si>
    <t>COSTO MOI en MC y SE=</t>
  </si>
  <si>
    <t xml:space="preserve">Año 2 a 5 </t>
  </si>
  <si>
    <t>Año1</t>
  </si>
  <si>
    <t xml:space="preserve"> </t>
  </si>
  <si>
    <t>Parte inicial costos MOD</t>
  </si>
  <si>
    <t>MOI</t>
  </si>
  <si>
    <t>AMORTIZACIÓN</t>
  </si>
  <si>
    <t xml:space="preserve">MATERIALES </t>
  </si>
  <si>
    <t>MATERIALES AÑO 1=</t>
  </si>
  <si>
    <t>MATERIALES AÑO 2 A 5 =</t>
  </si>
  <si>
    <t>COSTO MAT. AÑO 1=</t>
  </si>
  <si>
    <t>COST MAT AÑO 2=</t>
  </si>
  <si>
    <t>DESCRIPCIÓN</t>
  </si>
  <si>
    <t>REFERENCIA</t>
  </si>
  <si>
    <t>VALOR</t>
  </si>
  <si>
    <t>ENERGÍA ELÉCTRICA</t>
  </si>
  <si>
    <t>COSTO EE AÑO 1=</t>
  </si>
  <si>
    <t>COSTO EE AÑO 2=</t>
  </si>
  <si>
    <t>Gasto específico Materiales año1 =</t>
  </si>
  <si>
    <t>VALORES</t>
  </si>
  <si>
    <t>Gasto específico materiales año 2=</t>
  </si>
  <si>
    <t>COMBUSTIBLE (GAS)</t>
  </si>
  <si>
    <t>Gasto específico combustible año1 =</t>
  </si>
  <si>
    <t>Gasto específico combustible año 2=</t>
  </si>
  <si>
    <t>COSTO GAS AÑO 1=</t>
  </si>
  <si>
    <t>COSTO GAS AÑO 2=</t>
  </si>
  <si>
    <t>TASAS E IMPUESTOS</t>
  </si>
  <si>
    <t>Stock promedio MP</t>
  </si>
  <si>
    <t>Año 1 a n</t>
  </si>
  <si>
    <t>Stock elaborado al inicio del periodo</t>
  </si>
  <si>
    <t>Stock elaborado al final periodo</t>
  </si>
  <si>
    <t>Stock PT</t>
  </si>
  <si>
    <t>Consumo tot MP</t>
  </si>
  <si>
    <t>Consumo especifico</t>
  </si>
  <si>
    <t>Consumo MP por PT</t>
  </si>
  <si>
    <t>Consumo M por MC y SE</t>
  </si>
  <si>
    <t>[peso cuchara]=Kg</t>
  </si>
  <si>
    <t>año 1</t>
  </si>
  <si>
    <t>año 2 a 5</t>
  </si>
  <si>
    <t>Año 2 a 5</t>
  </si>
  <si>
    <t xml:space="preserve">GASTOS DE PUESTA EN MARCHA </t>
  </si>
  <si>
    <t>Exceso consumo x PM</t>
  </si>
  <si>
    <t>Gasto específico MP Año 1</t>
  </si>
  <si>
    <t>Gasto específico MP Año 2 a 5</t>
  </si>
  <si>
    <t>Consumo excedente MP</t>
  </si>
  <si>
    <t>Gasto específico MOD Año 1</t>
  </si>
  <si>
    <t>Exceso Gasto MOD</t>
  </si>
  <si>
    <t>Gasto especifico Materiales</t>
  </si>
  <si>
    <t>Exceso Gasto Materiales</t>
  </si>
  <si>
    <t>Gasto especifico Energía</t>
  </si>
  <si>
    <t>Exceso Gasto Energía</t>
  </si>
  <si>
    <t>Gasto especifico Combustibles</t>
  </si>
  <si>
    <t>Exceso Gasto Combustibles</t>
  </si>
  <si>
    <t>Gasto específico tasas e impuestos año 2=</t>
  </si>
  <si>
    <t>Gasto específico tasas e impuesto año1 =</t>
  </si>
  <si>
    <t>Kilogramos de mp producción//Ventas</t>
  </si>
  <si>
    <t>Comercialización</t>
  </si>
  <si>
    <t>Ingresos Brutos Año 1 (3%)</t>
  </si>
  <si>
    <t>Ingresos Brutos Año 2 a 5 (3%)</t>
  </si>
  <si>
    <t>Producción</t>
  </si>
  <si>
    <t xml:space="preserve">Tasa municipal anual </t>
  </si>
  <si>
    <t>Impuesto inmobiliario anual</t>
  </si>
  <si>
    <t>Administración</t>
  </si>
  <si>
    <t>Imp. A los Deb y Cred Bancarios</t>
  </si>
  <si>
    <t>Costo Fijo</t>
  </si>
  <si>
    <t>Costo Variable</t>
  </si>
  <si>
    <t>Costo Total</t>
  </si>
  <si>
    <t>Ventas</t>
  </si>
  <si>
    <t>Punto de equilibrio</t>
  </si>
  <si>
    <t>unidades</t>
  </si>
  <si>
    <t>Compra MP</t>
  </si>
  <si>
    <t>Gto MP espec</t>
  </si>
  <si>
    <t>Monto compras</t>
  </si>
  <si>
    <t>% financiado</t>
  </si>
  <si>
    <t>Interés x compra</t>
  </si>
  <si>
    <t>cant compras</t>
  </si>
  <si>
    <t>Intereses anuales</t>
  </si>
  <si>
    <t>Crédito anual</t>
  </si>
  <si>
    <t>Banco otorgante del crédito</t>
  </si>
  <si>
    <t>Banco Provincia Bs As</t>
  </si>
  <si>
    <t>Destino</t>
  </si>
  <si>
    <t>Tipo de tasa</t>
  </si>
  <si>
    <t>Fija</t>
  </si>
  <si>
    <t>Plazo</t>
  </si>
  <si>
    <t>meses</t>
  </si>
  <si>
    <t>Comisión mens (Gs. Bancario)</t>
  </si>
  <si>
    <t>Comision inicial</t>
  </si>
  <si>
    <t>Tope</t>
  </si>
  <si>
    <t>de inversión</t>
  </si>
  <si>
    <t>Sistema de Amortización</t>
  </si>
  <si>
    <t>Alemán</t>
  </si>
  <si>
    <t>Frecuencia de pago</t>
  </si>
  <si>
    <t>Mensual</t>
  </si>
  <si>
    <t>CUADRO EVOLUCIÓN DEL PRÉSTAMO</t>
  </si>
  <si>
    <t>gasto bancario mensual</t>
  </si>
  <si>
    <t>gasto bancario semestral</t>
  </si>
  <si>
    <t>mensual</t>
  </si>
  <si>
    <t>01/04/-1</t>
  </si>
  <si>
    <t>30/06/-1</t>
  </si>
  <si>
    <t>31/12/-1</t>
  </si>
  <si>
    <t>CUADRO DEL CRÉDITO RENOVABLE</t>
  </si>
  <si>
    <t>30/04/-1</t>
  </si>
  <si>
    <t>31/05/-1</t>
  </si>
  <si>
    <t>31/07/-1</t>
  </si>
  <si>
    <t>31/08/-1</t>
  </si>
  <si>
    <t>30/09/-1</t>
  </si>
  <si>
    <t>31/10/-1</t>
  </si>
  <si>
    <t>30/11/-1</t>
  </si>
  <si>
    <t>Financiamiento 20 % del valor de "Edificio y obras complementarias"</t>
  </si>
  <si>
    <t>Tasa</t>
  </si>
  <si>
    <t>&gt;Revisar, buscando el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</si>
</sst>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0.00\ %"/>
    <numFmt numFmtId="166" formatCode="_(\$* #,##0.00_);_(\$* \(#,##0.00\);_(\$* \-??_);_(@_)"/>
    <numFmt numFmtId="167" formatCode="0.0"/>
    <numFmt numFmtId="168" formatCode="0.000"/>
    <numFmt numFmtId="169" formatCode="_(* #,##0.00_);_(* \(#,##0.00\);_(* \-??_);_(@_)"/>
    <numFmt numFmtId="170" formatCode="d&quot; de &quot;mmm&quot; de &quot;yy"/>
    <numFmt numFmtId="171" formatCode="&quot;$&quot;#,##0"/>
    <numFmt numFmtId="172" formatCode="&quot;$&quot;#,##0.00"/>
    <numFmt numFmtId="173" formatCode="0.0%"/>
    <numFmt numFmtId="174" formatCode="_(\$* #,##0_);_(\$* \(#,##0\);_(\$* \-??_);_(@_)"/>
    <numFmt numFmtId="175" formatCode="_(\$* #,##0.000_);_(\$* \(#,##0.000\);_(\$* \-??_);_(@_)"/>
    <numFmt numFmtId="176" formatCode="_ &quot;$&quot;\ * #,##0_ ;_ &quot;$&quot;\ * \-#,##0_ ;_ &quot;$&quot;\ * &quot;-&quot;??_ ;_ @_ "/>
    <numFmt numFmtId="177" formatCode="_(* #,##0_);_(* \(#,##0\);_(* \-??_);_(@_)"/>
    <numFmt numFmtId="178" formatCode="dd\-mm\-yy;@"/>
  </numFmts>
  <fonts count="29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59"/>
      </right>
      <top/>
      <bottom style="thin">
        <color auto="1"/>
      </bottom>
      <diagonal/>
    </border>
    <border>
      <left style="double">
        <color indexed="59"/>
      </left>
      <right style="thin">
        <color auto="1"/>
      </right>
      <top style="double">
        <color indexed="59"/>
      </top>
      <bottom style="double">
        <color indexed="59"/>
      </bottom>
      <diagonal/>
    </border>
    <border>
      <left style="thin">
        <color auto="1"/>
      </left>
      <right style="thin">
        <color auto="1"/>
      </right>
      <top style="double">
        <color indexed="59"/>
      </top>
      <bottom style="double">
        <color indexed="59"/>
      </bottom>
      <diagonal/>
    </border>
    <border>
      <left style="thin">
        <color auto="1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auto="1"/>
      </right>
      <top/>
      <bottom style="thin">
        <color auto="1"/>
      </bottom>
      <diagonal/>
    </border>
    <border>
      <left style="double">
        <color indexed="59"/>
      </left>
      <right style="thin">
        <color indexed="59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double">
        <color indexed="59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/>
      <bottom style="thin">
        <color auto="1"/>
      </bottom>
      <diagonal/>
    </border>
    <border>
      <left style="thin">
        <color auto="1"/>
      </left>
      <right style="double">
        <color indexed="59"/>
      </right>
      <top/>
      <bottom style="thin">
        <color auto="1"/>
      </bottom>
      <diagonal/>
    </border>
    <border>
      <left style="double">
        <color indexed="5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5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5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double">
        <color indexed="59"/>
      </right>
      <top/>
      <bottom style="thin">
        <color auto="1"/>
      </bottom>
      <diagonal/>
    </border>
    <border>
      <left style="thin">
        <color auto="1"/>
      </left>
      <right style="double">
        <color indexed="5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hair">
        <color indexed="59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20" fillId="0" borderId="0" applyFill="0" applyBorder="0" applyAlignment="0" applyProtection="0"/>
    <xf numFmtId="166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46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5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6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6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6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6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6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6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7" fontId="0" fillId="0" borderId="17" xfId="0" applyNumberFormat="1" applyFill="1" applyBorder="1" applyAlignment="1">
      <alignment horizontal="center"/>
    </xf>
    <xf numFmtId="167" fontId="0" fillId="0" borderId="17" xfId="0" applyNumberFormat="1" applyFill="1" applyBorder="1"/>
    <xf numFmtId="167" fontId="0" fillId="0" borderId="19" xfId="0" applyNumberFormat="1" applyFill="1" applyBorder="1"/>
    <xf numFmtId="167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7" fontId="0" fillId="0" borderId="0" xfId="0" applyNumberFormat="1" applyFill="1"/>
    <xf numFmtId="167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6" fontId="0" fillId="0" borderId="15" xfId="13" applyFont="1" applyFill="1" applyBorder="1" applyAlignment="1" applyProtection="1">
      <alignment horizontal="center"/>
      <protection locked="0"/>
    </xf>
    <xf numFmtId="166" fontId="0" fillId="0" borderId="18" xfId="13" applyFont="1" applyFill="1" applyBorder="1" applyAlignment="1" applyProtection="1">
      <alignment horizontal="center"/>
      <protection locked="0"/>
    </xf>
    <xf numFmtId="166" fontId="0" fillId="0" borderId="17" xfId="13" applyFont="1" applyFill="1" applyBorder="1" applyAlignment="1" applyProtection="1">
      <alignment horizontal="center"/>
      <protection locked="0"/>
    </xf>
    <xf numFmtId="166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7" fontId="0" fillId="0" borderId="24" xfId="0" applyNumberFormat="1" applyFill="1" applyBorder="1" applyAlignment="1">
      <alignment horizontal="center"/>
    </xf>
    <xf numFmtId="167" fontId="0" fillId="0" borderId="25" xfId="0" applyNumberFormat="1" applyFill="1" applyBorder="1"/>
    <xf numFmtId="0" fontId="14" fillId="0" borderId="23" xfId="0" applyFont="1" applyFill="1" applyBorder="1"/>
    <xf numFmtId="166" fontId="0" fillId="0" borderId="12" xfId="13" applyFont="1" applyFill="1" applyBorder="1" applyAlignment="1" applyProtection="1">
      <alignment horizontal="center"/>
      <protection locked="0"/>
    </xf>
    <xf numFmtId="166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14" fillId="0" borderId="0" xfId="0" applyFont="1" applyFill="1"/>
    <xf numFmtId="168" fontId="0" fillId="0" borderId="0" xfId="0" applyNumberFormat="1" applyFill="1" applyAlignment="1">
      <alignment horizontal="center"/>
    </xf>
    <xf numFmtId="168" fontId="14" fillId="0" borderId="9" xfId="0" applyNumberFormat="1" applyFont="1" applyFill="1" applyBorder="1" applyAlignment="1">
      <alignment horizontal="center"/>
    </xf>
    <xf numFmtId="168" fontId="14" fillId="0" borderId="10" xfId="0" applyNumberFormat="1" applyFont="1" applyFill="1" applyBorder="1" applyAlignment="1">
      <alignment horizontal="center"/>
    </xf>
    <xf numFmtId="166" fontId="0" fillId="0" borderId="24" xfId="13" applyFont="1" applyFill="1" applyBorder="1" applyAlignment="1" applyProtection="1">
      <alignment horizontal="center"/>
      <protection locked="0"/>
    </xf>
    <xf numFmtId="166" fontId="0" fillId="0" borderId="25" xfId="13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6" fontId="0" fillId="0" borderId="9" xfId="13" applyFont="1" applyFill="1" applyBorder="1" applyAlignment="1" applyProtection="1">
      <alignment horizontal="center"/>
      <protection locked="0"/>
    </xf>
    <xf numFmtId="166" fontId="0" fillId="0" borderId="17" xfId="13" applyFont="1" applyFill="1" applyBorder="1" applyAlignment="1" applyProtection="1">
      <alignment horizontal="center"/>
    </xf>
    <xf numFmtId="166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9" fontId="0" fillId="0" borderId="17" xfId="12" applyFont="1" applyFill="1" applyBorder="1" applyAlignment="1" applyProtection="1">
      <alignment horizontal="center"/>
      <protection locked="0"/>
    </xf>
    <xf numFmtId="166" fontId="14" fillId="0" borderId="17" xfId="13" applyFont="1" applyFill="1" applyBorder="1" applyAlignment="1" applyProtection="1">
      <alignment horizontal="center"/>
      <protection locked="0"/>
    </xf>
    <xf numFmtId="166" fontId="14" fillId="0" borderId="19" xfId="13" applyFont="1" applyFill="1" applyBorder="1" applyAlignment="1" applyProtection="1">
      <alignment horizontal="center"/>
      <protection locked="0"/>
    </xf>
    <xf numFmtId="166" fontId="14" fillId="0" borderId="17" xfId="13" applyFont="1" applyFill="1" applyBorder="1" applyAlignment="1" applyProtection="1">
      <alignment horizontal="center"/>
    </xf>
    <xf numFmtId="166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6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6" fontId="0" fillId="0" borderId="15" xfId="13" applyFont="1" applyFill="1" applyBorder="1" applyAlignment="1" applyProtection="1">
      <alignment horizontal="center"/>
    </xf>
    <xf numFmtId="166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6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6" fontId="0" fillId="0" borderId="30" xfId="13" applyFont="1" applyFill="1" applyBorder="1" applyAlignment="1" applyProtection="1">
      <alignment horizontal="center"/>
      <protection locked="0"/>
    </xf>
    <xf numFmtId="166" fontId="0" fillId="0" borderId="30" xfId="13" applyFont="1" applyFill="1" applyBorder="1" applyAlignment="1" applyProtection="1">
      <alignment horizontal="center"/>
    </xf>
    <xf numFmtId="166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6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6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6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6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6" fontId="0" fillId="0" borderId="34" xfId="13" applyFont="1" applyFill="1" applyBorder="1" applyAlignment="1" applyProtection="1">
      <alignment horizontal="center"/>
      <protection locked="0"/>
    </xf>
    <xf numFmtId="166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6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6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70" fontId="0" fillId="0" borderId="16" xfId="0" applyNumberFormat="1" applyFont="1" applyFill="1" applyBorder="1" applyProtection="1">
      <protection locked="0"/>
    </xf>
    <xf numFmtId="170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6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9" fontId="0" fillId="0" borderId="30" xfId="12" applyFont="1" applyFill="1" applyBorder="1" applyAlignment="1" applyProtection="1">
      <alignment horizontal="center"/>
      <protection locked="0"/>
    </xf>
    <xf numFmtId="169" fontId="0" fillId="0" borderId="17" xfId="12" applyFont="1" applyFill="1" applyBorder="1" applyAlignment="1" applyProtection="1">
      <protection locked="0"/>
    </xf>
    <xf numFmtId="169" fontId="0" fillId="0" borderId="30" xfId="12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9" fontId="0" fillId="0" borderId="17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6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6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0" fillId="11" borderId="2" xfId="0" applyNumberFormat="1" applyFill="1" applyBorder="1" applyProtection="1">
      <protection locked="0"/>
    </xf>
    <xf numFmtId="171" fontId="0" fillId="0" borderId="0" xfId="0" applyNumberFormat="1"/>
    <xf numFmtId="168" fontId="0" fillId="0" borderId="17" xfId="13" applyNumberFormat="1" applyFont="1" applyFill="1" applyBorder="1" applyAlignment="1" applyProtection="1">
      <protection locked="0"/>
    </xf>
    <xf numFmtId="168" fontId="0" fillId="0" borderId="17" xfId="0" applyNumberFormat="1" applyFill="1" applyBorder="1" applyAlignment="1">
      <alignment horizontal="center"/>
    </xf>
    <xf numFmtId="168" fontId="0" fillId="0" borderId="17" xfId="0" applyNumberFormat="1" applyFill="1" applyBorder="1"/>
    <xf numFmtId="172" fontId="0" fillId="0" borderId="0" xfId="0" applyNumberFormat="1"/>
    <xf numFmtId="0" fontId="0" fillId="0" borderId="51" xfId="0" applyBorder="1"/>
    <xf numFmtId="166" fontId="14" fillId="0" borderId="12" xfId="13" applyFont="1" applyFill="1" applyBorder="1" applyAlignment="1" applyProtection="1">
      <protection locked="0"/>
    </xf>
    <xf numFmtId="168" fontId="14" fillId="0" borderId="12" xfId="13" applyNumberFormat="1" applyFont="1" applyFill="1" applyBorder="1" applyAlignment="1" applyProtection="1">
      <protection locked="0"/>
    </xf>
    <xf numFmtId="166" fontId="14" fillId="0" borderId="17" xfId="13" applyFont="1" applyFill="1" applyBorder="1" applyAlignment="1" applyProtection="1">
      <protection locked="0"/>
    </xf>
    <xf numFmtId="168" fontId="14" fillId="0" borderId="17" xfId="13" applyNumberFormat="1" applyFont="1" applyFill="1" applyBorder="1" applyAlignment="1" applyProtection="1">
      <protection locked="0"/>
    </xf>
    <xf numFmtId="166" fontId="14" fillId="0" borderId="19" xfId="13" applyFont="1" applyFill="1" applyBorder="1" applyAlignment="1" applyProtection="1">
      <protection locked="0"/>
    </xf>
    <xf numFmtId="0" fontId="0" fillId="0" borderId="52" xfId="0" applyFill="1" applyBorder="1" applyAlignment="1">
      <alignment horizontal="center"/>
    </xf>
    <xf numFmtId="9" fontId="20" fillId="0" borderId="52" xfId="16" applyFill="1" applyBorder="1" applyAlignment="1">
      <alignment horizontal="center"/>
    </xf>
    <xf numFmtId="9" fontId="0" fillId="0" borderId="52" xfId="16" applyFont="1" applyFill="1" applyBorder="1" applyAlignment="1">
      <alignment horizontal="center"/>
    </xf>
    <xf numFmtId="9" fontId="20" fillId="0" borderId="53" xfId="16" applyFill="1" applyBorder="1" applyAlignment="1">
      <alignment horizontal="center"/>
    </xf>
    <xf numFmtId="173" fontId="14" fillId="0" borderId="24" xfId="0" applyNumberFormat="1" applyFont="1" applyFill="1" applyBorder="1" applyAlignment="1" applyProtection="1">
      <alignment horizontal="center"/>
      <protection locked="0"/>
    </xf>
    <xf numFmtId="10" fontId="14" fillId="0" borderId="12" xfId="13" applyNumberFormat="1" applyFont="1" applyFill="1" applyBorder="1" applyAlignment="1" applyProtection="1">
      <alignment horizontal="center"/>
      <protection locked="0"/>
    </xf>
    <xf numFmtId="3" fontId="20" fillId="0" borderId="17" xfId="13" applyNumberFormat="1" applyFont="1" applyFill="1" applyBorder="1" applyAlignment="1" applyProtection="1">
      <alignment horizontal="center"/>
      <protection locked="0"/>
    </xf>
    <xf numFmtId="166" fontId="20" fillId="13" borderId="24" xfId="13" applyFont="1" applyFill="1" applyBorder="1" applyAlignment="1" applyProtection="1">
      <alignment horizontal="center"/>
      <protection locked="0"/>
    </xf>
    <xf numFmtId="166" fontId="20" fillId="13" borderId="17" xfId="13" applyFont="1" applyFill="1" applyBorder="1" applyAlignment="1" applyProtection="1">
      <alignment horizontal="center"/>
      <protection locked="0"/>
    </xf>
    <xf numFmtId="10" fontId="14" fillId="0" borderId="24" xfId="16" applyNumberFormat="1" applyFont="1" applyFill="1" applyBorder="1" applyAlignment="1" applyProtection="1">
      <alignment horizontal="center"/>
      <protection locked="0"/>
    </xf>
    <xf numFmtId="9" fontId="14" fillId="0" borderId="17" xfId="16" applyFont="1" applyFill="1" applyBorder="1" applyAlignment="1" applyProtection="1">
      <protection locked="0"/>
    </xf>
    <xf numFmtId="166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protection locked="0"/>
    </xf>
    <xf numFmtId="166" fontId="20" fillId="13" borderId="19" xfId="13" applyFont="1" applyFill="1" applyBorder="1" applyAlignment="1" applyProtection="1">
      <alignment horizontal="center"/>
      <protection locked="0"/>
    </xf>
    <xf numFmtId="0" fontId="14" fillId="13" borderId="10" xfId="0" applyFont="1" applyFill="1" applyBorder="1" applyAlignment="1">
      <alignment horizontal="center"/>
    </xf>
    <xf numFmtId="0" fontId="14" fillId="13" borderId="19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166" fontId="20" fillId="13" borderId="18" xfId="13" applyFont="1" applyFill="1" applyBorder="1" applyAlignment="1" applyProtection="1">
      <alignment horizontal="center"/>
      <protection locked="0"/>
    </xf>
    <xf numFmtId="166" fontId="20" fillId="13" borderId="19" xfId="13" applyFont="1" applyFill="1" applyBorder="1" applyAlignment="1" applyProtection="1">
      <protection locked="0"/>
    </xf>
    <xf numFmtId="166" fontId="20" fillId="13" borderId="13" xfId="13" applyFont="1" applyFill="1" applyBorder="1" applyAlignment="1" applyProtection="1">
      <alignment horizontal="center"/>
      <protection locked="0"/>
    </xf>
    <xf numFmtId="44" fontId="0" fillId="0" borderId="51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2" fontId="0" fillId="0" borderId="54" xfId="0" applyNumberFormat="1" applyBorder="1"/>
    <xf numFmtId="172" fontId="0" fillId="0" borderId="62" xfId="0" applyNumberFormat="1" applyBorder="1"/>
    <xf numFmtId="0" fontId="0" fillId="0" borderId="62" xfId="0" applyBorder="1" applyAlignment="1">
      <alignment horizontal="center"/>
    </xf>
    <xf numFmtId="44" fontId="0" fillId="0" borderId="55" xfId="0" applyNumberFormat="1" applyBorder="1"/>
    <xf numFmtId="44" fontId="0" fillId="0" borderId="63" xfId="0" applyNumberFormat="1" applyBorder="1"/>
    <xf numFmtId="44" fontId="0" fillId="0" borderId="64" xfId="0" applyNumberFormat="1" applyBorder="1"/>
    <xf numFmtId="44" fontId="0" fillId="0" borderId="0" xfId="0" applyNumberFormat="1"/>
    <xf numFmtId="169" fontId="20" fillId="0" borderId="0" xfId="12"/>
    <xf numFmtId="169" fontId="20" fillId="0" borderId="0" xfId="12" applyAlignment="1">
      <alignment horizontal="center" vertical="center"/>
    </xf>
    <xf numFmtId="0" fontId="0" fillId="0" borderId="65" xfId="0" applyBorder="1"/>
    <xf numFmtId="171" fontId="0" fillId="0" borderId="65" xfId="0" applyNumberFormat="1" applyBorder="1"/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/>
    <xf numFmtId="0" fontId="0" fillId="0" borderId="0" xfId="0" applyAlignment="1">
      <alignment vertical="center"/>
    </xf>
    <xf numFmtId="4" fontId="21" fillId="0" borderId="0" xfId="0" applyNumberFormat="1" applyFont="1"/>
    <xf numFmtId="169" fontId="0" fillId="0" borderId="0" xfId="0" applyNumberFormat="1" applyAlignment="1">
      <alignment horizontal="center" vertical="center"/>
    </xf>
    <xf numFmtId="0" fontId="14" fillId="0" borderId="66" xfId="0" applyFont="1" applyBorder="1"/>
    <xf numFmtId="0" fontId="14" fillId="0" borderId="68" xfId="0" applyFont="1" applyBorder="1"/>
    <xf numFmtId="0" fontId="22" fillId="0" borderId="69" xfId="0" applyFont="1" applyFill="1" applyBorder="1"/>
    <xf numFmtId="0" fontId="23" fillId="0" borderId="70" xfId="0" applyFont="1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0" fontId="23" fillId="0" borderId="72" xfId="0" applyFont="1" applyFill="1" applyBorder="1"/>
    <xf numFmtId="175" fontId="22" fillId="0" borderId="51" xfId="0" applyNumberFormat="1" applyFont="1" applyFill="1" applyBorder="1"/>
    <xf numFmtId="175" fontId="22" fillId="0" borderId="73" xfId="0" applyNumberFormat="1" applyFont="1" applyFill="1" applyBorder="1"/>
    <xf numFmtId="0" fontId="23" fillId="0" borderId="74" xfId="0" applyFont="1" applyBorder="1"/>
    <xf numFmtId="176" fontId="22" fillId="0" borderId="75" xfId="0" applyNumberFormat="1" applyFont="1" applyBorder="1"/>
    <xf numFmtId="176" fontId="22" fillId="0" borderId="76" xfId="0" applyNumberFormat="1" applyFont="1" applyBorder="1"/>
    <xf numFmtId="0" fontId="14" fillId="0" borderId="60" xfId="0" applyFont="1" applyBorder="1"/>
    <xf numFmtId="0" fontId="0" fillId="0" borderId="77" xfId="0" applyBorder="1" applyAlignment="1">
      <alignment horizontal="center" vertical="center"/>
    </xf>
    <xf numFmtId="0" fontId="14" fillId="0" borderId="78" xfId="0" applyFont="1" applyBorder="1"/>
    <xf numFmtId="0" fontId="0" fillId="0" borderId="79" xfId="0" applyBorder="1"/>
    <xf numFmtId="0" fontId="0" fillId="0" borderId="80" xfId="0" applyBorder="1"/>
    <xf numFmtId="43" fontId="0" fillId="0" borderId="0" xfId="0" applyNumberFormat="1"/>
    <xf numFmtId="0" fontId="14" fillId="0" borderId="77" xfId="0" applyFont="1" applyBorder="1"/>
    <xf numFmtId="0" fontId="0" fillId="0" borderId="78" xfId="0" applyBorder="1"/>
    <xf numFmtId="43" fontId="0" fillId="0" borderId="80" xfId="0" applyNumberForma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1" xfId="0" applyFont="1" applyBorder="1"/>
    <xf numFmtId="0" fontId="14" fillId="0" borderId="55" xfId="0" applyFont="1" applyBorder="1"/>
    <xf numFmtId="0" fontId="14" fillId="0" borderId="63" xfId="0" applyFont="1" applyBorder="1"/>
    <xf numFmtId="0" fontId="14" fillId="0" borderId="64" xfId="0" applyFont="1" applyBorder="1"/>
    <xf numFmtId="43" fontId="0" fillId="0" borderId="0" xfId="0" applyNumberFormat="1" applyAlignment="1">
      <alignment horizontal="left" vertical="top"/>
    </xf>
    <xf numFmtId="0" fontId="0" fillId="14" borderId="8" xfId="0" applyFill="1" applyBorder="1"/>
    <xf numFmtId="0" fontId="14" fillId="14" borderId="9" xfId="0" applyFont="1" applyFill="1" applyBorder="1" applyAlignment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14" xfId="0" applyFill="1" applyBorder="1"/>
    <xf numFmtId="166" fontId="20" fillId="14" borderId="15" xfId="13" applyFont="1" applyFill="1" applyBorder="1" applyAlignment="1" applyProtection="1">
      <alignment horizontal="center"/>
      <protection locked="0"/>
    </xf>
    <xf numFmtId="0" fontId="0" fillId="14" borderId="16" xfId="0" applyFont="1" applyFill="1" applyBorder="1"/>
    <xf numFmtId="166" fontId="20" fillId="14" borderId="17" xfId="13" applyFont="1" applyFill="1" applyBorder="1" applyAlignment="1" applyProtection="1">
      <alignment horizontal="center"/>
      <protection locked="0"/>
    </xf>
    <xf numFmtId="166" fontId="20" fillId="14" borderId="17" xfId="13" applyFont="1" applyFill="1" applyBorder="1" applyAlignment="1" applyProtection="1">
      <protection locked="0"/>
    </xf>
    <xf numFmtId="0" fontId="14" fillId="14" borderId="11" xfId="0" applyFont="1" applyFill="1" applyBorder="1"/>
    <xf numFmtId="166" fontId="20" fillId="14" borderId="12" xfId="13" applyFont="1" applyFill="1" applyBorder="1" applyAlignment="1" applyProtection="1">
      <alignment horizontal="center"/>
      <protection locked="0"/>
    </xf>
    <xf numFmtId="43" fontId="0" fillId="0" borderId="0" xfId="0" applyNumberFormat="1" applyAlignment="1">
      <alignment horizontal="center" vertical="center"/>
    </xf>
    <xf numFmtId="166" fontId="20" fillId="13" borderId="17" xfId="13" applyFont="1" applyFill="1" applyBorder="1" applyAlignment="1" applyProtection="1">
      <alignment horizontal="center"/>
      <protection locked="0"/>
    </xf>
    <xf numFmtId="166" fontId="20" fillId="14" borderId="17" xfId="13" applyFont="1" applyFill="1" applyBorder="1" applyAlignment="1" applyProtection="1">
      <alignment horizontal="center"/>
      <protection locked="0"/>
    </xf>
    <xf numFmtId="166" fontId="0" fillId="0" borderId="0" xfId="0" applyNumberFormat="1" applyFill="1"/>
    <xf numFmtId="177" fontId="20" fillId="0" borderId="11" xfId="12" applyNumberFormat="1" applyFill="1" applyBorder="1" applyAlignment="1" applyProtection="1">
      <alignment horizontal="center"/>
      <protection locked="0"/>
    </xf>
    <xf numFmtId="4" fontId="0" fillId="0" borderId="0" xfId="0" applyNumberFormat="1"/>
    <xf numFmtId="164" fontId="0" fillId="0" borderId="0" xfId="0" applyNumberFormat="1"/>
    <xf numFmtId="0" fontId="22" fillId="0" borderId="51" xfId="0" applyFont="1" applyBorder="1"/>
    <xf numFmtId="174" fontId="22" fillId="0" borderId="51" xfId="0" applyNumberFormat="1" applyFont="1" applyFill="1" applyBorder="1"/>
    <xf numFmtId="169" fontId="22" fillId="0" borderId="51" xfId="12" applyFont="1" applyBorder="1"/>
    <xf numFmtId="166" fontId="22" fillId="0" borderId="51" xfId="0" applyNumberFormat="1" applyFont="1" applyFill="1" applyBorder="1"/>
    <xf numFmtId="164" fontId="0" fillId="0" borderId="0" xfId="0" applyNumberFormat="1" applyAlignment="1">
      <alignment horizontal="center" vertical="center"/>
    </xf>
    <xf numFmtId="177" fontId="20" fillId="13" borderId="17" xfId="12" applyNumberFormat="1" applyFill="1" applyBorder="1" applyAlignment="1" applyProtection="1">
      <alignment horizontal="center"/>
      <protection locked="0"/>
    </xf>
    <xf numFmtId="0" fontId="24" fillId="0" borderId="0" xfId="0" applyFont="1" applyAlignment="1">
      <alignment vertical="top"/>
    </xf>
    <xf numFmtId="0" fontId="14" fillId="0" borderId="81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0" fillId="0" borderId="83" xfId="0" applyFill="1" applyBorder="1"/>
    <xf numFmtId="177" fontId="20" fillId="0" borderId="56" xfId="12" applyNumberFormat="1" applyFill="1" applyBorder="1"/>
    <xf numFmtId="0" fontId="0" fillId="0" borderId="84" xfId="0" applyFill="1" applyBorder="1"/>
    <xf numFmtId="0" fontId="0" fillId="0" borderId="85" xfId="0" applyFill="1" applyBorder="1"/>
    <xf numFmtId="0" fontId="14" fillId="0" borderId="86" xfId="0" applyFont="1" applyFill="1" applyBorder="1" applyAlignment="1">
      <alignment horizontal="center"/>
    </xf>
    <xf numFmtId="177" fontId="14" fillId="0" borderId="86" xfId="12" applyNumberFormat="1" applyFont="1" applyFill="1" applyBorder="1"/>
    <xf numFmtId="0" fontId="24" fillId="0" borderId="51" xfId="0" applyFont="1" applyBorder="1" applyAlignment="1">
      <alignment vertical="top"/>
    </xf>
    <xf numFmtId="0" fontId="0" fillId="0" borderId="51" xfId="0" applyFill="1" applyBorder="1"/>
    <xf numFmtId="0" fontId="14" fillId="0" borderId="51" xfId="0" applyFont="1" applyFill="1" applyBorder="1" applyAlignment="1">
      <alignment horizontal="center"/>
    </xf>
    <xf numFmtId="173" fontId="20" fillId="0" borderId="51" xfId="16" applyNumberFormat="1" applyFill="1" applyBorder="1"/>
    <xf numFmtId="177" fontId="20" fillId="0" borderId="51" xfId="12" applyNumberFormat="1" applyFill="1" applyBorder="1"/>
    <xf numFmtId="177" fontId="14" fillId="0" borderId="51" xfId="12" applyNumberFormat="1" applyFont="1" applyFill="1" applyBorder="1"/>
    <xf numFmtId="177" fontId="0" fillId="0" borderId="51" xfId="0" applyNumberFormat="1" applyBorder="1"/>
    <xf numFmtId="177" fontId="20" fillId="0" borderId="51" xfId="12" applyNumberFormat="1" applyBorder="1"/>
    <xf numFmtId="166" fontId="20" fillId="15" borderId="15" xfId="13" applyFont="1" applyFill="1" applyBorder="1" applyAlignment="1" applyProtection="1">
      <alignment horizontal="center"/>
      <protection locked="0"/>
    </xf>
    <xf numFmtId="166" fontId="20" fillId="15" borderId="17" xfId="13" applyFont="1" applyFill="1" applyBorder="1" applyAlignment="1" applyProtection="1">
      <alignment horizontal="center"/>
      <protection locked="0"/>
    </xf>
    <xf numFmtId="166" fontId="20" fillId="15" borderId="17" xfId="13" applyFont="1" applyFill="1" applyBorder="1" applyAlignment="1" applyProtection="1">
      <alignment horizontal="center"/>
    </xf>
    <xf numFmtId="166" fontId="20" fillId="15" borderId="38" xfId="13" applyFont="1" applyFill="1" applyBorder="1" applyAlignment="1" applyProtection="1">
      <alignment horizontal="center"/>
      <protection locked="0"/>
    </xf>
    <xf numFmtId="43" fontId="0" fillId="0" borderId="0" xfId="0" applyNumberFormat="1" applyFill="1"/>
    <xf numFmtId="0" fontId="26" fillId="0" borderId="88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89" xfId="0" applyFont="1" applyFill="1" applyBorder="1" applyAlignment="1">
      <alignment horizontal="center"/>
    </xf>
    <xf numFmtId="0" fontId="0" fillId="0" borderId="72" xfId="0" applyFill="1" applyBorder="1" applyAlignment="1">
      <alignment horizontal="right"/>
    </xf>
    <xf numFmtId="0" fontId="0" fillId="0" borderId="73" xfId="0" applyFill="1" applyBorder="1"/>
    <xf numFmtId="177" fontId="20" fillId="0" borderId="72" xfId="12" applyNumberFormat="1" applyFill="1" applyBorder="1"/>
    <xf numFmtId="177" fontId="20" fillId="0" borderId="73" xfId="12" applyNumberFormat="1" applyFill="1" applyBorder="1"/>
    <xf numFmtId="177" fontId="20" fillId="0" borderId="90" xfId="12" applyNumberFormat="1" applyFill="1" applyBorder="1"/>
    <xf numFmtId="177" fontId="20" fillId="0" borderId="63" xfId="12" applyNumberFormat="1" applyFill="1" applyBorder="1"/>
    <xf numFmtId="0" fontId="14" fillId="0" borderId="66" xfId="0" applyFont="1" applyFill="1" applyBorder="1" applyAlignment="1">
      <alignment horizontal="right"/>
    </xf>
    <xf numFmtId="177" fontId="0" fillId="0" borderId="51" xfId="0" applyNumberFormat="1" applyFill="1" applyBorder="1"/>
    <xf numFmtId="177" fontId="0" fillId="0" borderId="73" xfId="0" applyNumberFormat="1" applyFill="1" applyBorder="1"/>
    <xf numFmtId="0" fontId="14" fillId="0" borderId="68" xfId="0" applyFon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177" fontId="20" fillId="0" borderId="72" xfId="12" applyNumberFormat="1" applyFill="1" applyBorder="1" applyAlignment="1">
      <alignment horizontal="right"/>
    </xf>
    <xf numFmtId="177" fontId="20" fillId="0" borderId="90" xfId="12" applyNumberFormat="1" applyFill="1" applyBorder="1" applyAlignment="1">
      <alignment horizontal="right"/>
    </xf>
    <xf numFmtId="177" fontId="20" fillId="0" borderId="51" xfId="12" applyNumberFormat="1" applyFill="1" applyBorder="1" applyAlignment="1">
      <alignment horizontal="center" vertical="center"/>
    </xf>
    <xf numFmtId="0" fontId="14" fillId="0" borderId="66" xfId="0" applyFont="1" applyFill="1" applyBorder="1" applyAlignment="1">
      <alignment vertical="center"/>
    </xf>
    <xf numFmtId="177" fontId="20" fillId="0" borderId="63" xfId="12" applyNumberFormat="1" applyFill="1" applyBorder="1" applyAlignment="1">
      <alignment horizontal="center" vertical="center"/>
    </xf>
    <xf numFmtId="0" fontId="14" fillId="0" borderId="78" xfId="0" applyFont="1" applyFill="1" applyBorder="1" applyAlignment="1">
      <alignment vertical="center"/>
    </xf>
    <xf numFmtId="0" fontId="14" fillId="0" borderId="79" xfId="0" applyFont="1" applyFill="1" applyBorder="1" applyAlignment="1">
      <alignment vertical="center"/>
    </xf>
    <xf numFmtId="0" fontId="14" fillId="0" borderId="80" xfId="0" applyFont="1" applyFill="1" applyBorder="1" applyAlignment="1">
      <alignment vertical="center"/>
    </xf>
    <xf numFmtId="177" fontId="0" fillId="0" borderId="63" xfId="0" applyNumberFormat="1" applyFill="1" applyBorder="1"/>
    <xf numFmtId="169" fontId="20" fillId="0" borderId="91" xfId="12" applyFill="1" applyBorder="1"/>
    <xf numFmtId="9" fontId="0" fillId="11" borderId="2" xfId="0" applyNumberFormat="1" applyFill="1" applyBorder="1" applyProtection="1">
      <protection locked="0"/>
    </xf>
    <xf numFmtId="0" fontId="0" fillId="13" borderId="0" xfId="0" applyFill="1" applyProtection="1"/>
    <xf numFmtId="166" fontId="0" fillId="13" borderId="17" xfId="13" applyFont="1" applyFill="1" applyBorder="1" applyAlignment="1" applyProtection="1">
      <alignment horizontal="center"/>
      <protection locked="0"/>
    </xf>
    <xf numFmtId="0" fontId="14" fillId="13" borderId="0" xfId="0" applyFont="1" applyFill="1" applyProtection="1"/>
    <xf numFmtId="0" fontId="14" fillId="13" borderId="16" xfId="0" applyFont="1" applyFill="1" applyBorder="1" applyAlignment="1" applyProtection="1">
      <alignment horizontal="left"/>
    </xf>
    <xf numFmtId="166" fontId="0" fillId="13" borderId="17" xfId="13" applyFont="1" applyFill="1" applyBorder="1" applyAlignment="1" applyProtection="1">
      <protection locked="0"/>
    </xf>
    <xf numFmtId="166" fontId="0" fillId="13" borderId="19" xfId="13" applyFont="1" applyFill="1" applyBorder="1" applyAlignment="1" applyProtection="1">
      <alignment horizontal="center"/>
      <protection locked="0"/>
    </xf>
    <xf numFmtId="166" fontId="0" fillId="13" borderId="17" xfId="13" applyFont="1" applyFill="1" applyBorder="1" applyAlignment="1" applyProtection="1">
      <alignment horizontal="center"/>
    </xf>
    <xf numFmtId="166" fontId="0" fillId="13" borderId="19" xfId="13" applyFont="1" applyFill="1" applyBorder="1" applyAlignment="1" applyProtection="1">
      <alignment horizontal="center"/>
    </xf>
    <xf numFmtId="9" fontId="0" fillId="11" borderId="7" xfId="0" applyNumberFormat="1" applyFill="1" applyBorder="1" applyProtection="1">
      <protection locked="0"/>
    </xf>
    <xf numFmtId="0" fontId="28" fillId="0" borderId="0" xfId="0" applyFont="1"/>
    <xf numFmtId="177" fontId="20" fillId="0" borderId="0" xfId="12" applyNumberFormat="1"/>
    <xf numFmtId="0" fontId="0" fillId="0" borderId="92" xfId="0" applyBorder="1"/>
    <xf numFmtId="177" fontId="20" fillId="0" borderId="92" xfId="12" applyNumberFormat="1" applyBorder="1"/>
    <xf numFmtId="177" fontId="20" fillId="0" borderId="0" xfId="12" applyNumberFormat="1" applyBorder="1"/>
    <xf numFmtId="0" fontId="14" fillId="0" borderId="91" xfId="0" applyFont="1" applyBorder="1"/>
    <xf numFmtId="177" fontId="14" fillId="0" borderId="91" xfId="12" applyNumberFormat="1" applyFont="1" applyBorder="1"/>
    <xf numFmtId="177" fontId="0" fillId="0" borderId="0" xfId="0" applyNumberFormat="1"/>
    <xf numFmtId="10" fontId="0" fillId="0" borderId="0" xfId="0" applyNumberFormat="1"/>
    <xf numFmtId="9" fontId="0" fillId="0" borderId="0" xfId="0" applyNumberFormat="1"/>
    <xf numFmtId="0" fontId="27" fillId="0" borderId="0" xfId="22"/>
    <xf numFmtId="0" fontId="14" fillId="15" borderId="44" xfId="0" applyFont="1" applyFill="1" applyBorder="1" applyAlignment="1">
      <alignment horizontal="center"/>
    </xf>
    <xf numFmtId="0" fontId="14" fillId="0" borderId="94" xfId="0" applyFont="1" applyFill="1" applyBorder="1" applyAlignment="1">
      <alignment horizontal="left"/>
    </xf>
    <xf numFmtId="177" fontId="20" fillId="0" borderId="95" xfId="12" applyNumberFormat="1" applyFill="1" applyBorder="1" applyAlignment="1" applyProtection="1">
      <alignment horizontal="center"/>
    </xf>
    <xf numFmtId="177" fontId="14" fillId="0" borderId="95" xfId="12" applyNumberFormat="1" applyFont="1" applyFill="1" applyBorder="1" applyAlignment="1" applyProtection="1"/>
    <xf numFmtId="166" fontId="14" fillId="0" borderId="95" xfId="13" applyFont="1" applyFill="1" applyBorder="1" applyAlignment="1" applyProtection="1"/>
    <xf numFmtId="9" fontId="0" fillId="0" borderId="95" xfId="16" applyFont="1" applyFill="1" applyBorder="1" applyAlignment="1" applyProtection="1"/>
    <xf numFmtId="177" fontId="14" fillId="0" borderId="96" xfId="12" applyNumberFormat="1" applyFont="1" applyFill="1" applyBorder="1" applyAlignment="1" applyProtection="1">
      <alignment horizontal="center"/>
      <protection locked="0"/>
    </xf>
    <xf numFmtId="178" fontId="0" fillId="0" borderId="97" xfId="0" applyNumberFormat="1" applyFont="1" applyFill="1" applyBorder="1" applyAlignment="1" applyProtection="1">
      <alignment horizontal="center"/>
      <protection locked="0"/>
    </xf>
    <xf numFmtId="0" fontId="14" fillId="0" borderId="94" xfId="0" applyFont="1" applyFill="1" applyBorder="1" applyAlignment="1">
      <alignment horizontal="center"/>
    </xf>
    <xf numFmtId="166" fontId="14" fillId="0" borderId="95" xfId="13" applyFont="1" applyFill="1" applyBorder="1" applyAlignment="1" applyProtection="1">
      <alignment horizontal="center"/>
      <protection locked="0"/>
    </xf>
    <xf numFmtId="177" fontId="14" fillId="0" borderId="95" xfId="16" applyNumberFormat="1" applyFont="1" applyFill="1" applyBorder="1" applyAlignment="1" applyProtection="1"/>
    <xf numFmtId="0" fontId="14" fillId="0" borderId="98" xfId="0" applyFont="1" applyFill="1" applyBorder="1" applyAlignment="1">
      <alignment horizontal="center"/>
    </xf>
    <xf numFmtId="177" fontId="20" fillId="0" borderId="57" xfId="12" applyNumberFormat="1" applyFill="1" applyBorder="1" applyAlignment="1" applyProtection="1">
      <alignment horizontal="center"/>
      <protection locked="0"/>
    </xf>
    <xf numFmtId="166" fontId="0" fillId="0" borderId="57" xfId="13" applyFont="1" applyFill="1" applyBorder="1" applyAlignment="1" applyProtection="1">
      <alignment horizontal="center"/>
      <protection locked="0"/>
    </xf>
    <xf numFmtId="166" fontId="0" fillId="0" borderId="57" xfId="13" applyFont="1" applyFill="1" applyBorder="1" applyAlignment="1" applyProtection="1">
      <protection locked="0"/>
    </xf>
    <xf numFmtId="166" fontId="0" fillId="0" borderId="93" xfId="13" applyFont="1" applyFill="1" applyBorder="1" applyAlignment="1" applyProtection="1">
      <alignment horizontal="center"/>
      <protection locked="0"/>
    </xf>
    <xf numFmtId="3" fontId="14" fillId="0" borderId="95" xfId="13" applyNumberFormat="1" applyFont="1" applyFill="1" applyBorder="1" applyAlignment="1" applyProtection="1">
      <alignment horizontal="right"/>
      <protection locked="0"/>
    </xf>
    <xf numFmtId="3" fontId="14" fillId="0" borderId="96" xfId="13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77" fontId="20" fillId="0" borderId="17" xfId="12" applyNumberFormat="1" applyFill="1" applyBorder="1" applyAlignment="1" applyProtection="1">
      <alignment horizontal="center"/>
      <protection locked="0"/>
    </xf>
    <xf numFmtId="177" fontId="14" fillId="0" borderId="12" xfId="12" applyNumberFormat="1" applyFont="1" applyFill="1" applyBorder="1" applyAlignment="1" applyProtection="1">
      <alignment horizontal="center"/>
      <protection locked="0"/>
    </xf>
    <xf numFmtId="170" fontId="0" fillId="0" borderId="8" xfId="0" applyNumberFormat="1" applyFill="1" applyBorder="1" applyAlignment="1" applyProtection="1">
      <alignment horizontal="center"/>
      <protection locked="0"/>
    </xf>
    <xf numFmtId="3" fontId="0" fillId="0" borderId="9" xfId="13" applyNumberFormat="1" applyFont="1" applyFill="1" applyBorder="1" applyAlignment="1" applyProtection="1">
      <alignment horizontal="right"/>
      <protection locked="0"/>
    </xf>
    <xf numFmtId="3" fontId="0" fillId="0" borderId="9" xfId="16" applyNumberFormat="1" applyFont="1" applyFill="1" applyBorder="1" applyAlignment="1" applyProtection="1">
      <alignment horizontal="right"/>
      <protection locked="0"/>
    </xf>
    <xf numFmtId="3" fontId="0" fillId="0" borderId="10" xfId="13" applyNumberFormat="1" applyFont="1" applyFill="1" applyBorder="1" applyAlignment="1" applyProtection="1">
      <alignment horizontal="right"/>
      <protection locked="0"/>
    </xf>
    <xf numFmtId="170" fontId="0" fillId="0" borderId="16" xfId="0" applyNumberFormat="1" applyFont="1" applyFill="1" applyBorder="1" applyAlignment="1" applyProtection="1">
      <alignment horizontal="center"/>
      <protection locked="0"/>
    </xf>
    <xf numFmtId="3" fontId="0" fillId="0" borderId="17" xfId="13" applyNumberFormat="1" applyFont="1" applyFill="1" applyBorder="1" applyAlignment="1" applyProtection="1">
      <alignment horizontal="right"/>
      <protection locked="0"/>
    </xf>
    <xf numFmtId="3" fontId="0" fillId="0" borderId="17" xfId="16" applyNumberFormat="1" applyFont="1" applyFill="1" applyBorder="1" applyAlignment="1" applyProtection="1">
      <alignment horizontal="right"/>
      <protection locked="0"/>
    </xf>
    <xf numFmtId="3" fontId="0" fillId="0" borderId="19" xfId="13" applyNumberFormat="1" applyFont="1" applyFill="1" applyBorder="1" applyAlignment="1" applyProtection="1">
      <alignment horizontal="right"/>
      <protection locked="0"/>
    </xf>
    <xf numFmtId="10" fontId="20" fillId="0" borderId="17" xfId="16" applyNumberFormat="1" applyFill="1" applyBorder="1" applyAlignment="1" applyProtection="1">
      <alignment horizontal="right"/>
      <protection locked="0"/>
    </xf>
    <xf numFmtId="3" fontId="20" fillId="0" borderId="95" xfId="12" applyNumberFormat="1" applyFill="1" applyBorder="1" applyAlignment="1" applyProtection="1">
      <alignment horizontal="right"/>
    </xf>
    <xf numFmtId="3" fontId="14" fillId="0" borderId="95" xfId="12" applyNumberFormat="1" applyFont="1" applyFill="1" applyBorder="1" applyAlignment="1" applyProtection="1">
      <alignment horizontal="right"/>
    </xf>
    <xf numFmtId="3" fontId="14" fillId="0" borderId="95" xfId="13" applyNumberFormat="1" applyFont="1" applyFill="1" applyBorder="1" applyAlignment="1" applyProtection="1">
      <alignment horizontal="right"/>
    </xf>
    <xf numFmtId="3" fontId="0" fillId="0" borderId="95" xfId="16" applyNumberFormat="1" applyFont="1" applyFill="1" applyBorder="1" applyAlignment="1" applyProtection="1">
      <alignment horizontal="right"/>
    </xf>
    <xf numFmtId="3" fontId="14" fillId="0" borderId="96" xfId="12" applyNumberFormat="1" applyFont="1" applyFill="1" applyBorder="1" applyAlignment="1" applyProtection="1">
      <alignment horizontal="right"/>
      <protection locked="0"/>
    </xf>
    <xf numFmtId="178" fontId="0" fillId="0" borderId="8" xfId="0" applyNumberFormat="1" applyFont="1" applyFill="1" applyBorder="1" applyAlignment="1" applyProtection="1">
      <alignment horizontal="center"/>
      <protection locked="0"/>
    </xf>
    <xf numFmtId="178" fontId="0" fillId="0" borderId="16" xfId="0" applyNumberFormat="1" applyFont="1" applyFill="1" applyBorder="1" applyAlignment="1" applyProtection="1">
      <alignment horizontal="center"/>
      <protection locked="0"/>
    </xf>
    <xf numFmtId="3" fontId="14" fillId="0" borderId="12" xfId="13" applyNumberFormat="1" applyFont="1" applyFill="1" applyBorder="1" applyAlignment="1" applyProtection="1">
      <alignment horizontal="right"/>
      <protection locked="0"/>
    </xf>
    <xf numFmtId="3" fontId="14" fillId="0" borderId="12" xfId="16" applyNumberFormat="1" applyFont="1" applyFill="1" applyBorder="1" applyAlignment="1" applyProtection="1">
      <alignment horizontal="right"/>
    </xf>
    <xf numFmtId="3" fontId="14" fillId="0" borderId="13" xfId="13" applyNumberFormat="1" applyFont="1" applyFill="1" applyBorder="1" applyAlignment="1" applyProtection="1">
      <alignment horizontal="right"/>
      <protection locked="0"/>
    </xf>
    <xf numFmtId="170" fontId="0" fillId="0" borderId="103" xfId="0" applyNumberFormat="1" applyFill="1" applyBorder="1" applyAlignment="1" applyProtection="1">
      <alignment horizontal="center"/>
      <protection locked="0"/>
    </xf>
    <xf numFmtId="177" fontId="20" fillId="0" borderId="63" xfId="12" applyNumberFormat="1" applyFill="1" applyBorder="1" applyAlignment="1" applyProtection="1">
      <alignment horizontal="center"/>
      <protection locked="0"/>
    </xf>
    <xf numFmtId="166" fontId="0" fillId="0" borderId="63" xfId="13" applyFont="1" applyFill="1" applyBorder="1" applyAlignment="1" applyProtection="1">
      <alignment horizontal="center"/>
      <protection locked="0"/>
    </xf>
    <xf numFmtId="177" fontId="20" fillId="0" borderId="104" xfId="12" applyNumberFormat="1" applyFill="1" applyBorder="1" applyAlignment="1" applyProtection="1">
      <alignment horizontal="center"/>
      <protection locked="0"/>
    </xf>
    <xf numFmtId="166" fontId="0" fillId="0" borderId="63" xfId="13" applyFont="1" applyFill="1" applyBorder="1" applyAlignment="1" applyProtection="1">
      <protection locked="0"/>
    </xf>
    <xf numFmtId="9" fontId="0" fillId="0" borderId="63" xfId="16" applyFont="1" applyFill="1" applyBorder="1" applyAlignment="1" applyProtection="1">
      <protection locked="0"/>
    </xf>
    <xf numFmtId="177" fontId="20" fillId="0" borderId="100" xfId="12" applyNumberFormat="1" applyFill="1" applyBorder="1" applyAlignment="1" applyProtection="1">
      <alignment horizontal="center"/>
      <protection locked="0"/>
    </xf>
    <xf numFmtId="170" fontId="0" fillId="0" borderId="105" xfId="0" applyNumberFormat="1" applyFill="1" applyBorder="1" applyAlignment="1" applyProtection="1">
      <alignment horizontal="center"/>
      <protection locked="0"/>
    </xf>
    <xf numFmtId="9" fontId="0" fillId="0" borderId="104" xfId="16" applyFont="1" applyFill="1" applyBorder="1" applyAlignment="1" applyProtection="1">
      <alignment horizontal="center"/>
      <protection locked="0"/>
    </xf>
    <xf numFmtId="177" fontId="20" fillId="0" borderId="106" xfId="12" applyNumberFormat="1" applyFill="1" applyBorder="1" applyAlignment="1" applyProtection="1">
      <alignment horizontal="center"/>
      <protection locked="0"/>
    </xf>
    <xf numFmtId="166" fontId="0" fillId="0" borderId="104" xfId="13" applyFont="1" applyFill="1" applyBorder="1" applyAlignment="1" applyProtection="1">
      <alignment horizontal="center"/>
      <protection locked="0"/>
    </xf>
    <xf numFmtId="177" fontId="20" fillId="0" borderId="107" xfId="12" applyNumberFormat="1" applyFill="1" applyBorder="1" applyAlignment="1" applyProtection="1">
      <alignment horizontal="center"/>
      <protection locked="0"/>
    </xf>
    <xf numFmtId="166" fontId="0" fillId="0" borderId="107" xfId="13" applyFont="1" applyFill="1" applyBorder="1" applyAlignment="1" applyProtection="1">
      <alignment horizontal="center"/>
      <protection locked="0"/>
    </xf>
    <xf numFmtId="166" fontId="0" fillId="0" borderId="107" xfId="13" applyFont="1" applyFill="1" applyBorder="1" applyAlignment="1" applyProtection="1">
      <protection locked="0"/>
    </xf>
    <xf numFmtId="9" fontId="0" fillId="0" borderId="107" xfId="16" applyFont="1" applyFill="1" applyBorder="1" applyAlignment="1" applyProtection="1">
      <protection locked="0"/>
    </xf>
    <xf numFmtId="177" fontId="20" fillId="0" borderId="107" xfId="12" applyNumberFormat="1" applyFill="1" applyBorder="1" applyAlignment="1" applyProtection="1">
      <protection locked="0"/>
    </xf>
    <xf numFmtId="177" fontId="20" fillId="0" borderId="102" xfId="12" applyNumberFormat="1" applyFill="1" applyBorder="1" applyAlignment="1" applyProtection="1">
      <alignment horizontal="center"/>
      <protection locked="0"/>
    </xf>
    <xf numFmtId="166" fontId="0" fillId="0" borderId="104" xfId="13" applyFont="1" applyFill="1" applyBorder="1" applyAlignment="1" applyProtection="1">
      <protection locked="0"/>
    </xf>
    <xf numFmtId="9" fontId="0" fillId="0" borderId="104" xfId="16" applyFont="1" applyFill="1" applyBorder="1" applyAlignment="1" applyProtection="1">
      <protection locked="0"/>
    </xf>
    <xf numFmtId="177" fontId="20" fillId="0" borderId="104" xfId="12" applyNumberFormat="1" applyFill="1" applyBorder="1" applyAlignment="1" applyProtection="1">
      <protection locked="0"/>
    </xf>
    <xf numFmtId="178" fontId="0" fillId="0" borderId="97" xfId="0" applyNumberFormat="1" applyFill="1" applyBorder="1" applyAlignment="1" applyProtection="1">
      <alignment horizontal="center"/>
      <protection locked="0"/>
    </xf>
    <xf numFmtId="166" fontId="0" fillId="0" borderId="106" xfId="13" applyFont="1" applyFill="1" applyBorder="1" applyAlignment="1" applyProtection="1">
      <alignment horizontal="center"/>
      <protection locked="0"/>
    </xf>
    <xf numFmtId="0" fontId="14" fillId="0" borderId="101" xfId="0" applyFont="1" applyFill="1" applyBorder="1" applyAlignment="1">
      <alignment horizontal="center"/>
    </xf>
    <xf numFmtId="0" fontId="14" fillId="0" borderId="108" xfId="0" applyFont="1" applyFill="1" applyBorder="1" applyAlignment="1">
      <alignment horizontal="center"/>
    </xf>
    <xf numFmtId="3" fontId="0" fillId="0" borderId="106" xfId="13" applyNumberFormat="1" applyFont="1" applyFill="1" applyBorder="1" applyAlignment="1" applyProtection="1">
      <alignment horizontal="right"/>
      <protection locked="0"/>
    </xf>
    <xf numFmtId="3" fontId="0" fillId="0" borderId="100" xfId="13" applyNumberFormat="1" applyFont="1" applyFill="1" applyBorder="1" applyAlignment="1" applyProtection="1">
      <alignment horizontal="right"/>
      <protection locked="0"/>
    </xf>
    <xf numFmtId="170" fontId="0" fillId="0" borderId="103" xfId="0" applyNumberFormat="1" applyFont="1" applyFill="1" applyBorder="1" applyProtection="1">
      <protection locked="0"/>
    </xf>
    <xf numFmtId="166" fontId="0" fillId="0" borderId="100" xfId="13" applyFont="1" applyFill="1" applyBorder="1" applyAlignment="1" applyProtection="1">
      <alignment horizontal="center"/>
      <protection locked="0"/>
    </xf>
    <xf numFmtId="10" fontId="0" fillId="0" borderId="19" xfId="16" applyNumberFormat="1" applyFont="1" applyFill="1" applyBorder="1" applyAlignment="1" applyProtection="1">
      <alignment horizontal="center"/>
      <protection locked="0"/>
    </xf>
    <xf numFmtId="10" fontId="0" fillId="0" borderId="13" xfId="16" applyNumberFormat="1" applyFont="1" applyFill="1" applyBorder="1" applyAlignment="1" applyProtection="1">
      <alignment horizontal="center"/>
      <protection locked="0"/>
    </xf>
    <xf numFmtId="0" fontId="14" fillId="16" borderId="68" xfId="0" applyFont="1" applyFill="1" applyBorder="1" applyAlignment="1">
      <alignment vertical="center"/>
    </xf>
    <xf numFmtId="0" fontId="14" fillId="16" borderId="79" xfId="0" applyFont="1" applyFill="1" applyBorder="1" applyAlignment="1">
      <alignment vertical="center"/>
    </xf>
    <xf numFmtId="0" fontId="14" fillId="16" borderId="80" xfId="0" applyFont="1" applyFill="1" applyBorder="1" applyAlignment="1">
      <alignment vertical="center"/>
    </xf>
    <xf numFmtId="177" fontId="20" fillId="0" borderId="104" xfId="12" applyNumberFormat="1" applyFill="1" applyBorder="1"/>
    <xf numFmtId="177" fontId="0" fillId="0" borderId="104" xfId="0" applyNumberFormat="1" applyFill="1" applyBorder="1"/>
    <xf numFmtId="0" fontId="0" fillId="0" borderId="110" xfId="0" applyFill="1" applyBorder="1"/>
    <xf numFmtId="177" fontId="20" fillId="0" borderId="110" xfId="12" applyNumberFormat="1" applyFill="1" applyBorder="1"/>
    <xf numFmtId="177" fontId="20" fillId="0" borderId="111" xfId="12" applyNumberFormat="1" applyFill="1" applyBorder="1"/>
    <xf numFmtId="177" fontId="0" fillId="0" borderId="110" xfId="0" applyNumberFormat="1" applyFill="1" applyBorder="1"/>
    <xf numFmtId="166" fontId="0" fillId="13" borderId="30" xfId="13" applyFont="1" applyFill="1" applyBorder="1" applyAlignment="1" applyProtection="1">
      <alignment horizontal="center"/>
      <protection locked="0"/>
    </xf>
    <xf numFmtId="3" fontId="0" fillId="13" borderId="19" xfId="13" applyNumberFormat="1" applyFont="1" applyFill="1" applyBorder="1" applyAlignment="1" applyProtection="1">
      <alignment horizontal="right"/>
      <protection locked="0"/>
    </xf>
    <xf numFmtId="177" fontId="20" fillId="13" borderId="109" xfId="12" applyNumberFormat="1" applyFill="1" applyBorder="1" applyAlignment="1" applyProtection="1">
      <alignment horizontal="center"/>
      <protection locked="0"/>
    </xf>
    <xf numFmtId="177" fontId="20" fillId="13" borderId="106" xfId="12" applyNumberFormat="1" applyFill="1" applyBorder="1" applyAlignment="1" applyProtection="1">
      <alignment horizontal="center"/>
      <protection locked="0"/>
    </xf>
    <xf numFmtId="177" fontId="20" fillId="13" borderId="63" xfId="12" applyNumberFormat="1" applyFill="1" applyBorder="1" applyAlignment="1" applyProtection="1">
      <protection locked="0"/>
    </xf>
    <xf numFmtId="3" fontId="0" fillId="13" borderId="17" xfId="13" applyNumberFormat="1" applyFont="1" applyFill="1" applyBorder="1" applyAlignment="1" applyProtection="1">
      <alignment horizontal="right"/>
      <protection locked="0"/>
    </xf>
    <xf numFmtId="169" fontId="0" fillId="13" borderId="17" xfId="12" applyFont="1" applyFill="1" applyBorder="1" applyAlignment="1" applyProtection="1">
      <protection locked="0"/>
    </xf>
    <xf numFmtId="169" fontId="0" fillId="13" borderId="30" xfId="12" applyFont="1" applyFill="1" applyBorder="1" applyAlignment="1" applyProtection="1">
      <protection locked="0"/>
    </xf>
    <xf numFmtId="166" fontId="0" fillId="14" borderId="17" xfId="13" applyFont="1" applyFill="1" applyBorder="1" applyAlignment="1" applyProtection="1">
      <alignment horizontal="center"/>
      <protection locked="0"/>
    </xf>
    <xf numFmtId="169" fontId="0" fillId="0" borderId="17" xfId="12" applyFont="1" applyFill="1" applyBorder="1" applyAlignment="1" applyProtection="1"/>
    <xf numFmtId="166" fontId="0" fillId="0" borderId="12" xfId="13" applyFont="1" applyFill="1" applyBorder="1" applyAlignment="1" applyProtection="1"/>
    <xf numFmtId="172" fontId="0" fillId="0" borderId="9" xfId="12" applyNumberFormat="1" applyFont="1" applyFill="1" applyBorder="1" applyAlignment="1" applyProtection="1">
      <alignment horizontal="center"/>
    </xf>
    <xf numFmtId="166" fontId="0" fillId="0" borderId="112" xfId="13" applyFont="1" applyFill="1" applyBorder="1" applyAlignment="1" applyProtection="1">
      <alignment horizontal="center"/>
    </xf>
    <xf numFmtId="0" fontId="14" fillId="13" borderId="16" xfId="0" applyFont="1" applyFill="1" applyBorder="1" applyProtection="1"/>
    <xf numFmtId="0" fontId="0" fillId="14" borderId="60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87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5" fillId="0" borderId="66" xfId="0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/>
    </xf>
    <xf numFmtId="0" fontId="25" fillId="0" borderId="68" xfId="0" applyFont="1" applyFill="1" applyBorder="1" applyAlignment="1">
      <alignment horizontal="center"/>
    </xf>
    <xf numFmtId="169" fontId="20" fillId="0" borderId="66" xfId="12" applyFill="1" applyBorder="1" applyAlignment="1">
      <alignment horizontal="center"/>
    </xf>
    <xf numFmtId="169" fontId="20" fillId="0" borderId="68" xfId="12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99" xfId="0" applyFont="1" applyFill="1" applyBorder="1" applyAlignment="1">
      <alignment horizontal="center" wrapText="1"/>
    </xf>
    <xf numFmtId="0" fontId="14" fillId="0" borderId="101" xfId="0" applyFont="1" applyFill="1" applyBorder="1" applyAlignment="1">
      <alignment horizontal="center" wrapText="1"/>
    </xf>
    <xf numFmtId="177" fontId="14" fillId="0" borderId="100" xfId="12" applyNumberFormat="1" applyFont="1" applyFill="1" applyBorder="1" applyAlignment="1" applyProtection="1">
      <alignment horizontal="center" wrapText="1"/>
      <protection locked="0"/>
    </xf>
    <xf numFmtId="177" fontId="14" fillId="0" borderId="102" xfId="12" applyNumberFormat="1" applyFont="1" applyFill="1" applyBorder="1" applyAlignment="1" applyProtection="1">
      <alignment horizontal="center" wrapText="1"/>
      <protection locked="0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77" fontId="14" fillId="15" borderId="66" xfId="0" applyNumberFormat="1" applyFont="1" applyFill="1" applyBorder="1" applyAlignment="1">
      <alignment horizontal="center"/>
    </xf>
    <xf numFmtId="177" fontId="14" fillId="15" borderId="67" xfId="0" applyNumberFormat="1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166" fontId="0" fillId="0" borderId="0" xfId="0" applyNumberFormat="1" applyProtection="1"/>
    <xf numFmtId="166" fontId="0" fillId="0" borderId="28" xfId="13" applyFont="1" applyFill="1" applyBorder="1" applyAlignment="1" applyProtection="1">
      <protection locked="0"/>
    </xf>
    <xf numFmtId="0" fontId="14" fillId="0" borderId="35" xfId="0" applyFont="1" applyFill="1" applyBorder="1" applyAlignment="1" applyProtection="1">
      <alignment horizontal="left"/>
    </xf>
    <xf numFmtId="166" fontId="0" fillId="0" borderId="113" xfId="13" applyFont="1" applyFill="1" applyBorder="1" applyAlignment="1" applyProtection="1">
      <alignment horizontal="center"/>
      <protection locked="0"/>
    </xf>
    <xf numFmtId="0" fontId="14" fillId="0" borderId="37" xfId="0" applyFont="1" applyFill="1" applyBorder="1" applyProtection="1"/>
    <xf numFmtId="166" fontId="0" fillId="0" borderId="114" xfId="13" applyFont="1" applyFill="1" applyBorder="1" applyAlignment="1" applyProtection="1">
      <alignment horizontal="center"/>
      <protection locked="0"/>
    </xf>
    <xf numFmtId="0" fontId="0" fillId="17" borderId="16" xfId="0" applyFill="1" applyBorder="1" applyProtection="1"/>
    <xf numFmtId="166" fontId="0" fillId="17" borderId="17" xfId="13" applyFont="1" applyFill="1" applyBorder="1" applyAlignment="1" applyProtection="1">
      <alignment horizontal="center"/>
    </xf>
    <xf numFmtId="166" fontId="0" fillId="17" borderId="19" xfId="13" applyFont="1" applyFill="1" applyBorder="1" applyAlignment="1" applyProtection="1">
      <alignment horizontal="center"/>
    </xf>
    <xf numFmtId="0" fontId="14" fillId="14" borderId="16" xfId="0" applyFont="1" applyFill="1" applyBorder="1" applyProtection="1"/>
    <xf numFmtId="166" fontId="0" fillId="14" borderId="17" xfId="13" applyFont="1" applyFill="1" applyBorder="1" applyAlignment="1" applyProtection="1">
      <alignment horizontal="center"/>
    </xf>
    <xf numFmtId="169" fontId="0" fillId="14" borderId="17" xfId="12" applyFont="1" applyFill="1" applyBorder="1" applyAlignment="1" applyProtection="1"/>
    <xf numFmtId="166" fontId="0" fillId="14" borderId="30" xfId="13" applyFont="1" applyFill="1" applyBorder="1" applyAlignment="1" applyProtection="1">
      <alignment horizontal="center"/>
      <protection locked="0"/>
    </xf>
    <xf numFmtId="169" fontId="0" fillId="14" borderId="17" xfId="12" applyFont="1" applyFill="1" applyBorder="1" applyAlignment="1" applyProtection="1">
      <protection locked="0"/>
    </xf>
    <xf numFmtId="169" fontId="0" fillId="14" borderId="30" xfId="12" applyFont="1" applyFill="1" applyBorder="1" applyAlignment="1" applyProtection="1">
      <protection locked="0"/>
    </xf>
  </cellXfs>
  <cellStyles count="23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ipervínculo" xfId="22" builtinId="8"/>
    <cellStyle name="Millares" xfId="12" builtinId="3"/>
    <cellStyle name="Moneda" xfId="13" builtinId="4"/>
    <cellStyle name="Neutral 1" xfId="14" xr:uid="{00000000-0005-0000-0000-00000E000000}"/>
    <cellStyle name="Normal" xfId="0" builtinId="0"/>
    <cellStyle name="Note 1" xfId="15" xr:uid="{00000000-0005-0000-0000-000010000000}"/>
    <cellStyle name="Porcentaje" xfId="16" builtinId="5"/>
    <cellStyle name="Sin título1" xfId="17" xr:uid="{00000000-0005-0000-0000-000012000000}"/>
    <cellStyle name="Sin título2" xfId="18" xr:uid="{00000000-0005-0000-0000-000013000000}"/>
    <cellStyle name="Status 1" xfId="19" xr:uid="{00000000-0005-0000-0000-000014000000}"/>
    <cellStyle name="Text 1" xfId="20" xr:uid="{00000000-0005-0000-0000-000015000000}"/>
    <cellStyle name="Warning 1" xfId="21" xr:uid="{00000000-0005-0000-0000-000016000000}"/>
  </cellStyles>
  <dxfs count="100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9" formatCode="_(* #,##0.00_);_(* \(#,##0.00\);_(* \-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52525"/>
        <name val="Arial"/>
        <scheme val="none"/>
      </font>
      <numFmt numFmtId="4" formatCode="#,##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1" formatCode="&quot;$&quot;#,##0"/>
    </dxf>
    <dxf>
      <numFmt numFmtId="171" formatCode="&quot;$&quot;#,##0"/>
    </dxf>
    <dxf>
      <numFmt numFmtId="171" formatCode="&quot;$&quot;#,##0"/>
    </dxf>
    <dxf>
      <numFmt numFmtId="34" formatCode="_-&quot;$&quot;* #,##0.00_-;\-&quot;$&quot;* #,##0.00_-;_-&quot;$&quot;* &quot;-&quot;??_-;_-@_-"/>
    </dxf>
    <dxf>
      <numFmt numFmtId="172" formatCode="&quot;$&quot;#,##0.00"/>
    </dxf>
    <dxf>
      <numFmt numFmtId="172" formatCode="&quot;$&quot;#,##0.0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1</a:t>
            </a:r>
            <a:endParaRPr lang="es-A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'E-Costos'!$B$141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'E-Costos'!$B$142:$B$158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1339189.01027443</c:v>
                </c:pt>
                <c:pt idx="2">
                  <c:v>1339189.01027443</c:v>
                </c:pt>
                <c:pt idx="3">
                  <c:v>1339189.01027443</c:v>
                </c:pt>
                <c:pt idx="4">
                  <c:v>1339189.01027443</c:v>
                </c:pt>
                <c:pt idx="5">
                  <c:v>1339189.01027443</c:v>
                </c:pt>
                <c:pt idx="6">
                  <c:v>1339189.01027443</c:v>
                </c:pt>
                <c:pt idx="7">
                  <c:v>1339189.01027443</c:v>
                </c:pt>
                <c:pt idx="8">
                  <c:v>1339189.01027443</c:v>
                </c:pt>
                <c:pt idx="9">
                  <c:v>1339189.01027443</c:v>
                </c:pt>
                <c:pt idx="10">
                  <c:v>1339189.01027443</c:v>
                </c:pt>
                <c:pt idx="11">
                  <c:v>1339189.01027443</c:v>
                </c:pt>
                <c:pt idx="12">
                  <c:v>1339189.01027443</c:v>
                </c:pt>
                <c:pt idx="13">
                  <c:v>1339189.01027443</c:v>
                </c:pt>
                <c:pt idx="14">
                  <c:v>1339189.01027443</c:v>
                </c:pt>
                <c:pt idx="15">
                  <c:v>1339189.01027443</c:v>
                </c:pt>
                <c:pt idx="16">
                  <c:v>1339189.01027443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6A-4985-AA71-11574894E7DA}"/>
            </c:ext>
          </c:extLst>
        </c:ser>
        <c:ser>
          <c:idx val="1"/>
          <c:order val="1"/>
          <c:tx>
            <c:strRef>
              <c:f>'E-Costos'!$C$141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'E-Costos'!$C$142:$C$158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1135689.0220785104</c:v>
                </c:pt>
                <c:pt idx="2">
                  <c:v>1238933.4786311022</c:v>
                </c:pt>
                <c:pt idx="3">
                  <c:v>1342177.9351836939</c:v>
                </c:pt>
                <c:pt idx="4">
                  <c:v>1445422.3917362858</c:v>
                </c:pt>
                <c:pt idx="5">
                  <c:v>1548666.8482888776</c:v>
                </c:pt>
                <c:pt idx="6">
                  <c:v>1651911.3048414695</c:v>
                </c:pt>
                <c:pt idx="7">
                  <c:v>1755155.7613940614</c:v>
                </c:pt>
                <c:pt idx="8">
                  <c:v>1858400.2179466533</c:v>
                </c:pt>
                <c:pt idx="9">
                  <c:v>1961644.6744992451</c:v>
                </c:pt>
                <c:pt idx="10">
                  <c:v>2064889.131051837</c:v>
                </c:pt>
                <c:pt idx="11">
                  <c:v>2168133.5876044286</c:v>
                </c:pt>
                <c:pt idx="12">
                  <c:v>2271378.0441570207</c:v>
                </c:pt>
                <c:pt idx="13">
                  <c:v>2374622.5007096124</c:v>
                </c:pt>
                <c:pt idx="14">
                  <c:v>2477866.9572622045</c:v>
                </c:pt>
                <c:pt idx="15">
                  <c:v>2581111.4138147961</c:v>
                </c:pt>
                <c:pt idx="16">
                  <c:v>2684355.8703673878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6A-4985-AA71-11574894E7DA}"/>
            </c:ext>
          </c:extLst>
        </c:ser>
        <c:ser>
          <c:idx val="2"/>
          <c:order val="2"/>
          <c:tx>
            <c:strRef>
              <c:f>'E-Costos'!$D$141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'E-Costos'!$D$142:$D$158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2474878.0323529402</c:v>
                </c:pt>
                <c:pt idx="2">
                  <c:v>2578122.4889055323</c:v>
                </c:pt>
                <c:pt idx="3">
                  <c:v>2681366.9454581239</c:v>
                </c:pt>
                <c:pt idx="4">
                  <c:v>2784611.4020107156</c:v>
                </c:pt>
                <c:pt idx="5">
                  <c:v>2887855.8585633077</c:v>
                </c:pt>
                <c:pt idx="6">
                  <c:v>2991100.3151158998</c:v>
                </c:pt>
                <c:pt idx="7">
                  <c:v>3094344.7716684914</c:v>
                </c:pt>
                <c:pt idx="8">
                  <c:v>3197589.2282210831</c:v>
                </c:pt>
                <c:pt idx="9">
                  <c:v>3300833.6847736752</c:v>
                </c:pt>
                <c:pt idx="10">
                  <c:v>3404078.1413262673</c:v>
                </c:pt>
                <c:pt idx="11">
                  <c:v>3507322.5978788584</c:v>
                </c:pt>
                <c:pt idx="12">
                  <c:v>3610567.0544314506</c:v>
                </c:pt>
                <c:pt idx="13">
                  <c:v>3713811.5109840427</c:v>
                </c:pt>
                <c:pt idx="14">
                  <c:v>3817055.9675366348</c:v>
                </c:pt>
                <c:pt idx="15">
                  <c:v>3920300.4240892259</c:v>
                </c:pt>
                <c:pt idx="16">
                  <c:v>4023544.880641818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6A-4985-AA71-11574894E7DA}"/>
            </c:ext>
          </c:extLst>
        </c:ser>
        <c:ser>
          <c:idx val="3"/>
          <c:order val="3"/>
          <c:tx>
            <c:strRef>
              <c:f>'E-Costos'!$E$141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'E-Costos'!$E$142:$E$158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6A-4985-AA71-11574894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37280"/>
        <c:axId val="242137856"/>
      </c:scatterChart>
      <c:valAx>
        <c:axId val="2421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137856"/>
        <c:crosses val="autoZero"/>
        <c:crossBetween val="midCat"/>
      </c:valAx>
      <c:valAx>
        <c:axId val="242137856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42137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5</a:t>
            </a:r>
            <a:endParaRPr lang="es-A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'E-Costos'!$B$162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'E-Costos'!$B$163:$B$179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1354718.8093569633</c:v>
                </c:pt>
                <c:pt idx="2">
                  <c:v>1354718.8093569633</c:v>
                </c:pt>
                <c:pt idx="3">
                  <c:v>1354718.8093569633</c:v>
                </c:pt>
                <c:pt idx="4">
                  <c:v>1354718.8093569633</c:v>
                </c:pt>
                <c:pt idx="5">
                  <c:v>1354718.8093569633</c:v>
                </c:pt>
                <c:pt idx="6">
                  <c:v>1354718.8093569633</c:v>
                </c:pt>
                <c:pt idx="7">
                  <c:v>1354718.8093569633</c:v>
                </c:pt>
                <c:pt idx="8">
                  <c:v>1354718.8093569633</c:v>
                </c:pt>
                <c:pt idx="9">
                  <c:v>1354718.8093569633</c:v>
                </c:pt>
                <c:pt idx="10">
                  <c:v>1354718.8093569633</c:v>
                </c:pt>
                <c:pt idx="11">
                  <c:v>1354718.8093569633</c:v>
                </c:pt>
                <c:pt idx="12">
                  <c:v>1354718.8093569633</c:v>
                </c:pt>
                <c:pt idx="13">
                  <c:v>1354718.8093569633</c:v>
                </c:pt>
                <c:pt idx="14">
                  <c:v>1354718.8093569633</c:v>
                </c:pt>
                <c:pt idx="15">
                  <c:v>1354718.8093569633</c:v>
                </c:pt>
                <c:pt idx="16">
                  <c:v>1354718.8093569633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5-4AF3-9E23-028D7BC97165}"/>
            </c:ext>
          </c:extLst>
        </c:ser>
        <c:ser>
          <c:idx val="1"/>
          <c:order val="1"/>
          <c:tx>
            <c:strRef>
              <c:f>'E-Costos'!$C$162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'E-Costos'!$C$163:$C$179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1088267.9143232398</c:v>
                </c:pt>
                <c:pt idx="2">
                  <c:v>1187201.361079898</c:v>
                </c:pt>
                <c:pt idx="3">
                  <c:v>1286134.8078365561</c:v>
                </c:pt>
                <c:pt idx="4">
                  <c:v>1385068.2545932143</c:v>
                </c:pt>
                <c:pt idx="5">
                  <c:v>1484001.7013498724</c:v>
                </c:pt>
                <c:pt idx="6">
                  <c:v>1582935.1481065305</c:v>
                </c:pt>
                <c:pt idx="7">
                  <c:v>1681868.5948631887</c:v>
                </c:pt>
                <c:pt idx="8">
                  <c:v>1780802.0416198468</c:v>
                </c:pt>
                <c:pt idx="9">
                  <c:v>1879735.488376505</c:v>
                </c:pt>
                <c:pt idx="10">
                  <c:v>1978668.9351331631</c:v>
                </c:pt>
                <c:pt idx="11">
                  <c:v>2077602.3818898215</c:v>
                </c:pt>
                <c:pt idx="12">
                  <c:v>2176535.8286464796</c:v>
                </c:pt>
                <c:pt idx="13">
                  <c:v>2275469.2754031378</c:v>
                </c:pt>
                <c:pt idx="14">
                  <c:v>2374402.7221597959</c:v>
                </c:pt>
                <c:pt idx="15">
                  <c:v>2473336.1689164541</c:v>
                </c:pt>
                <c:pt idx="16">
                  <c:v>2572269.6156731122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5-4AF3-9E23-028D7BC97165}"/>
            </c:ext>
          </c:extLst>
        </c:ser>
        <c:ser>
          <c:idx val="2"/>
          <c:order val="2"/>
          <c:tx>
            <c:strRef>
              <c:f>'E-Costos'!$D$162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'E-Costos'!$D$163:$D$179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2442986.7236802028</c:v>
                </c:pt>
                <c:pt idx="2">
                  <c:v>2541920.170436861</c:v>
                </c:pt>
                <c:pt idx="3">
                  <c:v>2640853.6171935191</c:v>
                </c:pt>
                <c:pt idx="4">
                  <c:v>2739787.0639501773</c:v>
                </c:pt>
                <c:pt idx="5">
                  <c:v>2838720.5107068354</c:v>
                </c:pt>
                <c:pt idx="6">
                  <c:v>2937653.9574634936</c:v>
                </c:pt>
                <c:pt idx="7">
                  <c:v>3036587.4042201517</c:v>
                </c:pt>
                <c:pt idx="8">
                  <c:v>3135520.8509768099</c:v>
                </c:pt>
                <c:pt idx="9">
                  <c:v>3234454.297733468</c:v>
                </c:pt>
                <c:pt idx="10">
                  <c:v>3333387.7444901261</c:v>
                </c:pt>
                <c:pt idx="11">
                  <c:v>3432321.1912467848</c:v>
                </c:pt>
                <c:pt idx="12">
                  <c:v>3531254.6380034429</c:v>
                </c:pt>
                <c:pt idx="13">
                  <c:v>3630188.084760101</c:v>
                </c:pt>
                <c:pt idx="14">
                  <c:v>3729121.5315167592</c:v>
                </c:pt>
                <c:pt idx="15">
                  <c:v>3828054.9782734173</c:v>
                </c:pt>
                <c:pt idx="16">
                  <c:v>3926988.4250300755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5-4AF3-9E23-028D7BC97165}"/>
            </c:ext>
          </c:extLst>
        </c:ser>
        <c:ser>
          <c:idx val="3"/>
          <c:order val="3"/>
          <c:tx>
            <c:strRef>
              <c:f>'E-Costos'!$E$162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'E-Costos'!$E$163:$E$179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5-4AF3-9E23-028D7BC9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15968"/>
        <c:axId val="244516544"/>
      </c:scatterChart>
      <c:valAx>
        <c:axId val="2445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516544"/>
        <c:crosses val="autoZero"/>
        <c:crossBetween val="midCat"/>
      </c:valAx>
      <c:valAx>
        <c:axId val="244516544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44515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 de equilibrio</a:t>
            </a:r>
            <a:r>
              <a:rPr lang="es-AR" baseline="0"/>
              <a:t> año 1</a:t>
            </a:r>
            <a:endParaRPr lang="es-A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07195975503063"/>
          <c:y val="0.19480351414406533"/>
          <c:w val="0.567746719160105"/>
          <c:h val="0.689216608340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'F-2 Estructura'!$B$48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Estructura'!$B$49:$B$65</c:f>
              <c:numCache>
                <c:formatCode>_(* #,##0_);_(* \(#,##0\);_(* \-??_);_(@_)</c:formatCode>
                <c:ptCount val="17"/>
                <c:pt idx="0">
                  <c:v>1909367.9666102454</c:v>
                </c:pt>
                <c:pt idx="1">
                  <c:v>1909367.9666102454</c:v>
                </c:pt>
                <c:pt idx="2">
                  <c:v>1909367.9666102454</c:v>
                </c:pt>
                <c:pt idx="3">
                  <c:v>1909367.9666102454</c:v>
                </c:pt>
                <c:pt idx="4">
                  <c:v>1909367.9666102454</c:v>
                </c:pt>
                <c:pt idx="5">
                  <c:v>1909367.9666102454</c:v>
                </c:pt>
                <c:pt idx="6">
                  <c:v>1909367.9666102454</c:v>
                </c:pt>
                <c:pt idx="7">
                  <c:v>1909367.9666102454</c:v>
                </c:pt>
                <c:pt idx="8">
                  <c:v>1909367.9666102454</c:v>
                </c:pt>
                <c:pt idx="9">
                  <c:v>1909367.9666102454</c:v>
                </c:pt>
                <c:pt idx="10">
                  <c:v>1909367.9666102454</c:v>
                </c:pt>
                <c:pt idx="11">
                  <c:v>1909367.9666102454</c:v>
                </c:pt>
                <c:pt idx="12">
                  <c:v>1909367.9666102454</c:v>
                </c:pt>
                <c:pt idx="13">
                  <c:v>1909367.9666102454</c:v>
                </c:pt>
                <c:pt idx="14">
                  <c:v>1909367.9666102454</c:v>
                </c:pt>
                <c:pt idx="15">
                  <c:v>1909367.9666102454</c:v>
                </c:pt>
                <c:pt idx="16">
                  <c:v>1909367.9666102454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7-41A8-8E19-53B18AB8FBC2}"/>
            </c:ext>
          </c:extLst>
        </c:ser>
        <c:ser>
          <c:idx val="1"/>
          <c:order val="1"/>
          <c:tx>
            <c:strRef>
              <c:f>'F-2 Estructura'!$C$48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Estructura'!$C$49:$C$65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1135689.0220785104</c:v>
                </c:pt>
                <c:pt idx="2">
                  <c:v>1238933.4786311022</c:v>
                </c:pt>
                <c:pt idx="3">
                  <c:v>1342177.9351836941</c:v>
                </c:pt>
                <c:pt idx="4">
                  <c:v>1445422.3917362858</c:v>
                </c:pt>
                <c:pt idx="5">
                  <c:v>1548666.8482888776</c:v>
                </c:pt>
                <c:pt idx="6">
                  <c:v>1651911.3048414695</c:v>
                </c:pt>
                <c:pt idx="7">
                  <c:v>1755155.7613940614</c:v>
                </c:pt>
                <c:pt idx="8">
                  <c:v>1858400.2179466533</c:v>
                </c:pt>
                <c:pt idx="9">
                  <c:v>1961644.6744992451</c:v>
                </c:pt>
                <c:pt idx="10">
                  <c:v>2064889.131051837</c:v>
                </c:pt>
                <c:pt idx="11">
                  <c:v>2168133.5876044286</c:v>
                </c:pt>
                <c:pt idx="12">
                  <c:v>2271378.0441570207</c:v>
                </c:pt>
                <c:pt idx="13">
                  <c:v>2374622.5007096124</c:v>
                </c:pt>
                <c:pt idx="14">
                  <c:v>2477866.9572622045</c:v>
                </c:pt>
                <c:pt idx="15">
                  <c:v>2581111.4138147961</c:v>
                </c:pt>
                <c:pt idx="16">
                  <c:v>2684355.8703673882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7-41A8-8E19-53B18AB8FBC2}"/>
            </c:ext>
          </c:extLst>
        </c:ser>
        <c:ser>
          <c:idx val="2"/>
          <c:order val="2"/>
          <c:tx>
            <c:strRef>
              <c:f>'F-2 Estructura'!$D$48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Estructura'!$D$49:$D$65</c:f>
              <c:numCache>
                <c:formatCode>_(* #,##0_);_(* \(#,##0\);_(* \-??_);_(@_)</c:formatCode>
                <c:ptCount val="17"/>
                <c:pt idx="0">
                  <c:v>1909367.9666102454</c:v>
                </c:pt>
                <c:pt idx="1">
                  <c:v>3045056.9886887558</c:v>
                </c:pt>
                <c:pt idx="2">
                  <c:v>3148301.4452413479</c:v>
                </c:pt>
                <c:pt idx="3">
                  <c:v>3251545.9017939395</c:v>
                </c:pt>
                <c:pt idx="4">
                  <c:v>3354790.3583465312</c:v>
                </c:pt>
                <c:pt idx="5">
                  <c:v>3458034.8148991233</c:v>
                </c:pt>
                <c:pt idx="6">
                  <c:v>3561279.2714517149</c:v>
                </c:pt>
                <c:pt idx="7">
                  <c:v>3664523.7280043066</c:v>
                </c:pt>
                <c:pt idx="8">
                  <c:v>3767768.1845568987</c:v>
                </c:pt>
                <c:pt idx="9">
                  <c:v>3871012.6411094908</c:v>
                </c:pt>
                <c:pt idx="10">
                  <c:v>3974257.0976620824</c:v>
                </c:pt>
                <c:pt idx="11">
                  <c:v>4077501.554214674</c:v>
                </c:pt>
                <c:pt idx="12">
                  <c:v>4180746.0107672662</c:v>
                </c:pt>
                <c:pt idx="13">
                  <c:v>4283990.4673198573</c:v>
                </c:pt>
                <c:pt idx="14">
                  <c:v>4387234.9238724504</c:v>
                </c:pt>
                <c:pt idx="15">
                  <c:v>4490479.3804250415</c:v>
                </c:pt>
                <c:pt idx="16">
                  <c:v>4593723.8369776336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7-41A8-8E19-53B18AB8FBC2}"/>
            </c:ext>
          </c:extLst>
        </c:ser>
        <c:ser>
          <c:idx val="3"/>
          <c:order val="3"/>
          <c:tx>
            <c:strRef>
              <c:f>'F-2 Estructura'!$E$48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Estructura'!$E$49:$E$65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7-41A8-8E19-53B18AB8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18848"/>
        <c:axId val="244519424"/>
      </c:scatterChart>
      <c:valAx>
        <c:axId val="2445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519424"/>
        <c:crosses val="autoZero"/>
        <c:crossBetween val="midCat"/>
      </c:valAx>
      <c:valAx>
        <c:axId val="244519424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44518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equilibrio año 5</a:t>
            </a:r>
            <a:endParaRPr lang="es-A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'F-2 Estructura'!$B$69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Estructura'!$B$70:$B$86</c:f>
              <c:numCache>
                <c:formatCode>_(* #,##0_);_(* \(#,##0\);_(* \-??_);_(@_)</c:formatCode>
                <c:ptCount val="17"/>
                <c:pt idx="0">
                  <c:v>1363371.2900285937</c:v>
                </c:pt>
                <c:pt idx="1">
                  <c:v>1363371.2900285937</c:v>
                </c:pt>
                <c:pt idx="2">
                  <c:v>1363371.2900285937</c:v>
                </c:pt>
                <c:pt idx="3">
                  <c:v>1363371.2900285937</c:v>
                </c:pt>
                <c:pt idx="4">
                  <c:v>1363371.2900285937</c:v>
                </c:pt>
                <c:pt idx="5">
                  <c:v>1363371.2900285937</c:v>
                </c:pt>
                <c:pt idx="6">
                  <c:v>1363371.2900285937</c:v>
                </c:pt>
                <c:pt idx="7">
                  <c:v>1363371.2900285937</c:v>
                </c:pt>
                <c:pt idx="8">
                  <c:v>1363371.2900285937</c:v>
                </c:pt>
                <c:pt idx="9">
                  <c:v>1363371.2900285937</c:v>
                </c:pt>
                <c:pt idx="10">
                  <c:v>1363371.2900285937</c:v>
                </c:pt>
                <c:pt idx="11">
                  <c:v>1363371.2900285937</c:v>
                </c:pt>
                <c:pt idx="12">
                  <c:v>1363371.2900285937</c:v>
                </c:pt>
                <c:pt idx="13">
                  <c:v>1363371.2900285937</c:v>
                </c:pt>
                <c:pt idx="14">
                  <c:v>1363371.2900285937</c:v>
                </c:pt>
                <c:pt idx="15">
                  <c:v>1363371.2900285937</c:v>
                </c:pt>
                <c:pt idx="16">
                  <c:v>1363371.2900285937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2-4E44-97A9-08840755DE0B}"/>
            </c:ext>
          </c:extLst>
        </c:ser>
        <c:ser>
          <c:idx val="1"/>
          <c:order val="1"/>
          <c:tx>
            <c:strRef>
              <c:f>'F-2 Estructura'!$C$69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Estructura'!$C$70:$C$86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1088267.9143232398</c:v>
                </c:pt>
                <c:pt idx="2">
                  <c:v>1187201.361079898</c:v>
                </c:pt>
                <c:pt idx="3">
                  <c:v>1286134.8078365561</c:v>
                </c:pt>
                <c:pt idx="4">
                  <c:v>1385068.2545932143</c:v>
                </c:pt>
                <c:pt idx="5">
                  <c:v>1484001.7013498724</c:v>
                </c:pt>
                <c:pt idx="6">
                  <c:v>1582935.1481065305</c:v>
                </c:pt>
                <c:pt idx="7">
                  <c:v>1681868.5948631887</c:v>
                </c:pt>
                <c:pt idx="8">
                  <c:v>1780802.0416198471</c:v>
                </c:pt>
                <c:pt idx="9">
                  <c:v>1879735.4883765052</c:v>
                </c:pt>
                <c:pt idx="10">
                  <c:v>1978668.9351331634</c:v>
                </c:pt>
                <c:pt idx="11">
                  <c:v>2077602.3818898215</c:v>
                </c:pt>
                <c:pt idx="12">
                  <c:v>2176535.8286464796</c:v>
                </c:pt>
                <c:pt idx="13">
                  <c:v>2275469.2754031378</c:v>
                </c:pt>
                <c:pt idx="14">
                  <c:v>2374402.7221597959</c:v>
                </c:pt>
                <c:pt idx="15">
                  <c:v>2473336.1689164541</c:v>
                </c:pt>
                <c:pt idx="16">
                  <c:v>2572269.6156731122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2-4E44-97A9-08840755DE0B}"/>
            </c:ext>
          </c:extLst>
        </c:ser>
        <c:ser>
          <c:idx val="2"/>
          <c:order val="2"/>
          <c:tx>
            <c:strRef>
              <c:f>'F-2 Estructura'!$D$69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Estructura'!$D$70:$D$86</c:f>
              <c:numCache>
                <c:formatCode>_(* #,##0_);_(* \(#,##0\);_(* \-??_);_(@_)</c:formatCode>
                <c:ptCount val="17"/>
                <c:pt idx="0">
                  <c:v>1363371.2900285937</c:v>
                </c:pt>
                <c:pt idx="1">
                  <c:v>2451639.2043518336</c:v>
                </c:pt>
                <c:pt idx="2">
                  <c:v>2550572.6511084917</c:v>
                </c:pt>
                <c:pt idx="3">
                  <c:v>2649506.0978651498</c:v>
                </c:pt>
                <c:pt idx="4">
                  <c:v>2748439.544621808</c:v>
                </c:pt>
                <c:pt idx="5">
                  <c:v>2847372.9913784661</c:v>
                </c:pt>
                <c:pt idx="6">
                  <c:v>2946306.4381351243</c:v>
                </c:pt>
                <c:pt idx="7">
                  <c:v>3045239.8848917824</c:v>
                </c:pt>
                <c:pt idx="8">
                  <c:v>3144173.331648441</c:v>
                </c:pt>
                <c:pt idx="9">
                  <c:v>3243106.7784050992</c:v>
                </c:pt>
                <c:pt idx="10">
                  <c:v>3342040.2251617573</c:v>
                </c:pt>
                <c:pt idx="11">
                  <c:v>3440973.6719184155</c:v>
                </c:pt>
                <c:pt idx="12">
                  <c:v>3539907.1186750736</c:v>
                </c:pt>
                <c:pt idx="13">
                  <c:v>3638840.5654317318</c:v>
                </c:pt>
                <c:pt idx="14">
                  <c:v>3737774.0121883899</c:v>
                </c:pt>
                <c:pt idx="15">
                  <c:v>3836707.458945048</c:v>
                </c:pt>
                <c:pt idx="16">
                  <c:v>3935640.9057017062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2-4E44-97A9-08840755DE0B}"/>
            </c:ext>
          </c:extLst>
        </c:ser>
        <c:ser>
          <c:idx val="3"/>
          <c:order val="3"/>
          <c:tx>
            <c:strRef>
              <c:f>'F-2 Estructura'!$E$69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Estructura'!$E$70:$E$86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2-4E44-97A9-0884075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21728"/>
        <c:axId val="244522304"/>
      </c:scatterChart>
      <c:valAx>
        <c:axId val="2445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522304"/>
        <c:crosses val="autoZero"/>
        <c:crossBetween val="midCat"/>
      </c:valAx>
      <c:valAx>
        <c:axId val="244522304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44521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497416</xdr:colOff>
      <xdr:row>139</xdr:row>
      <xdr:rowOff>35982</xdr:rowOff>
    </xdr:from>
    <xdr:to>
      <xdr:col>17</xdr:col>
      <xdr:colOff>95250</xdr:colOff>
      <xdr:row>158</xdr:row>
      <xdr:rowOff>116415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161</xdr:row>
      <xdr:rowOff>14817</xdr:rowOff>
    </xdr:from>
    <xdr:to>
      <xdr:col>17</xdr:col>
      <xdr:colOff>63500</xdr:colOff>
      <xdr:row>179</xdr:row>
      <xdr:rowOff>42333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518583</xdr:colOff>
      <xdr:row>45</xdr:row>
      <xdr:rowOff>131232</xdr:rowOff>
    </xdr:from>
    <xdr:to>
      <xdr:col>15</xdr:col>
      <xdr:colOff>179916</xdr:colOff>
      <xdr:row>62</xdr:row>
      <xdr:rowOff>148166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804333</xdr:colOff>
      <xdr:row>68</xdr:row>
      <xdr:rowOff>99484</xdr:rowOff>
    </xdr:from>
    <xdr:to>
      <xdr:col>15</xdr:col>
      <xdr:colOff>158750</xdr:colOff>
      <xdr:row>85</xdr:row>
      <xdr:rowOff>112184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1%20Dim%20Economico%20Financiero_5_grupo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l/Downloads/1%20Dim%20Economico%20Financiero_5_grupo_0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IGNACIO/Documents/UTN/UTN%202018/EVALUACI&#211;N%20DE%20PROYECTOS/DIMENSIONAMIENTOS/DIMENSIONAMIENTO%20ECON&#211;MICO/1%20Dim%20Economico%20Financiero_5_grupo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>
        <row r="103">
          <cell r="G103">
            <v>0.48563069277273629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>
        <row r="41">
          <cell r="B41">
            <v>0.24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8">
          <cell r="J98">
            <v>68578.988625000056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/>
      <sheetData sheetId="2"/>
      <sheetData sheetId="3">
        <row r="87">
          <cell r="F87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6:C50" totalsRowCount="1" headerRowBorderDxfId="99" tableBorderDxfId="98" totalsRowBorderDxfId="97">
  <tableColumns count="3">
    <tableColumn id="1" xr3:uid="{00000000-0010-0000-0000-000001000000}" name="Columna1" totalsRowLabel="Total" dataDxfId="96" totalsRowDxfId="95"/>
    <tableColumn id="2" xr3:uid="{00000000-0010-0000-0000-000002000000}" name="Sueldo" dataDxfId="94" totalsRowDxfId="93"/>
    <tableColumn id="3" xr3:uid="{00000000-0010-0000-0000-000003000000}" name="Total" totalsRowFunction="sum" dataDxfId="92" totalsRowDxfId="91">
      <calculatedColumnFormula>+B47*InfoInicial!B23*12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27:F35" totalsRowShown="0">
  <tableColumns count="6">
    <tableColumn id="1" xr3:uid="{00000000-0010-0000-0100-000001000000}" name="Materias primas"/>
    <tableColumn id="2" xr3:uid="{00000000-0010-0000-0100-000002000000}" name="Cantidad unitaria" dataDxfId="90"/>
    <tableColumn id="3" xr3:uid="{00000000-0010-0000-0100-000003000000}" name="Unidad" dataDxfId="89"/>
    <tableColumn id="4" xr3:uid="{00000000-0010-0000-0100-000004000000}" name="Total" dataDxfId="88"/>
    <tableColumn id="5" xr3:uid="{00000000-0010-0000-0100-000005000000}" name="$/kg" dataDxfId="87"/>
    <tableColumn id="6" xr3:uid="{00000000-0010-0000-0100-000006000000}" name="Total2" dataDxfId="86">
      <calculatedColumnFormula>+E28*B28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17:D23" totalsRowShown="0">
  <tableColumns count="4">
    <tableColumn id="1" xr3:uid="{00000000-0010-0000-0200-000001000000}" name="Muebles y útiles"/>
    <tableColumn id="2" xr3:uid="{00000000-0010-0000-0200-000002000000}" name="Cantidad" dataDxfId="85"/>
    <tableColumn id="3" xr3:uid="{00000000-0010-0000-0200-000003000000}" name="Precio" dataDxfId="84"/>
    <tableColumn id="4" xr3:uid="{00000000-0010-0000-0200-000004000000}" name="Total" dataDxfId="83">
      <calculatedColumnFormula>+B18*C18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11:C12" totalsRowShown="0">
  <tableColumns count="3">
    <tableColumn id="1" xr3:uid="{00000000-0010-0000-0300-000001000000}" name="Columna1"/>
    <tableColumn id="2" xr3:uid="{00000000-0010-0000-0300-000002000000}" name="Valor U$D"/>
    <tableColumn id="3" xr3:uid="{00000000-0010-0000-0300-000003000000}" name="Valor $" dataDxfId="82">
      <calculatedColumnFormula>+B12*InfoInicial!B32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A14:C15" totalsRowShown="0">
  <tableColumns count="3">
    <tableColumn id="1" xr3:uid="{00000000-0010-0000-0400-000001000000}" name="Rodados y equipos"/>
    <tableColumn id="2" xr3:uid="{00000000-0010-0000-0400-000002000000}" name="Columna1"/>
    <tableColumn id="3" xr3:uid="{00000000-0010-0000-0400-000003000000}" name="Columna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7" displayName="Tabla7" ref="A3:F8" totalsRowShown="0">
  <tableColumns count="6">
    <tableColumn id="1" xr3:uid="{00000000-0010-0000-0500-000001000000}" name="Máquina"/>
    <tableColumn id="2" xr3:uid="{00000000-0010-0000-0500-000002000000}" name="Cantidad"/>
    <tableColumn id="3" xr3:uid="{00000000-0010-0000-0500-000003000000}" name="Valor" dataDxfId="81"/>
    <tableColumn id="4" xr3:uid="{00000000-0010-0000-0500-000004000000}" name="Valor total" dataDxfId="80">
      <calculatedColumnFormula>+C4*B4</calculatedColumnFormula>
    </tableColumn>
    <tableColumn id="5" xr3:uid="{00000000-0010-0000-0500-000005000000}" name="Valor U$D"/>
    <tableColumn id="6" xr3:uid="{00000000-0010-0000-0500-000006000000}" name="Repuestos" dataDxfId="7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8" displayName="Tabla8" ref="A72:C74" totalsRowShown="0" headerRowDxfId="78" dataDxfId="77">
  <tableColumns count="3">
    <tableColumn id="1" xr3:uid="{00000000-0010-0000-0600-000001000000}" name="Produccion" dataDxfId="76"/>
    <tableColumn id="2" xr3:uid="{00000000-0010-0000-0600-000002000000}" name="Cantidad" dataDxfId="75" dataCellStyle="Millares"/>
    <tableColumn id="3" xr3:uid="{00000000-0010-0000-0600-000003000000}" name="Columna1" dataDxfId="74">
      <calculatedColumnFormula>0.025*B73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a9" displayName="Tabla9" ref="G1:I2" totalsRowShown="0">
  <tableColumns count="3">
    <tableColumn id="1" xr3:uid="{00000000-0010-0000-0700-000001000000}" name="VENTAS"/>
    <tableColumn id="2" xr3:uid="{00000000-0010-0000-0700-000002000000}" name="Año 1" dataCellStyle="Millares"/>
    <tableColumn id="3" xr3:uid="{00000000-0010-0000-0700-000003000000}" name="Año 2" dataCellStyle="Millares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a10" displayName="Tabla10" ref="A76:B78" totalsRowShown="0">
  <tableColumns count="2">
    <tableColumn id="1" xr3:uid="{00000000-0010-0000-0800-000001000000}" name="Stock promedio de MP"/>
    <tableColumn id="2" xr3:uid="{00000000-0010-0000-0800-000002000000}" name="Cantidad" dataCellStyle="Millares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a11" displayName="Tabla11" ref="A80:B81" totalsRowShown="0">
  <tableColumns count="2">
    <tableColumn id="1" xr3:uid="{00000000-0010-0000-0900-000001000000}" name="Stock promedio de PT"/>
    <tableColumn id="2" xr3:uid="{00000000-0010-0000-0900-000002000000}" name=" Cantidad" dataCellStyle="Millares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3" displayName="Tabla13" ref="A83:B85" totalsRowShown="0">
  <tableColumns count="2">
    <tableColumn id="1" xr3:uid="{00000000-0010-0000-0A00-000001000000}" name="COEFICIENTES"/>
    <tableColumn id="2" xr3:uid="{00000000-0010-0000-0A00-000002000000}" name="VALORES DE COEFICIENTES" dataDxfId="73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a14" displayName="Tabla14" ref="D83:F89" totalsRowShown="0" dataDxfId="72" tableBorderDxfId="71">
  <tableColumns count="3">
    <tableColumn id="1" xr3:uid="{00000000-0010-0000-0B00-000001000000}" name="Secciones" dataDxfId="70"/>
    <tableColumn id="2" xr3:uid="{00000000-0010-0000-0B00-000002000000}" name="DNR" dataDxfId="69" dataCellStyle="Millares"/>
    <tableColumn id="3" xr3:uid="{00000000-0010-0000-0B00-000003000000}" name="Producciones seccionales" dataDxfId="68" dataCellStyle="Millares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a15" displayName="Tabla15" ref="A91:C94" totalsRowShown="0">
  <tableColumns count="3">
    <tableColumn id="1" xr3:uid="{00000000-0010-0000-0C00-000001000000}" name="MC Y SE" dataDxfId="67"/>
    <tableColumn id="2" xr3:uid="{00000000-0010-0000-0C00-000002000000}" name="CANTIDAD" dataDxfId="66"/>
    <tableColumn id="3" xr3:uid="{00000000-0010-0000-0C00-000003000000}" name="UNIDAD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a16" displayName="Tabla16" ref="A96:C97" totalsRowShown="0">
  <tableColumns count="3">
    <tableColumn id="1" xr3:uid="{00000000-0010-0000-0D00-000001000000}" name="CONSUMO MP" dataDxfId="65"/>
    <tableColumn id="2" xr3:uid="{00000000-0010-0000-0D00-000002000000}" name="AÑO 1" dataDxfId="64"/>
    <tableColumn id="3" xr3:uid="{00000000-0010-0000-0D00-000003000000}" name="AÑO 2 A 5" dataDxfId="63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a17" displayName="Tabla17" ref="F91:I92" totalsRowShown="0">
  <tableColumns count="4">
    <tableColumn id="1" xr3:uid="{00000000-0010-0000-0E00-000001000000}" name="Parte inicial costos MOD"/>
    <tableColumn id="2" xr3:uid="{00000000-0010-0000-0E00-000002000000}" name=" " dataDxfId="62"/>
    <tableColumn id="3" xr3:uid="{00000000-0010-0000-0E00-000003000000}" name="Año 1" dataDxfId="61">
      <calculatedColumnFormula>+((B47*6)/N129)</calculatedColumnFormula>
    </tableColumn>
    <tableColumn id="4" xr3:uid="{00000000-0010-0000-0E00-000004000000}" name="Año 2" dataDxfId="60">
      <calculatedColumnFormula>(B47*6*0.9)/N128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a18" displayName="Tabla18" ref="E110:G114" totalsRowShown="0" headerRowBorderDxfId="59" tableBorderDxfId="58" totalsRowBorderDxfId="57">
  <tableColumns count="3">
    <tableColumn id="1" xr3:uid="{00000000-0010-0000-0F00-000001000000}" name="DESCRIPCIÓN" dataDxfId="56"/>
    <tableColumn id="2" xr3:uid="{00000000-0010-0000-0F00-000002000000}" name="REFERENCIA" dataDxfId="55"/>
    <tableColumn id="3" xr3:uid="{00000000-0010-0000-0F00-000003000000}" name="VALOR" dataDxfId="54"/>
  </tableColumns>
  <tableStyleInfo name="TableStyleMedium2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a19" displayName="Tabla19" ref="E119:F123" totalsRowShown="0" headerRowDxfId="53" dataDxfId="52">
  <tableColumns count="2">
    <tableColumn id="1" xr3:uid="{00000000-0010-0000-1000-000001000000}" name="DESCRIPCIÓN" dataDxfId="51"/>
    <tableColumn id="2" xr3:uid="{00000000-0010-0000-1000-000002000000}" name="VALORES" dataDxfId="50"/>
  </tableColumns>
  <tableStyleInfo name="TableStyleMedium2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a1922" displayName="Tabla1922" ref="E127:F131" totalsRowShown="0" headerRowDxfId="49" dataDxfId="48">
  <tableColumns count="2">
    <tableColumn id="1" xr3:uid="{00000000-0010-0000-1100-000001000000}" name="DESCRIPCIÓN" dataDxfId="47"/>
    <tableColumn id="2" xr3:uid="{00000000-0010-0000-1100-000002000000}" name="VALORES" dataDxfId="46"/>
  </tableColumns>
  <tableStyleInfo name="TableStyleMedium2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a192224" displayName="Tabla192224" ref="E135:F139" totalsRowShown="0" headerRowDxfId="45" dataDxfId="44">
  <tableColumns count="2">
    <tableColumn id="1" xr3:uid="{00000000-0010-0000-1200-000001000000}" name="DESCRIPCIÓN" dataDxfId="43"/>
    <tableColumn id="2" xr3:uid="{00000000-0010-0000-1200-000002000000}" name="VALORES" dataDxfId="42"/>
  </tableColumns>
  <tableStyleInfo name="TableStyleMedium2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3000000}" name="Tabla64" displayName="Tabla64" ref="E72:G73" totalsRowShown="0">
  <tableColumns count="3">
    <tableColumn id="1" xr3:uid="{00000000-0010-0000-1300-000001000000}" name="Columna1"/>
    <tableColumn id="2" xr3:uid="{00000000-0010-0000-1300-000002000000}" name="Año 1"/>
    <tableColumn id="3" xr3:uid="{00000000-0010-0000-1300-000003000000}" name="Año 2 a 5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4000000}" name="Tabla65" displayName="Tabla65" ref="M127:O129" totalsRowShown="0">
  <tableColumns count="3">
    <tableColumn id="1" xr3:uid="{00000000-0010-0000-1400-000001000000}" name="[peso cuchara]=Kg">
      <calculatedColumnFormula>25/1000</calculatedColumnFormula>
    </tableColumn>
    <tableColumn id="2" xr3:uid="{00000000-0010-0000-1400-000002000000}" name="Kilogramos de mp producción//Ventas">
      <calculatedColumnFormula>+(M127*H1)</calculatedColumnFormula>
    </tableColumn>
    <tableColumn id="3" xr3:uid="{00000000-0010-0000-1400-000003000000}" name="añ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workbookViewId="0">
      <selection activeCell="C6" sqref="C6"/>
    </sheetView>
  </sheetViews>
  <sheetFormatPr baseColWidth="10" defaultRowHeight="12.5" x14ac:dyDescent="0.25"/>
  <cols>
    <col min="1" max="1" width="27.453125" bestFit="1" customWidth="1"/>
    <col min="2" max="2" width="27.26953125" bestFit="1" customWidth="1"/>
    <col min="3" max="3" width="13.81640625" bestFit="1" customWidth="1"/>
    <col min="4" max="4" width="23.7265625" bestFit="1" customWidth="1"/>
    <col min="5" max="5" width="37.7265625" bestFit="1" customWidth="1"/>
    <col min="6" max="6" width="24.81640625" customWidth="1"/>
    <col min="7" max="7" width="12.26953125" bestFit="1" customWidth="1"/>
    <col min="8" max="8" width="12.81640625" bestFit="1" customWidth="1"/>
    <col min="9" max="9" width="28.54296875" bestFit="1" customWidth="1"/>
    <col min="10" max="10" width="12" bestFit="1" customWidth="1"/>
    <col min="11" max="11" width="11.453125" customWidth="1"/>
    <col min="13" max="13" width="18.81640625" customWidth="1"/>
    <col min="14" max="14" width="38.453125" bestFit="1" customWidth="1"/>
  </cols>
  <sheetData>
    <row r="1" spans="1:9" ht="13" x14ac:dyDescent="0.3">
      <c r="A1" s="12" t="s">
        <v>461</v>
      </c>
      <c r="G1" s="12" t="s">
        <v>462</v>
      </c>
      <c r="H1" t="s">
        <v>54</v>
      </c>
      <c r="I1" t="s">
        <v>95</v>
      </c>
    </row>
    <row r="2" spans="1:9" x14ac:dyDescent="0.25">
      <c r="H2" s="275">
        <v>2384400</v>
      </c>
      <c r="I2" s="275">
        <v>2741000</v>
      </c>
    </row>
    <row r="3" spans="1:9" x14ac:dyDescent="0.25">
      <c r="A3" t="s">
        <v>409</v>
      </c>
      <c r="B3" t="s">
        <v>408</v>
      </c>
      <c r="C3" t="s">
        <v>411</v>
      </c>
      <c r="D3" t="s">
        <v>412</v>
      </c>
      <c r="E3" t="s">
        <v>414</v>
      </c>
      <c r="F3" t="s">
        <v>88</v>
      </c>
    </row>
    <row r="4" spans="1:9" x14ac:dyDescent="0.25">
      <c r="A4" t="s">
        <v>431</v>
      </c>
      <c r="B4">
        <v>1</v>
      </c>
      <c r="C4" s="226">
        <f>+E4*InfoInicial!$B$32</f>
        <v>81900</v>
      </c>
      <c r="D4" s="226">
        <f>+C4*B4</f>
        <v>81900</v>
      </c>
      <c r="E4">
        <v>2100</v>
      </c>
      <c r="F4" s="226">
        <f>0.02*C4</f>
        <v>1638</v>
      </c>
    </row>
    <row r="5" spans="1:9" x14ac:dyDescent="0.25">
      <c r="A5" t="s">
        <v>404</v>
      </c>
      <c r="B5">
        <v>1</v>
      </c>
      <c r="C5" s="226">
        <v>95000</v>
      </c>
      <c r="D5" s="226">
        <f>+C5*B5</f>
        <v>95000</v>
      </c>
      <c r="F5" s="226">
        <f>0.02*C5</f>
        <v>1900</v>
      </c>
    </row>
    <row r="6" spans="1:9" x14ac:dyDescent="0.25">
      <c r="A6" t="s">
        <v>405</v>
      </c>
      <c r="B6">
        <v>1</v>
      </c>
      <c r="C6" s="226">
        <f>+E6*InfoInicial!$B$32</f>
        <v>70200</v>
      </c>
      <c r="D6" s="226">
        <f>+C6*B6</f>
        <v>70200</v>
      </c>
      <c r="E6">
        <v>1800</v>
      </c>
      <c r="F6" s="226">
        <f>0.02*C6</f>
        <v>1404</v>
      </c>
    </row>
    <row r="7" spans="1:9" x14ac:dyDescent="0.25">
      <c r="A7" t="s">
        <v>406</v>
      </c>
      <c r="B7">
        <v>1</v>
      </c>
      <c r="C7" s="226">
        <v>90000</v>
      </c>
      <c r="D7" s="226">
        <f>+C7*B7</f>
        <v>90000</v>
      </c>
      <c r="F7" s="226">
        <f>0.02*C7</f>
        <v>1800</v>
      </c>
    </row>
    <row r="8" spans="1:9" x14ac:dyDescent="0.25">
      <c r="A8" t="s">
        <v>407</v>
      </c>
      <c r="B8">
        <v>2</v>
      </c>
      <c r="C8" s="226">
        <v>115000</v>
      </c>
      <c r="D8" s="226">
        <f>+C8*B8</f>
        <v>230000</v>
      </c>
      <c r="F8" s="226">
        <f>0.02*D8</f>
        <v>4600</v>
      </c>
    </row>
    <row r="9" spans="1:9" x14ac:dyDescent="0.25">
      <c r="A9" s="277" t="s">
        <v>158</v>
      </c>
      <c r="B9" s="277"/>
      <c r="C9" s="277"/>
      <c r="D9" s="278">
        <f>SUM(D4:D8)</f>
        <v>567100</v>
      </c>
      <c r="E9" s="277"/>
      <c r="F9" s="278">
        <f>+SUM(F4:F8)</f>
        <v>11342</v>
      </c>
    </row>
    <row r="11" spans="1:9" x14ac:dyDescent="0.25">
      <c r="A11" t="s">
        <v>456</v>
      </c>
      <c r="B11" t="s">
        <v>414</v>
      </c>
      <c r="C11" t="s">
        <v>415</v>
      </c>
    </row>
    <row r="12" spans="1:9" x14ac:dyDescent="0.25">
      <c r="A12" t="s">
        <v>413</v>
      </c>
      <c r="B12">
        <v>253000</v>
      </c>
      <c r="C12" s="274">
        <f>+B12*InfoInicial!B32</f>
        <v>9867000</v>
      </c>
    </row>
    <row r="14" spans="1:9" x14ac:dyDescent="0.25">
      <c r="A14" t="s">
        <v>416</v>
      </c>
      <c r="B14" t="s">
        <v>456</v>
      </c>
      <c r="C14" t="s">
        <v>460</v>
      </c>
    </row>
    <row r="15" spans="1:9" x14ac:dyDescent="0.25">
      <c r="A15" t="s">
        <v>417</v>
      </c>
      <c r="C15">
        <v>300000</v>
      </c>
    </row>
    <row r="17" spans="1:10" x14ac:dyDescent="0.25">
      <c r="A17" t="s">
        <v>65</v>
      </c>
      <c r="B17" t="s">
        <v>408</v>
      </c>
      <c r="C17" t="s">
        <v>410</v>
      </c>
      <c r="D17" t="s">
        <v>158</v>
      </c>
    </row>
    <row r="18" spans="1:10" x14ac:dyDescent="0.25">
      <c r="A18" t="s">
        <v>432</v>
      </c>
      <c r="B18" s="266">
        <v>4</v>
      </c>
      <c r="C18" s="230">
        <v>2000</v>
      </c>
      <c r="D18" s="230">
        <f t="shared" ref="D18:D23" si="0">+B18*C18</f>
        <v>8000</v>
      </c>
    </row>
    <row r="19" spans="1:10" x14ac:dyDescent="0.25">
      <c r="A19" t="s">
        <v>433</v>
      </c>
      <c r="B19" s="266">
        <v>4</v>
      </c>
      <c r="C19" s="230">
        <v>8000</v>
      </c>
      <c r="D19" s="230">
        <f t="shared" si="0"/>
        <v>32000</v>
      </c>
    </row>
    <row r="20" spans="1:10" x14ac:dyDescent="0.25">
      <c r="A20" t="s">
        <v>434</v>
      </c>
      <c r="B20" s="266">
        <v>4</v>
      </c>
      <c r="C20" s="230">
        <v>1000</v>
      </c>
      <c r="D20" s="230">
        <f t="shared" si="0"/>
        <v>4000</v>
      </c>
    </row>
    <row r="21" spans="1:10" x14ac:dyDescent="0.25">
      <c r="A21" t="s">
        <v>439</v>
      </c>
      <c r="B21" s="266">
        <v>1</v>
      </c>
      <c r="C21" s="230">
        <v>300000</v>
      </c>
      <c r="D21" s="230">
        <f t="shared" si="0"/>
        <v>300000</v>
      </c>
    </row>
    <row r="22" spans="1:10" x14ac:dyDescent="0.25">
      <c r="A22" t="s">
        <v>435</v>
      </c>
      <c r="B22" s="266">
        <v>50</v>
      </c>
      <c r="C22" s="230">
        <v>200</v>
      </c>
      <c r="D22" s="230">
        <f t="shared" si="0"/>
        <v>10000</v>
      </c>
    </row>
    <row r="23" spans="1:10" x14ac:dyDescent="0.25">
      <c r="A23" t="s">
        <v>440</v>
      </c>
      <c r="B23" s="266">
        <v>5</v>
      </c>
      <c r="C23" s="230">
        <v>500</v>
      </c>
      <c r="D23" s="230">
        <f t="shared" si="0"/>
        <v>2500</v>
      </c>
    </row>
    <row r="24" spans="1:10" x14ac:dyDescent="0.25">
      <c r="A24" s="259" t="s">
        <v>459</v>
      </c>
      <c r="B24" s="270"/>
      <c r="C24" s="269"/>
      <c r="D24" s="268">
        <f>+SUM(D18:D23)</f>
        <v>356500</v>
      </c>
    </row>
    <row r="27" spans="1:10" x14ac:dyDescent="0.25">
      <c r="A27" t="s">
        <v>418</v>
      </c>
      <c r="B27" t="s">
        <v>430</v>
      </c>
      <c r="C27" t="s">
        <v>427</v>
      </c>
      <c r="D27" t="s">
        <v>158</v>
      </c>
      <c r="E27" t="s">
        <v>428</v>
      </c>
      <c r="F27" t="s">
        <v>458</v>
      </c>
      <c r="J27">
        <f>+J36/0.025</f>
        <v>3015200</v>
      </c>
    </row>
    <row r="28" spans="1:10" x14ac:dyDescent="0.25">
      <c r="A28" t="s">
        <v>419</v>
      </c>
      <c r="B28" s="267">
        <f>0.008*1.1</f>
        <v>8.8000000000000005E-3</v>
      </c>
      <c r="C28" s="267" t="s">
        <v>429</v>
      </c>
      <c r="D28" s="267"/>
      <c r="E28" s="267">
        <v>17.399999999999999</v>
      </c>
      <c r="F28" s="267">
        <f>+E28*B28</f>
        <v>0.15312000000000001</v>
      </c>
    </row>
    <row r="29" spans="1:10" x14ac:dyDescent="0.25">
      <c r="A29" t="s">
        <v>420</v>
      </c>
      <c r="B29" s="267">
        <f>0.008*1.1</f>
        <v>8.8000000000000005E-3</v>
      </c>
      <c r="C29" s="267" t="s">
        <v>429</v>
      </c>
      <c r="D29" s="267"/>
      <c r="E29" s="267">
        <v>20</v>
      </c>
      <c r="F29" s="267">
        <f t="shared" ref="F29:F35" si="1">+E29*B29</f>
        <v>0.17600000000000002</v>
      </c>
      <c r="I29">
        <v>2451409</v>
      </c>
    </row>
    <row r="30" spans="1:10" x14ac:dyDescent="0.25">
      <c r="A30" t="s">
        <v>421</v>
      </c>
      <c r="B30" s="267">
        <f>0.008*1.1</f>
        <v>8.8000000000000005E-3</v>
      </c>
      <c r="C30" s="267" t="s">
        <v>429</v>
      </c>
      <c r="D30" s="267"/>
      <c r="E30" s="267">
        <v>22</v>
      </c>
      <c r="F30" s="267">
        <f t="shared" si="1"/>
        <v>0.19360000000000002</v>
      </c>
    </row>
    <row r="31" spans="1:10" x14ac:dyDescent="0.25">
      <c r="A31" t="s">
        <v>422</v>
      </c>
      <c r="B31" s="267">
        <f>0.001*1.1</f>
        <v>1.1000000000000001E-3</v>
      </c>
      <c r="C31" s="267" t="s">
        <v>429</v>
      </c>
      <c r="D31" s="267"/>
      <c r="E31" s="267"/>
      <c r="F31" s="267">
        <f t="shared" si="1"/>
        <v>0</v>
      </c>
    </row>
    <row r="32" spans="1:10" x14ac:dyDescent="0.25">
      <c r="A32" t="s">
        <v>423</v>
      </c>
      <c r="B32" s="267"/>
      <c r="C32" s="267" t="s">
        <v>429</v>
      </c>
      <c r="D32" s="267"/>
      <c r="E32" s="267"/>
      <c r="F32" s="267">
        <f t="shared" si="1"/>
        <v>0</v>
      </c>
    </row>
    <row r="33" spans="1:10" x14ac:dyDescent="0.25">
      <c r="A33" t="s">
        <v>424</v>
      </c>
      <c r="B33" s="267"/>
      <c r="C33" s="267" t="s">
        <v>429</v>
      </c>
      <c r="D33" s="267"/>
      <c r="E33" s="267"/>
      <c r="F33" s="267">
        <f t="shared" si="1"/>
        <v>0</v>
      </c>
    </row>
    <row r="34" spans="1:10" x14ac:dyDescent="0.25">
      <c r="A34" t="s">
        <v>425</v>
      </c>
      <c r="B34" s="267"/>
      <c r="C34" s="267" t="s">
        <v>429</v>
      </c>
      <c r="D34" s="267"/>
      <c r="E34" s="267"/>
      <c r="F34" s="267">
        <f t="shared" si="1"/>
        <v>0</v>
      </c>
    </row>
    <row r="35" spans="1:10" x14ac:dyDescent="0.25">
      <c r="A35" t="s">
        <v>426</v>
      </c>
      <c r="B35" s="267"/>
      <c r="C35" s="267" t="s">
        <v>429</v>
      </c>
      <c r="D35" s="267"/>
      <c r="E35" s="267"/>
      <c r="F35" s="267">
        <f t="shared" si="1"/>
        <v>0</v>
      </c>
    </row>
    <row r="36" spans="1:10" x14ac:dyDescent="0.25">
      <c r="F36">
        <f>+SUM(F28:F30)</f>
        <v>0.52272000000000007</v>
      </c>
      <c r="G36">
        <f>+F36/25</f>
        <v>2.0908800000000002E-2</v>
      </c>
      <c r="H36">
        <f>+G36*1000</f>
        <v>20.908800000000003</v>
      </c>
      <c r="I36">
        <f>+H36*J36</f>
        <v>1576105.3440000003</v>
      </c>
      <c r="J36">
        <v>75380</v>
      </c>
    </row>
    <row r="37" spans="1:10" x14ac:dyDescent="0.25">
      <c r="A37" t="s">
        <v>58</v>
      </c>
      <c r="B37">
        <v>630000</v>
      </c>
      <c r="I37">
        <f>+H36*J37</f>
        <v>1442121.7536000002</v>
      </c>
      <c r="J37">
        <v>68972</v>
      </c>
    </row>
    <row r="38" spans="1:10" x14ac:dyDescent="0.25">
      <c r="I38">
        <f>+H36*J38</f>
        <v>9006.4656000000014</v>
      </c>
      <c r="J38">
        <v>430.75</v>
      </c>
    </row>
    <row r="44" spans="1:10" ht="13" x14ac:dyDescent="0.3">
      <c r="B44" s="12"/>
    </row>
    <row r="45" spans="1:10" ht="13" x14ac:dyDescent="0.3">
      <c r="A45" s="12" t="s">
        <v>457</v>
      </c>
    </row>
    <row r="46" spans="1:10" x14ac:dyDescent="0.25">
      <c r="A46" s="260" t="s">
        <v>456</v>
      </c>
      <c r="B46" s="261" t="s">
        <v>449</v>
      </c>
      <c r="C46" s="262" t="s">
        <v>158</v>
      </c>
    </row>
    <row r="47" spans="1:10" x14ac:dyDescent="0.25">
      <c r="A47" s="258" t="s">
        <v>436</v>
      </c>
      <c r="B47" s="257">
        <v>17500</v>
      </c>
      <c r="C47" s="271">
        <f>+B47*InfoInicial!B23*12</f>
        <v>1470000</v>
      </c>
    </row>
    <row r="48" spans="1:10" x14ac:dyDescent="0.25">
      <c r="A48" s="258" t="s">
        <v>437</v>
      </c>
      <c r="B48" s="257">
        <v>27000</v>
      </c>
      <c r="C48" s="271">
        <f>+B48*InfoInicial!B24*12</f>
        <v>324000</v>
      </c>
    </row>
    <row r="49" spans="1:10" x14ac:dyDescent="0.25">
      <c r="A49" s="263" t="s">
        <v>438</v>
      </c>
      <c r="B49" s="272">
        <v>43000</v>
      </c>
      <c r="C49" s="273">
        <f>+B49*InfoInicial!B25*12</f>
        <v>1032000</v>
      </c>
    </row>
    <row r="50" spans="1:10" x14ac:dyDescent="0.25">
      <c r="A50" s="263" t="s">
        <v>158</v>
      </c>
      <c r="B50" s="272"/>
      <c r="C50" s="273">
        <f>SUBTOTAL(109,C47:C49)</f>
        <v>2826000</v>
      </c>
    </row>
    <row r="53" spans="1:10" x14ac:dyDescent="0.25">
      <c r="E53" t="s">
        <v>448</v>
      </c>
      <c r="G53" t="s">
        <v>444</v>
      </c>
    </row>
    <row r="54" spans="1:10" x14ac:dyDescent="0.25">
      <c r="A54" t="s">
        <v>447</v>
      </c>
      <c r="B54" t="s">
        <v>441</v>
      </c>
      <c r="C54" t="s">
        <v>446</v>
      </c>
      <c r="D54">
        <f>+$J$54*C55</f>
        <v>352</v>
      </c>
      <c r="F54" t="s">
        <v>443</v>
      </c>
      <c r="J54">
        <f>8*20</f>
        <v>160</v>
      </c>
    </row>
    <row r="55" spans="1:10" x14ac:dyDescent="0.25">
      <c r="B55" t="s">
        <v>442</v>
      </c>
      <c r="C55">
        <v>2.2000000000000002</v>
      </c>
      <c r="D55">
        <f>+$J$54*C56</f>
        <v>835.19999999999993</v>
      </c>
    </row>
    <row r="56" spans="1:10" x14ac:dyDescent="0.25">
      <c r="B56" t="s">
        <v>404</v>
      </c>
      <c r="C56">
        <v>5.22</v>
      </c>
      <c r="D56">
        <f>+$J$54*C57</f>
        <v>16</v>
      </c>
    </row>
    <row r="57" spans="1:10" x14ac:dyDescent="0.25">
      <c r="B57" t="s">
        <v>405</v>
      </c>
      <c r="C57">
        <v>0.1</v>
      </c>
      <c r="D57">
        <f>+$J$54*C58</f>
        <v>640</v>
      </c>
      <c r="G57">
        <v>8</v>
      </c>
      <c r="H57" t="s">
        <v>445</v>
      </c>
    </row>
    <row r="58" spans="1:10" x14ac:dyDescent="0.25">
      <c r="B58" t="s">
        <v>406</v>
      </c>
      <c r="C58">
        <v>4</v>
      </c>
      <c r="D58">
        <f>+$J$54*C59</f>
        <v>320</v>
      </c>
    </row>
    <row r="59" spans="1:10" x14ac:dyDescent="0.25">
      <c r="B59" t="s">
        <v>407</v>
      </c>
      <c r="C59">
        <v>2</v>
      </c>
      <c r="D59">
        <f>+SUM(D54:D58)</f>
        <v>2163.1999999999998</v>
      </c>
      <c r="E59">
        <v>2.504</v>
      </c>
      <c r="G59">
        <f>+D59*E59</f>
        <v>5416.6527999999998</v>
      </c>
    </row>
    <row r="63" spans="1:10" x14ac:dyDescent="0.25">
      <c r="A63" t="s">
        <v>128</v>
      </c>
      <c r="B63">
        <f>70000*12</f>
        <v>840000</v>
      </c>
    </row>
    <row r="64" spans="1:10" x14ac:dyDescent="0.25">
      <c r="A64" t="s">
        <v>453</v>
      </c>
      <c r="B64">
        <v>28500</v>
      </c>
    </row>
    <row r="65" spans="1:11" ht="13" thickBot="1" x14ac:dyDescent="0.3"/>
    <row r="66" spans="1:11" ht="13.5" thickBot="1" x14ac:dyDescent="0.35">
      <c r="A66" s="346" t="s">
        <v>551</v>
      </c>
      <c r="B66" s="231"/>
      <c r="D66" s="346" t="s">
        <v>554</v>
      </c>
      <c r="E66" s="347"/>
      <c r="F66" s="348" t="s">
        <v>54</v>
      </c>
      <c r="G66" s="348" t="s">
        <v>534</v>
      </c>
      <c r="I66" s="337" t="s">
        <v>557</v>
      </c>
      <c r="J66" s="338" t="s">
        <v>54</v>
      </c>
      <c r="K66" s="339" t="s">
        <v>534</v>
      </c>
    </row>
    <row r="67" spans="1:11" x14ac:dyDescent="0.25">
      <c r="A67" s="347" t="s">
        <v>552</v>
      </c>
      <c r="B67" s="353">
        <f>'E-Costos'!B88*0.03</f>
        <v>357660</v>
      </c>
      <c r="D67" s="347" t="s">
        <v>555</v>
      </c>
      <c r="E67" s="349">
        <v>8.0000000000000002E-3</v>
      </c>
      <c r="F67" s="350">
        <f>+$C$12*0.05*$E$67</f>
        <v>3946.8</v>
      </c>
      <c r="G67" s="350">
        <f>+$C$12*0.05*$E$67</f>
        <v>3946.8</v>
      </c>
      <c r="I67" s="340" t="s">
        <v>555</v>
      </c>
      <c r="J67" s="341">
        <f>+$C$12*0.05*$E$67</f>
        <v>3946.8</v>
      </c>
      <c r="K67" s="341">
        <f>+$C$12*0.05*$E$67</f>
        <v>3946.8</v>
      </c>
    </row>
    <row r="68" spans="1:11" x14ac:dyDescent="0.25">
      <c r="A68" s="347" t="s">
        <v>553</v>
      </c>
      <c r="B68" s="353">
        <f>'E-Costos'!C88*0.03</f>
        <v>411150</v>
      </c>
      <c r="D68" s="347" t="s">
        <v>556</v>
      </c>
      <c r="E68" s="349">
        <v>0.01</v>
      </c>
      <c r="F68" s="350">
        <f>+$C$12*0.05*0.01</f>
        <v>4933.5</v>
      </c>
      <c r="G68" s="350">
        <f>+$C$12*0.05*0.01</f>
        <v>4933.5</v>
      </c>
      <c r="I68" s="342" t="s">
        <v>556</v>
      </c>
      <c r="J68" s="341">
        <f>+$C$12*0.05*0.01</f>
        <v>4933.5</v>
      </c>
      <c r="K68" s="341">
        <f>+$C$12*0.05*0.01</f>
        <v>4933.5</v>
      </c>
    </row>
    <row r="69" spans="1:11" ht="13.5" thickBot="1" x14ac:dyDescent="0.35">
      <c r="A69" s="347" t="s">
        <v>459</v>
      </c>
      <c r="B69" s="353">
        <f>SUM(B67:B68)</f>
        <v>768810</v>
      </c>
      <c r="D69" s="348" t="s">
        <v>158</v>
      </c>
      <c r="E69" s="351"/>
      <c r="F69" s="352">
        <f>SUM(F67:F68)</f>
        <v>8880.2999999999993</v>
      </c>
      <c r="G69" s="352">
        <f>SUM(G67:G68)</f>
        <v>8880.2999999999993</v>
      </c>
      <c r="I69" s="343" t="s">
        <v>558</v>
      </c>
      <c r="J69" s="341">
        <f>0.012*'E-Costos'!B88</f>
        <v>143064</v>
      </c>
      <c r="K69" s="341">
        <f>0.012*'E-Costos'!C88</f>
        <v>164460</v>
      </c>
    </row>
    <row r="70" spans="1:11" ht="13.5" thickBot="1" x14ac:dyDescent="0.35">
      <c r="I70" s="344" t="s">
        <v>158</v>
      </c>
      <c r="J70" s="345">
        <f>SUM(J67:J69)</f>
        <v>151944.29999999999</v>
      </c>
      <c r="K70" s="345">
        <f>SUM(K67:K69)</f>
        <v>173340.3</v>
      </c>
    </row>
    <row r="72" spans="1:11" x14ac:dyDescent="0.25">
      <c r="A72" s="267" t="s">
        <v>454</v>
      </c>
      <c r="B72" s="267" t="s">
        <v>408</v>
      </c>
      <c r="C72" s="267" t="s">
        <v>456</v>
      </c>
      <c r="E72" t="s">
        <v>456</v>
      </c>
      <c r="F72" t="s">
        <v>54</v>
      </c>
      <c r="G72" t="s">
        <v>534</v>
      </c>
    </row>
    <row r="73" spans="1:11" x14ac:dyDescent="0.25">
      <c r="A73" s="267" t="s">
        <v>54</v>
      </c>
      <c r="B73" s="276">
        <v>2478819</v>
      </c>
      <c r="C73" s="324">
        <f>0.025*B73</f>
        <v>61970.475000000006</v>
      </c>
      <c r="E73" t="s">
        <v>475</v>
      </c>
      <c r="F73">
        <v>431</v>
      </c>
      <c r="G73">
        <v>431</v>
      </c>
    </row>
    <row r="74" spans="1:11" x14ac:dyDescent="0.25">
      <c r="A74" s="267" t="s">
        <v>455</v>
      </c>
      <c r="B74" s="276">
        <v>2741000</v>
      </c>
      <c r="C74" s="324">
        <f>0.025*B74</f>
        <v>68525</v>
      </c>
    </row>
    <row r="76" spans="1:11" x14ac:dyDescent="0.25">
      <c r="A76" t="s">
        <v>463</v>
      </c>
      <c r="B76" t="s">
        <v>408</v>
      </c>
    </row>
    <row r="77" spans="1:11" x14ac:dyDescent="0.25">
      <c r="A77" t="s">
        <v>53</v>
      </c>
      <c r="B77" s="275">
        <v>6500</v>
      </c>
    </row>
    <row r="78" spans="1:11" x14ac:dyDescent="0.25">
      <c r="A78" t="s">
        <v>464</v>
      </c>
      <c r="B78" s="275">
        <v>6555</v>
      </c>
    </row>
    <row r="80" spans="1:11" x14ac:dyDescent="0.25">
      <c r="A80" t="s">
        <v>465</v>
      </c>
      <c r="B80" t="s">
        <v>466</v>
      </c>
    </row>
    <row r="81" spans="1:9" ht="13" thickBot="1" x14ac:dyDescent="0.3">
      <c r="A81" t="s">
        <v>467</v>
      </c>
      <c r="B81" s="275">
        <v>27410</v>
      </c>
    </row>
    <row r="82" spans="1:9" ht="32.25" customHeight="1" x14ac:dyDescent="0.25">
      <c r="D82" s="497" t="s">
        <v>471</v>
      </c>
      <c r="E82" s="498"/>
      <c r="F82" s="499"/>
    </row>
    <row r="83" spans="1:9" x14ac:dyDescent="0.25">
      <c r="A83" t="s">
        <v>469</v>
      </c>
      <c r="B83" t="s">
        <v>470</v>
      </c>
      <c r="D83" t="s">
        <v>474</v>
      </c>
      <c r="E83" s="267" t="s">
        <v>472</v>
      </c>
      <c r="F83" s="267" t="s">
        <v>473</v>
      </c>
    </row>
    <row r="84" spans="1:9" ht="13" x14ac:dyDescent="0.3">
      <c r="A84" s="12" t="s">
        <v>468</v>
      </c>
      <c r="B84">
        <f>(E89/F89)*100</f>
        <v>10.003648303538855</v>
      </c>
      <c r="D84" s="267">
        <v>1</v>
      </c>
      <c r="E84" s="276">
        <v>2500</v>
      </c>
      <c r="F84" s="276">
        <v>72880</v>
      </c>
    </row>
    <row r="85" spans="1:9" x14ac:dyDescent="0.25">
      <c r="D85" s="267">
        <v>2</v>
      </c>
      <c r="E85" s="276">
        <v>1100</v>
      </c>
      <c r="F85" s="276">
        <v>71780</v>
      </c>
    </row>
    <row r="86" spans="1:9" x14ac:dyDescent="0.25">
      <c r="D86" s="267">
        <v>3</v>
      </c>
      <c r="E86" s="276">
        <v>500</v>
      </c>
      <c r="F86" s="276">
        <v>71280</v>
      </c>
    </row>
    <row r="87" spans="1:9" x14ac:dyDescent="0.25">
      <c r="D87" s="267">
        <v>4</v>
      </c>
      <c r="E87" s="276">
        <v>2200</v>
      </c>
      <c r="F87" s="276">
        <v>69080</v>
      </c>
    </row>
    <row r="88" spans="1:9" x14ac:dyDescent="0.25">
      <c r="D88" s="267">
        <v>5</v>
      </c>
      <c r="E88" s="276">
        <v>555</v>
      </c>
      <c r="F88" s="276">
        <v>68525</v>
      </c>
    </row>
    <row r="89" spans="1:9" x14ac:dyDescent="0.25">
      <c r="D89" t="s">
        <v>459</v>
      </c>
      <c r="E89" s="276">
        <f>SUM(E84:E88)</f>
        <v>6855</v>
      </c>
      <c r="F89" s="275">
        <f>+F88</f>
        <v>68525</v>
      </c>
    </row>
    <row r="91" spans="1:9" ht="13" x14ac:dyDescent="0.25">
      <c r="A91" s="267" t="s">
        <v>475</v>
      </c>
      <c r="B91" s="267" t="s">
        <v>476</v>
      </c>
      <c r="C91" t="s">
        <v>478</v>
      </c>
      <c r="E91" s="306" t="s">
        <v>481</v>
      </c>
      <c r="F91" t="s">
        <v>499</v>
      </c>
      <c r="G91" t="s">
        <v>498</v>
      </c>
      <c r="H91" s="267" t="s">
        <v>54</v>
      </c>
      <c r="I91" s="267" t="s">
        <v>95</v>
      </c>
    </row>
    <row r="92" spans="1:9" ht="13" thickBot="1" x14ac:dyDescent="0.3">
      <c r="A92" s="267" t="s">
        <v>477</v>
      </c>
      <c r="B92" s="267">
        <v>391.6</v>
      </c>
      <c r="C92" t="s">
        <v>479</v>
      </c>
      <c r="E92" s="267"/>
      <c r="F92" t="s">
        <v>480</v>
      </c>
      <c r="G92" s="282" t="s">
        <v>482</v>
      </c>
      <c r="H92" s="282">
        <f>+((B47*6)/N129)</f>
        <v>1.7614494212380474</v>
      </c>
      <c r="I92" s="301">
        <f>(B47*6*0.9)/N128</f>
        <v>1.3790587376869756</v>
      </c>
    </row>
    <row r="93" spans="1:9" ht="13.5" thickBot="1" x14ac:dyDescent="0.35">
      <c r="A93" s="267" t="s">
        <v>472</v>
      </c>
      <c r="B93" s="267">
        <v>39.159999999999997</v>
      </c>
      <c r="C93" t="s">
        <v>479</v>
      </c>
      <c r="E93" s="267"/>
      <c r="F93" s="285" t="s">
        <v>483</v>
      </c>
      <c r="G93" s="302">
        <f>(I92*B92)/2</f>
        <v>270.01970083910982</v>
      </c>
      <c r="H93" t="s">
        <v>497</v>
      </c>
    </row>
    <row r="94" spans="1:9" ht="13.5" thickBot="1" x14ac:dyDescent="0.35">
      <c r="A94" s="279" t="s">
        <v>459</v>
      </c>
      <c r="B94" s="280">
        <f>SUM(B92:B93)</f>
        <v>430.76</v>
      </c>
      <c r="C94" s="281" t="s">
        <v>479</v>
      </c>
      <c r="E94" s="267"/>
      <c r="F94" s="285" t="s">
        <v>483</v>
      </c>
      <c r="G94" s="286">
        <f>(B92*H92/2)</f>
        <v>344.89179667840972</v>
      </c>
      <c r="H94" t="s">
        <v>496</v>
      </c>
    </row>
    <row r="95" spans="1:9" x14ac:dyDescent="0.25">
      <c r="A95" s="267"/>
      <c r="B95" s="267"/>
      <c r="E95" s="267"/>
    </row>
    <row r="96" spans="1:9" ht="13.5" thickBot="1" x14ac:dyDescent="0.3">
      <c r="A96" s="267" t="s">
        <v>484</v>
      </c>
      <c r="B96" s="267" t="s">
        <v>485</v>
      </c>
      <c r="C96" t="s">
        <v>486</v>
      </c>
      <c r="E96" s="306" t="s">
        <v>501</v>
      </c>
    </row>
    <row r="97" spans="1:9" ht="14" x14ac:dyDescent="0.3">
      <c r="A97" s="267" t="s">
        <v>479</v>
      </c>
      <c r="B97" s="283">
        <v>68972</v>
      </c>
      <c r="C97" s="284">
        <v>75380</v>
      </c>
      <c r="E97" s="287"/>
      <c r="F97" s="288" t="s">
        <v>54</v>
      </c>
      <c r="G97" s="288" t="s">
        <v>487</v>
      </c>
      <c r="H97" s="289" t="s">
        <v>488</v>
      </c>
    </row>
    <row r="98" spans="1:9" ht="13" x14ac:dyDescent="0.3">
      <c r="E98" s="290" t="s">
        <v>489</v>
      </c>
      <c r="F98" s="62">
        <f>+'E-Inv AF y Am'!$D$56*0.9</f>
        <v>592697.99301222526</v>
      </c>
      <c r="G98" s="62">
        <f>+'E-Inv AF y Am'!$D$56*0.9</f>
        <v>592697.99301222526</v>
      </c>
      <c r="H98" s="62">
        <f>+'E-Inv AF y Am'!$E$56*0.9</f>
        <v>589295.39301222528</v>
      </c>
    </row>
    <row r="99" spans="1:9" ht="13" x14ac:dyDescent="0.3">
      <c r="E99" s="290" t="s">
        <v>490</v>
      </c>
      <c r="F99" s="291">
        <f>(F98/N129)</f>
        <v>9.9429289215270131</v>
      </c>
      <c r="G99" s="291">
        <f>(G98/N128)</f>
        <v>8.6493687415136851</v>
      </c>
      <c r="H99" s="292">
        <f>(H98/N128)</f>
        <v>8.5997138710284613</v>
      </c>
    </row>
    <row r="100" spans="1:9" ht="13.5" thickBot="1" x14ac:dyDescent="0.35">
      <c r="E100" s="293" t="s">
        <v>491</v>
      </c>
      <c r="F100" s="294">
        <f>(B92*F99/2)</f>
        <v>1946.8254828349893</v>
      </c>
      <c r="G100" s="294">
        <f>(B92*G99/2)</f>
        <v>1693.5463995883797</v>
      </c>
      <c r="H100" s="295">
        <f>(H99*B92/2)</f>
        <v>1683.8239759473729</v>
      </c>
    </row>
    <row r="101" spans="1:9" ht="13" thickBot="1" x14ac:dyDescent="0.3">
      <c r="A101" t="s">
        <v>522</v>
      </c>
    </row>
    <row r="102" spans="1:9" ht="13" x14ac:dyDescent="0.25">
      <c r="A102" t="s">
        <v>53</v>
      </c>
      <c r="B102">
        <v>6500</v>
      </c>
      <c r="E102" s="305" t="s">
        <v>500</v>
      </c>
      <c r="F102" t="s">
        <v>480</v>
      </c>
      <c r="G102" s="264" t="s">
        <v>492</v>
      </c>
      <c r="H102" s="297">
        <f>(B47*0.9)/B97</f>
        <v>0.22835353476773182</v>
      </c>
      <c r="I102" s="267" t="s">
        <v>493</v>
      </c>
    </row>
    <row r="103" spans="1:9" ht="13" thickBot="1" x14ac:dyDescent="0.3">
      <c r="A103" t="s">
        <v>523</v>
      </c>
      <c r="B103">
        <v>6555</v>
      </c>
      <c r="G103" s="303" t="s">
        <v>492</v>
      </c>
      <c r="H103" s="304">
        <f>(B47)/C97</f>
        <v>0.2321570708410719</v>
      </c>
      <c r="I103" s="267" t="s">
        <v>494</v>
      </c>
    </row>
    <row r="104" spans="1:9" ht="13" thickBot="1" x14ac:dyDescent="0.3"/>
    <row r="105" spans="1:9" ht="13" x14ac:dyDescent="0.3">
      <c r="A105" t="s">
        <v>526</v>
      </c>
      <c r="B105">
        <v>27410</v>
      </c>
      <c r="F105" s="296" t="s">
        <v>495</v>
      </c>
      <c r="G105" s="265">
        <f>(H102*B92)/2</f>
        <v>44.71162210752189</v>
      </c>
      <c r="H105" s="297" t="s">
        <v>493</v>
      </c>
    </row>
    <row r="106" spans="1:9" ht="13.5" thickBot="1" x14ac:dyDescent="0.35">
      <c r="F106" s="298" t="s">
        <v>495</v>
      </c>
      <c r="G106" s="299">
        <f>(H103*B92)/2</f>
        <v>45.45635447068188</v>
      </c>
      <c r="H106" s="300" t="s">
        <v>494</v>
      </c>
    </row>
    <row r="108" spans="1:9" ht="13" x14ac:dyDescent="0.3">
      <c r="E108" s="12" t="s">
        <v>502</v>
      </c>
    </row>
    <row r="110" spans="1:9" x14ac:dyDescent="0.25">
      <c r="E110" s="260" t="s">
        <v>507</v>
      </c>
      <c r="F110" s="261" t="s">
        <v>508</v>
      </c>
      <c r="G110" s="262" t="s">
        <v>509</v>
      </c>
    </row>
    <row r="111" spans="1:9" x14ac:dyDescent="0.25">
      <c r="E111" s="258" t="s">
        <v>480</v>
      </c>
      <c r="F111" s="231" t="s">
        <v>503</v>
      </c>
      <c r="G111" s="259">
        <f>(('E-Costos'!B12)/N129)</f>
        <v>3.6569748102667337</v>
      </c>
    </row>
    <row r="112" spans="1:9" x14ac:dyDescent="0.25">
      <c r="E112" s="258"/>
      <c r="F112" s="231" t="s">
        <v>504</v>
      </c>
      <c r="G112" s="259">
        <f>(('E-Costos'!C12)/N128)</f>
        <v>3.5346753973002554</v>
      </c>
    </row>
    <row r="113" spans="4:15" ht="13" x14ac:dyDescent="0.3">
      <c r="E113" s="258"/>
      <c r="F113" s="307" t="s">
        <v>505</v>
      </c>
      <c r="G113" s="308">
        <f>(G111*B92)/2</f>
        <v>716.03566785022645</v>
      </c>
    </row>
    <row r="114" spans="4:15" ht="13" x14ac:dyDescent="0.3">
      <c r="E114" s="263"/>
      <c r="F114" s="309" t="s">
        <v>506</v>
      </c>
      <c r="G114" s="310">
        <f>(G112*B92)/2</f>
        <v>692.08944279139007</v>
      </c>
    </row>
    <row r="117" spans="4:15" ht="13" x14ac:dyDescent="0.3">
      <c r="E117" s="12" t="s">
        <v>510</v>
      </c>
    </row>
    <row r="119" spans="4:15" x14ac:dyDescent="0.25">
      <c r="E119" s="267" t="s">
        <v>507</v>
      </c>
      <c r="F119" s="267" t="s">
        <v>514</v>
      </c>
    </row>
    <row r="120" spans="4:15" x14ac:dyDescent="0.25">
      <c r="E120" s="267" t="s">
        <v>513</v>
      </c>
      <c r="F120" s="267">
        <f>('E-Costos'!B13/N129)</f>
        <v>11.414192249622547</v>
      </c>
    </row>
    <row r="121" spans="4:15" x14ac:dyDescent="0.25">
      <c r="E121" s="267" t="s">
        <v>515</v>
      </c>
      <c r="F121" s="267">
        <f>('E-Costos'!C13/N128)</f>
        <v>11.032469901495805</v>
      </c>
    </row>
    <row r="122" spans="4:15" x14ac:dyDescent="0.25">
      <c r="E122" s="267" t="s">
        <v>511</v>
      </c>
      <c r="F122" s="267">
        <f>(F120*B92)/2</f>
        <v>2234.8988424760946</v>
      </c>
    </row>
    <row r="123" spans="4:15" x14ac:dyDescent="0.25">
      <c r="D123" t="s">
        <v>498</v>
      </c>
      <c r="E123" s="267" t="s">
        <v>512</v>
      </c>
      <c r="F123" s="267">
        <f>(F121*B92)/2</f>
        <v>2160.1576067128785</v>
      </c>
    </row>
    <row r="124" spans="4:15" ht="13" thickBot="1" x14ac:dyDescent="0.3"/>
    <row r="125" spans="4:15" ht="12.75" customHeight="1" x14ac:dyDescent="0.3">
      <c r="E125" s="12" t="s">
        <v>516</v>
      </c>
      <c r="I125" s="500" t="s">
        <v>535</v>
      </c>
      <c r="J125" s="501"/>
      <c r="K125" s="502"/>
    </row>
    <row r="126" spans="4:15" ht="13" thickBot="1" x14ac:dyDescent="0.3">
      <c r="I126" s="503"/>
      <c r="J126" s="504"/>
      <c r="K126" s="505"/>
    </row>
    <row r="127" spans="4:15" x14ac:dyDescent="0.25">
      <c r="E127" s="267" t="s">
        <v>507</v>
      </c>
      <c r="F127" s="267" t="s">
        <v>514</v>
      </c>
      <c r="I127" t="s">
        <v>527</v>
      </c>
      <c r="K127" s="329">
        <f>+B97</f>
        <v>68972</v>
      </c>
      <c r="M127" t="s">
        <v>531</v>
      </c>
      <c r="N127" t="s">
        <v>550</v>
      </c>
      <c r="O127" t="s">
        <v>11</v>
      </c>
    </row>
    <row r="128" spans="4:15" x14ac:dyDescent="0.25">
      <c r="E128" s="267" t="s">
        <v>517</v>
      </c>
      <c r="F128" s="335">
        <f>('E-Costos'!B14)/N129</f>
        <v>0.3824861600402617</v>
      </c>
      <c r="I128" t="s">
        <v>528</v>
      </c>
      <c r="K128" s="330">
        <f>+(C97/N128)</f>
        <v>1.1000364830353886</v>
      </c>
      <c r="M128">
        <f>25/1000</f>
        <v>2.5000000000000001E-2</v>
      </c>
      <c r="N128" s="330">
        <f>+M128*I2</f>
        <v>68525</v>
      </c>
      <c r="O128" t="s">
        <v>533</v>
      </c>
    </row>
    <row r="129" spans="5:15" x14ac:dyDescent="0.25">
      <c r="E129" s="267" t="s">
        <v>518</v>
      </c>
      <c r="F129" s="335">
        <f>('E-Costos'!C14)/N128</f>
        <v>0.41590660342940533</v>
      </c>
      <c r="I129" t="s">
        <v>529</v>
      </c>
      <c r="K129" s="330">
        <f>+N129*K128</f>
        <v>65573.174753739513</v>
      </c>
      <c r="M129">
        <f>25/1000</f>
        <v>2.5000000000000001E-2</v>
      </c>
      <c r="N129" s="275">
        <f>+(M128*H2)</f>
        <v>59610</v>
      </c>
      <c r="O129" t="s">
        <v>532</v>
      </c>
    </row>
    <row r="130" spans="5:15" x14ac:dyDescent="0.25">
      <c r="E130" s="267" t="s">
        <v>519</v>
      </c>
      <c r="F130" s="267">
        <f>(F128*B92)/2</f>
        <v>74.89079013588325</v>
      </c>
      <c r="I130" t="s">
        <v>530</v>
      </c>
      <c r="K130">
        <f>+F73</f>
        <v>431</v>
      </c>
    </row>
    <row r="131" spans="5:15" x14ac:dyDescent="0.25">
      <c r="E131" s="267" t="s">
        <v>520</v>
      </c>
      <c r="F131" s="267">
        <f>(F129*B92)/2</f>
        <v>81.434512951477572</v>
      </c>
    </row>
    <row r="132" spans="5:15" x14ac:dyDescent="0.25">
      <c r="I132" t="s">
        <v>536</v>
      </c>
      <c r="K132" s="330">
        <f>+K127-K129-K130</f>
        <v>2967.8252462604869</v>
      </c>
    </row>
    <row r="133" spans="5:15" ht="13" x14ac:dyDescent="0.3">
      <c r="E133" s="12" t="s">
        <v>521</v>
      </c>
    </row>
    <row r="135" spans="5:15" x14ac:dyDescent="0.25">
      <c r="E135" s="267" t="s">
        <v>507</v>
      </c>
      <c r="F135" s="267" t="s">
        <v>514</v>
      </c>
    </row>
    <row r="136" spans="5:15" ht="13" x14ac:dyDescent="0.3">
      <c r="E136" s="267" t="s">
        <v>549</v>
      </c>
      <c r="F136" s="335">
        <f>('E-Costos'!B15)/N129</f>
        <v>1.1917866129843988</v>
      </c>
      <c r="I136" s="331" t="s">
        <v>537</v>
      </c>
      <c r="J136" s="332">
        <f>+'E-Costos'!B7/Datos!N129</f>
        <v>24.192614554604933</v>
      </c>
    </row>
    <row r="137" spans="5:15" ht="13" x14ac:dyDescent="0.3">
      <c r="E137" s="267" t="s">
        <v>548</v>
      </c>
      <c r="F137" s="311">
        <f>('E-Costos'!B15)/N128</f>
        <v>1.0367369573148488</v>
      </c>
      <c r="I137" s="331" t="s">
        <v>538</v>
      </c>
      <c r="J137" s="332">
        <f>+'E-Costos'!C7/Datos!N128</f>
        <v>23.000442816490335</v>
      </c>
    </row>
    <row r="138" spans="5:15" ht="13" x14ac:dyDescent="0.3">
      <c r="E138" s="267" t="s">
        <v>519</v>
      </c>
      <c r="F138" s="267">
        <f>(F136*B92)/2</f>
        <v>233.35181882234531</v>
      </c>
      <c r="I138" s="331" t="s">
        <v>539</v>
      </c>
      <c r="J138" s="333">
        <f>+K132</f>
        <v>2967.8252462604869</v>
      </c>
    </row>
    <row r="139" spans="5:15" ht="13" x14ac:dyDescent="0.3">
      <c r="E139" s="267" t="s">
        <v>520</v>
      </c>
      <c r="F139" s="267">
        <f>(F137*B92)/2</f>
        <v>202.99309624224742</v>
      </c>
      <c r="I139" s="331" t="s">
        <v>540</v>
      </c>
      <c r="J139" s="291">
        <f>+'E-Costos'!B8/Datos!N129</f>
        <v>1.5853044791142425</v>
      </c>
    </row>
    <row r="140" spans="5:15" ht="13" x14ac:dyDescent="0.3">
      <c r="I140" s="331" t="s">
        <v>541</v>
      </c>
      <c r="J140" s="291">
        <f>+J139*J138</f>
        <v>4704.9066561250802</v>
      </c>
    </row>
    <row r="141" spans="5:15" ht="13" x14ac:dyDescent="0.3">
      <c r="I141" s="331" t="s">
        <v>542</v>
      </c>
      <c r="J141" s="291">
        <f>+'E-Costos'!B12/Datos!N129</f>
        <v>3.6569748102667337</v>
      </c>
    </row>
    <row r="142" spans="5:15" ht="13" x14ac:dyDescent="0.3">
      <c r="I142" s="331" t="s">
        <v>543</v>
      </c>
      <c r="J142" s="291">
        <f>+J141*J138</f>
        <v>10853.262166848266</v>
      </c>
    </row>
    <row r="143" spans="5:15" ht="13" x14ac:dyDescent="0.3">
      <c r="I143" s="331" t="s">
        <v>544</v>
      </c>
      <c r="J143" s="291">
        <f>+F122/N129</f>
        <v>3.749201212004856E-2</v>
      </c>
    </row>
    <row r="144" spans="5:15" ht="13" x14ac:dyDescent="0.3">
      <c r="I144" s="331" t="s">
        <v>545</v>
      </c>
      <c r="J144" s="334">
        <f>+J143*J138</f>
        <v>111.26974010298427</v>
      </c>
    </row>
    <row r="145" spans="9:10" ht="13" x14ac:dyDescent="0.3">
      <c r="I145" s="331" t="s">
        <v>546</v>
      </c>
      <c r="J145" s="291">
        <f>+F130/N129</f>
        <v>1.2563460851515392E-3</v>
      </c>
    </row>
    <row r="146" spans="9:10" ht="13" x14ac:dyDescent="0.3">
      <c r="I146" s="331" t="s">
        <v>547</v>
      </c>
      <c r="J146" s="334">
        <f>+J145*J138</f>
        <v>3.7286156295532655</v>
      </c>
    </row>
  </sheetData>
  <mergeCells count="2">
    <mergeCell ref="D82:F82"/>
    <mergeCell ref="I125:K126"/>
  </mergeCells>
  <pageMargins left="0.7" right="0.7" top="0.75" bottom="0.75" header="0.3" footer="0.3"/>
  <pageSetup orientation="portrait" horizontalDpi="0" verticalDpi="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4"/>
  <sheetViews>
    <sheetView zoomScale="90" zoomScaleNormal="90" workbookViewId="0">
      <selection activeCell="B36" sqref="B36:D36"/>
    </sheetView>
  </sheetViews>
  <sheetFormatPr baseColWidth="10" defaultColWidth="11" defaultRowHeight="12.5" x14ac:dyDescent="0.25"/>
  <cols>
    <col min="1" max="1" width="42.1796875" customWidth="1"/>
    <col min="2" max="3" width="11" customWidth="1"/>
    <col min="4" max="4" width="17.453125" customWidth="1"/>
    <col min="5" max="5" width="11" customWidth="1"/>
    <col min="6" max="6" width="6.81640625" customWidth="1"/>
    <col min="7" max="12" width="11" customWidth="1"/>
    <col min="13" max="13" width="16.81640625" customWidth="1"/>
  </cols>
  <sheetData>
    <row r="1" spans="1:13" ht="13" x14ac:dyDescent="0.3">
      <c r="A1" s="1" t="s">
        <v>0</v>
      </c>
      <c r="E1" s="2">
        <v>8</v>
      </c>
    </row>
    <row r="2" spans="1:13" ht="14" x14ac:dyDescent="0.3">
      <c r="G2" s="507" t="s">
        <v>1</v>
      </c>
      <c r="H2" s="507"/>
      <c r="I2" s="507"/>
      <c r="J2" s="507"/>
      <c r="K2" s="507"/>
      <c r="L2" s="507"/>
      <c r="M2" s="507"/>
    </row>
    <row r="3" spans="1:13" ht="14.9" customHeight="1" x14ac:dyDescent="0.3">
      <c r="A3" s="3" t="s">
        <v>2</v>
      </c>
      <c r="B3" s="4">
        <v>0.21</v>
      </c>
      <c r="G3" s="508" t="s">
        <v>3</v>
      </c>
      <c r="H3" s="508"/>
      <c r="I3" s="508"/>
      <c r="J3" s="508"/>
      <c r="K3" s="508"/>
      <c r="L3" s="508"/>
      <c r="M3" s="508"/>
    </row>
    <row r="4" spans="1:13" ht="13" x14ac:dyDescent="0.3">
      <c r="A4" s="3" t="s">
        <v>4</v>
      </c>
      <c r="B4" s="4">
        <v>0.35</v>
      </c>
      <c r="G4" s="508"/>
      <c r="H4" s="508"/>
      <c r="I4" s="508"/>
      <c r="J4" s="508"/>
      <c r="K4" s="508"/>
      <c r="L4" s="508"/>
      <c r="M4" s="508"/>
    </row>
    <row r="5" spans="1:13" ht="13" x14ac:dyDescent="0.3">
      <c r="A5" s="3" t="s">
        <v>5</v>
      </c>
      <c r="B5" s="4">
        <v>0.1</v>
      </c>
      <c r="C5" t="s">
        <v>6</v>
      </c>
      <c r="G5" s="508"/>
      <c r="H5" s="508"/>
      <c r="I5" s="508"/>
      <c r="J5" s="508"/>
      <c r="K5" s="508"/>
      <c r="L5" s="508"/>
      <c r="M5" s="508"/>
    </row>
    <row r="6" spans="1:13" x14ac:dyDescent="0.25">
      <c r="G6" s="508"/>
      <c r="H6" s="508"/>
      <c r="I6" s="508"/>
      <c r="J6" s="508"/>
      <c r="K6" s="508"/>
      <c r="L6" s="508"/>
      <c r="M6" s="508"/>
    </row>
    <row r="7" spans="1:13" ht="14.9" customHeight="1" x14ac:dyDescent="0.3">
      <c r="A7" s="3" t="s">
        <v>7</v>
      </c>
      <c r="B7" t="s">
        <v>8</v>
      </c>
      <c r="G7" s="509" t="s">
        <v>9</v>
      </c>
      <c r="H7" s="509"/>
      <c r="I7" s="509"/>
      <c r="J7" s="509"/>
      <c r="K7" s="509"/>
      <c r="L7" s="509"/>
      <c r="M7" s="509"/>
    </row>
    <row r="8" spans="1:13" ht="13" x14ac:dyDescent="0.3">
      <c r="A8" s="5" t="s">
        <v>10</v>
      </c>
      <c r="B8" s="6">
        <v>30</v>
      </c>
      <c r="C8" t="s">
        <v>11</v>
      </c>
      <c r="G8" s="509"/>
      <c r="H8" s="509"/>
      <c r="I8" s="509"/>
      <c r="J8" s="509"/>
      <c r="K8" s="509"/>
      <c r="L8" s="509"/>
      <c r="M8" s="509"/>
    </row>
    <row r="9" spans="1:13" ht="13" x14ac:dyDescent="0.3">
      <c r="A9" s="5" t="s">
        <v>12</v>
      </c>
      <c r="B9" s="6">
        <v>10</v>
      </c>
      <c r="C9" t="s">
        <v>11</v>
      </c>
      <c r="G9" s="510" t="s">
        <v>13</v>
      </c>
      <c r="H9" s="510"/>
      <c r="I9" s="510"/>
      <c r="J9" s="510"/>
      <c r="K9" s="510"/>
      <c r="L9" s="510"/>
      <c r="M9" s="510"/>
    </row>
    <row r="10" spans="1:13" ht="14.9" customHeight="1" x14ac:dyDescent="0.3">
      <c r="A10" s="5" t="s">
        <v>14</v>
      </c>
      <c r="B10" s="6">
        <v>10</v>
      </c>
      <c r="C10" t="s">
        <v>11</v>
      </c>
      <c r="G10" s="511" t="s">
        <v>15</v>
      </c>
      <c r="H10" s="511"/>
      <c r="I10" s="511"/>
      <c r="J10" s="511"/>
      <c r="K10" s="511"/>
      <c r="L10" s="511"/>
      <c r="M10" s="511"/>
    </row>
    <row r="11" spans="1:13" ht="13" x14ac:dyDescent="0.3">
      <c r="A11" s="5" t="s">
        <v>16</v>
      </c>
      <c r="B11" s="6">
        <v>5</v>
      </c>
      <c r="C11" t="s">
        <v>11</v>
      </c>
      <c r="G11" s="511"/>
      <c r="H11" s="511"/>
      <c r="I11" s="511"/>
      <c r="J11" s="511"/>
      <c r="K11" s="511"/>
      <c r="L11" s="511"/>
      <c r="M11" s="511"/>
    </row>
    <row r="12" spans="1:13" ht="14.9" customHeight="1" x14ac:dyDescent="0.3">
      <c r="A12" s="5" t="s">
        <v>17</v>
      </c>
      <c r="B12" s="6">
        <v>5</v>
      </c>
      <c r="C12" t="s">
        <v>11</v>
      </c>
      <c r="G12" s="511" t="s">
        <v>18</v>
      </c>
      <c r="H12" s="511"/>
      <c r="I12" s="511"/>
      <c r="J12" s="511"/>
      <c r="K12" s="511"/>
      <c r="L12" s="511"/>
      <c r="M12" s="511"/>
    </row>
    <row r="13" spans="1:13" ht="13" x14ac:dyDescent="0.3">
      <c r="A13" s="5" t="s">
        <v>19</v>
      </c>
      <c r="B13" s="6">
        <v>3</v>
      </c>
      <c r="C13" t="s">
        <v>11</v>
      </c>
      <c r="G13" s="511"/>
      <c r="H13" s="511"/>
      <c r="I13" s="511"/>
      <c r="J13" s="511"/>
      <c r="K13" s="511"/>
      <c r="L13" s="511"/>
      <c r="M13" s="511"/>
    </row>
    <row r="14" spans="1:13" ht="13" x14ac:dyDescent="0.3">
      <c r="A14" s="5" t="s">
        <v>20</v>
      </c>
      <c r="B14" s="6">
        <v>5</v>
      </c>
      <c r="C14" t="s">
        <v>11</v>
      </c>
    </row>
    <row r="15" spans="1:13" ht="13" x14ac:dyDescent="0.3">
      <c r="A15" s="5" t="s">
        <v>21</v>
      </c>
      <c r="B15" s="7">
        <v>7.0000000000000007E-2</v>
      </c>
    </row>
    <row r="17" spans="1:7" ht="13" x14ac:dyDescent="0.3">
      <c r="A17" s="3" t="s">
        <v>22</v>
      </c>
      <c r="B17" s="8" t="s">
        <v>402</v>
      </c>
      <c r="C17" s="9"/>
      <c r="D17" s="9"/>
      <c r="E17" s="9"/>
      <c r="F17" s="9"/>
      <c r="G17" s="10"/>
    </row>
    <row r="19" spans="1:7" ht="13" x14ac:dyDescent="0.3">
      <c r="A19" s="3" t="s">
        <v>23</v>
      </c>
      <c r="B19" s="225">
        <v>2741000</v>
      </c>
      <c r="C19" t="s">
        <v>24</v>
      </c>
    </row>
    <row r="20" spans="1:7" ht="13" x14ac:dyDescent="0.3">
      <c r="A20" s="3" t="s">
        <v>25</v>
      </c>
      <c r="B20" s="11">
        <v>5</v>
      </c>
      <c r="C20" t="s">
        <v>26</v>
      </c>
    </row>
    <row r="22" spans="1:7" ht="13" x14ac:dyDescent="0.3">
      <c r="A22" s="3" t="s">
        <v>27</v>
      </c>
    </row>
    <row r="23" spans="1:7" ht="13" x14ac:dyDescent="0.3">
      <c r="A23" s="3" t="s">
        <v>28</v>
      </c>
      <c r="B23" s="11">
        <v>7</v>
      </c>
      <c r="C23" t="s">
        <v>29</v>
      </c>
    </row>
    <row r="24" spans="1:7" ht="13" x14ac:dyDescent="0.3">
      <c r="A24" s="3" t="s">
        <v>30</v>
      </c>
      <c r="B24" s="11">
        <v>1</v>
      </c>
      <c r="C24" t="s">
        <v>29</v>
      </c>
    </row>
    <row r="25" spans="1:7" ht="13" x14ac:dyDescent="0.3">
      <c r="A25" s="3" t="s">
        <v>31</v>
      </c>
      <c r="B25" s="11">
        <v>2</v>
      </c>
      <c r="C25" t="s">
        <v>29</v>
      </c>
    </row>
    <row r="27" spans="1:7" ht="13" x14ac:dyDescent="0.3">
      <c r="A27" s="3" t="s">
        <v>32</v>
      </c>
      <c r="B27" s="11">
        <v>600</v>
      </c>
      <c r="C27" t="s">
        <v>33</v>
      </c>
      <c r="D27" t="s">
        <v>403</v>
      </c>
    </row>
    <row r="28" spans="1:7" ht="13" x14ac:dyDescent="0.3">
      <c r="A28" s="3" t="s">
        <v>34</v>
      </c>
      <c r="B28" s="11">
        <v>12</v>
      </c>
      <c r="C28" t="s">
        <v>35</v>
      </c>
    </row>
    <row r="29" spans="1:7" ht="13" x14ac:dyDescent="0.3">
      <c r="A29" s="3" t="s">
        <v>36</v>
      </c>
      <c r="B29" s="11">
        <v>2</v>
      </c>
      <c r="C29" t="s">
        <v>35</v>
      </c>
    </row>
    <row r="32" spans="1:7" ht="13" x14ac:dyDescent="0.3">
      <c r="A32" s="3" t="s">
        <v>37</v>
      </c>
      <c r="B32" s="11">
        <v>39</v>
      </c>
      <c r="C32" t="s">
        <v>38</v>
      </c>
      <c r="D32" s="11">
        <v>1</v>
      </c>
      <c r="E32" t="s">
        <v>39</v>
      </c>
    </row>
    <row r="33" spans="1:7" ht="13" x14ac:dyDescent="0.3">
      <c r="A33" s="12"/>
    </row>
    <row r="34" spans="1:7" ht="13" x14ac:dyDescent="0.3">
      <c r="A34" s="12"/>
    </row>
    <row r="35" spans="1:7" ht="13" x14ac:dyDescent="0.3">
      <c r="A35" s="3" t="s">
        <v>40</v>
      </c>
      <c r="B35" s="13">
        <v>35</v>
      </c>
      <c r="C35" t="s">
        <v>41</v>
      </c>
      <c r="G35" s="14" t="s">
        <v>42</v>
      </c>
    </row>
    <row r="36" spans="1:7" ht="13" x14ac:dyDescent="0.3">
      <c r="A36" s="3" t="s">
        <v>43</v>
      </c>
      <c r="B36" s="506" t="s">
        <v>57</v>
      </c>
      <c r="C36" s="506"/>
      <c r="D36" s="506"/>
    </row>
    <row r="37" spans="1:7" ht="13" x14ac:dyDescent="0.3">
      <c r="A37" s="3" t="s">
        <v>44</v>
      </c>
      <c r="B37" s="392">
        <v>0.2</v>
      </c>
    </row>
    <row r="38" spans="1:7" ht="13" x14ac:dyDescent="0.3">
      <c r="A38" s="3"/>
    </row>
    <row r="39" spans="1:7" ht="13" x14ac:dyDescent="0.3">
      <c r="A39" s="3" t="s">
        <v>45</v>
      </c>
      <c r="B39" s="11">
        <v>30</v>
      </c>
    </row>
    <row r="40" spans="1:7" ht="13" x14ac:dyDescent="0.3">
      <c r="A40" s="3" t="s">
        <v>46</v>
      </c>
      <c r="B40" s="383">
        <v>0.5</v>
      </c>
    </row>
    <row r="41" spans="1:7" ht="13" x14ac:dyDescent="0.3">
      <c r="A41" s="3" t="s">
        <v>47</v>
      </c>
      <c r="B41" s="383">
        <v>0.28000000000000003</v>
      </c>
      <c r="C41" t="s">
        <v>41</v>
      </c>
    </row>
    <row r="134" spans="9:9" x14ac:dyDescent="0.25">
      <c r="I134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zoomScale="90" zoomScaleNormal="90" workbookViewId="0">
      <selection activeCell="B12" sqref="B12"/>
    </sheetView>
  </sheetViews>
  <sheetFormatPr baseColWidth="10" defaultColWidth="11.453125" defaultRowHeight="12.5" x14ac:dyDescent="0.25"/>
  <cols>
    <col min="1" max="1" width="45.453125" style="15" customWidth="1"/>
    <col min="2" max="2" width="16" style="15" bestFit="1" customWidth="1"/>
    <col min="3" max="7" width="14.81640625" style="15" customWidth="1"/>
    <col min="8" max="8" width="11.453125" style="15"/>
    <col min="9" max="9" width="13" style="15" bestFit="1" customWidth="1"/>
    <col min="10" max="10" width="16.26953125" style="15" bestFit="1" customWidth="1"/>
    <col min="11" max="16384" width="11.453125" style="15"/>
  </cols>
  <sheetData>
    <row r="1" spans="1:5" ht="13" x14ac:dyDescent="0.3">
      <c r="A1" s="1" t="s">
        <v>49</v>
      </c>
      <c r="B1"/>
      <c r="C1"/>
      <c r="D1"/>
      <c r="E1" s="2">
        <f>InfoInicial!E1</f>
        <v>8</v>
      </c>
    </row>
    <row r="3" spans="1:5" ht="15.5" x14ac:dyDescent="0.35">
      <c r="A3" s="16" t="s">
        <v>50</v>
      </c>
      <c r="B3" s="514" t="s">
        <v>51</v>
      </c>
      <c r="C3" s="514"/>
      <c r="D3" s="515" t="s">
        <v>52</v>
      </c>
      <c r="E3" s="515"/>
    </row>
    <row r="4" spans="1:5" ht="15.5" x14ac:dyDescent="0.35">
      <c r="A4" s="19"/>
      <c r="B4" s="20" t="s">
        <v>53</v>
      </c>
      <c r="C4" s="20" t="s">
        <v>54</v>
      </c>
      <c r="D4" s="20" t="s">
        <v>53</v>
      </c>
      <c r="E4" s="21" t="s">
        <v>54</v>
      </c>
    </row>
    <row r="5" spans="1:5" x14ac:dyDescent="0.25">
      <c r="A5" s="22"/>
      <c r="B5" s="23"/>
      <c r="C5" s="23"/>
      <c r="D5" s="23"/>
      <c r="E5" s="23"/>
    </row>
    <row r="6" spans="1:5" ht="13" x14ac:dyDescent="0.3">
      <c r="A6" s="24" t="s">
        <v>55</v>
      </c>
      <c r="B6" s="25"/>
      <c r="C6" s="25"/>
      <c r="D6" s="25"/>
      <c r="E6" s="25"/>
    </row>
    <row r="7" spans="1:5" x14ac:dyDescent="0.25">
      <c r="A7" s="26" t="s">
        <v>56</v>
      </c>
      <c r="B7" s="27">
        <f>+Datos!C12*0.2</f>
        <v>1973400</v>
      </c>
      <c r="C7" s="27"/>
      <c r="D7" s="27"/>
      <c r="E7" s="27"/>
    </row>
    <row r="8" spans="1:5" x14ac:dyDescent="0.25">
      <c r="A8" s="26" t="s">
        <v>57</v>
      </c>
      <c r="B8" s="27">
        <f>+Datos!C12*0.8</f>
        <v>7893600</v>
      </c>
      <c r="C8" s="27"/>
      <c r="D8" s="27"/>
      <c r="E8" s="27"/>
    </row>
    <row r="9" spans="1:5" x14ac:dyDescent="0.25">
      <c r="A9" s="26" t="s">
        <v>58</v>
      </c>
      <c r="B9" s="27">
        <f>+Datos!B37</f>
        <v>630000</v>
      </c>
      <c r="C9" s="27"/>
      <c r="D9" s="27"/>
      <c r="E9" s="27"/>
    </row>
    <row r="10" spans="1:5" x14ac:dyDescent="0.25">
      <c r="A10" s="26" t="s">
        <v>59</v>
      </c>
      <c r="B10" s="27"/>
      <c r="C10" s="27"/>
      <c r="D10" s="27"/>
      <c r="E10" s="27"/>
    </row>
    <row r="11" spans="1:5" x14ac:dyDescent="0.25">
      <c r="A11" s="26" t="s">
        <v>60</v>
      </c>
      <c r="B11" s="27"/>
      <c r="C11" s="27"/>
      <c r="D11" s="27">
        <f>+Datos!C4+Datos!C6</f>
        <v>152100</v>
      </c>
      <c r="E11" s="27"/>
    </row>
    <row r="12" spans="1:5" x14ac:dyDescent="0.25">
      <c r="A12" s="26" t="s">
        <v>61</v>
      </c>
      <c r="B12" s="27">
        <f>+Datos!C5+Datos!C7+Datos!D8+Datos!F9</f>
        <v>426342</v>
      </c>
      <c r="C12" s="27"/>
      <c r="D12" s="27"/>
      <c r="E12" s="27"/>
    </row>
    <row r="13" spans="1:5" x14ac:dyDescent="0.25">
      <c r="A13" s="28" t="s">
        <v>62</v>
      </c>
      <c r="B13" s="27">
        <f>+D11*0.1</f>
        <v>15210</v>
      </c>
      <c r="C13" s="27"/>
      <c r="D13" s="27"/>
      <c r="E13" s="27"/>
    </row>
    <row r="14" spans="1:5" x14ac:dyDescent="0.25">
      <c r="A14" s="26" t="s">
        <v>63</v>
      </c>
      <c r="B14" s="27">
        <f>3*4000</f>
        <v>12000</v>
      </c>
      <c r="C14" s="27"/>
      <c r="D14" s="27">
        <f>2*6000</f>
        <v>12000</v>
      </c>
      <c r="E14" s="27"/>
    </row>
    <row r="15" spans="1:5" x14ac:dyDescent="0.25">
      <c r="A15" s="26" t="s">
        <v>64</v>
      </c>
      <c r="B15" s="27">
        <f>+Datos!F9</f>
        <v>11342</v>
      </c>
      <c r="C15" s="27"/>
      <c r="D15" s="27"/>
      <c r="E15" s="27"/>
    </row>
    <row r="16" spans="1:5" x14ac:dyDescent="0.25">
      <c r="A16" s="26" t="s">
        <v>65</v>
      </c>
      <c r="B16" s="27">
        <f>+Datos!D24</f>
        <v>356500</v>
      </c>
      <c r="C16" s="27"/>
      <c r="D16" s="27"/>
      <c r="E16" s="27"/>
    </row>
    <row r="17" spans="1:5" x14ac:dyDescent="0.25">
      <c r="A17" s="26" t="s">
        <v>66</v>
      </c>
      <c r="B17" s="27">
        <v>0</v>
      </c>
      <c r="C17" s="27"/>
      <c r="D17" s="27"/>
      <c r="E17" s="27"/>
    </row>
    <row r="18" spans="1:5" x14ac:dyDescent="0.25">
      <c r="A18" s="26" t="s">
        <v>21</v>
      </c>
      <c r="B18" s="27">
        <f>0.07*SUM(B7:B17)</f>
        <v>792287.58000000007</v>
      </c>
      <c r="C18" s="27">
        <f>0.07*SUM(C7:C17)</f>
        <v>0</v>
      </c>
      <c r="D18" s="27">
        <f>0.07*SUM(D7:D17)</f>
        <v>11487.000000000002</v>
      </c>
      <c r="E18" s="27">
        <f>0.07*SUM(E7:E17)</f>
        <v>0</v>
      </c>
    </row>
    <row r="19" spans="1:5" x14ac:dyDescent="0.25">
      <c r="A19" s="26"/>
      <c r="B19" s="27"/>
      <c r="C19" s="27"/>
      <c r="D19" s="27"/>
      <c r="E19" s="27"/>
    </row>
    <row r="20" spans="1:5" ht="13" x14ac:dyDescent="0.3">
      <c r="A20" s="24" t="s">
        <v>67</v>
      </c>
      <c r="B20" s="27">
        <f>+SUM(B7:B18)</f>
        <v>12110681.58</v>
      </c>
      <c r="C20" s="27">
        <f>+SUM(C7:C18)</f>
        <v>0</v>
      </c>
      <c r="D20" s="27">
        <f>+SUM(D7:D18)</f>
        <v>175587</v>
      </c>
      <c r="E20" s="27">
        <f>+SUM(E7:E18)</f>
        <v>0</v>
      </c>
    </row>
    <row r="21" spans="1:5" x14ac:dyDescent="0.25">
      <c r="A21" s="26"/>
      <c r="B21" s="29"/>
      <c r="C21" s="29"/>
      <c r="D21" s="29"/>
      <c r="E21" s="29"/>
    </row>
    <row r="22" spans="1:5" ht="13" x14ac:dyDescent="0.3">
      <c r="A22" s="24" t="s">
        <v>68</v>
      </c>
      <c r="B22" s="29"/>
      <c r="C22" s="29"/>
      <c r="D22" s="29"/>
      <c r="E22" s="29"/>
    </row>
    <row r="23" spans="1:5" x14ac:dyDescent="0.25">
      <c r="A23" s="26" t="s">
        <v>69</v>
      </c>
      <c r="B23" s="27">
        <v>25000</v>
      </c>
      <c r="C23" s="27"/>
      <c r="D23" s="27"/>
      <c r="E23" s="27"/>
    </row>
    <row r="24" spans="1:5" x14ac:dyDescent="0.25">
      <c r="A24" s="26" t="s">
        <v>70</v>
      </c>
      <c r="B24" s="27">
        <v>20000</v>
      </c>
      <c r="C24" s="27"/>
      <c r="D24" s="27"/>
      <c r="E24" s="27"/>
    </row>
    <row r="25" spans="1:5" x14ac:dyDescent="0.25">
      <c r="A25" s="26" t="s">
        <v>71</v>
      </c>
      <c r="B25" s="27">
        <v>25000</v>
      </c>
      <c r="C25" s="27"/>
      <c r="D25" s="27"/>
      <c r="E25" s="27"/>
    </row>
    <row r="26" spans="1:5" x14ac:dyDescent="0.25">
      <c r="A26" s="28" t="s">
        <v>72</v>
      </c>
      <c r="B26" s="27"/>
      <c r="C26" s="27">
        <f>+'E-Costos'!G35</f>
        <v>87468.89206762785</v>
      </c>
      <c r="D26" s="27"/>
      <c r="E26" s="27"/>
    </row>
    <row r="27" spans="1:5" x14ac:dyDescent="0.25">
      <c r="A27" s="28" t="s">
        <v>73</v>
      </c>
      <c r="B27" s="27">
        <v>0</v>
      </c>
      <c r="C27" s="27"/>
      <c r="D27" s="27"/>
      <c r="E27" s="27"/>
    </row>
    <row r="28" spans="1:5" x14ac:dyDescent="0.25">
      <c r="A28" s="28" t="s">
        <v>74</v>
      </c>
      <c r="B28" s="27">
        <v>0</v>
      </c>
      <c r="C28" s="27"/>
      <c r="D28" s="27"/>
      <c r="E28" s="27"/>
    </row>
    <row r="29" spans="1:5" x14ac:dyDescent="0.25">
      <c r="A29" s="26" t="s">
        <v>21</v>
      </c>
      <c r="B29" s="27">
        <f>+SUM(B23:C28)*InfoInicial!B15</f>
        <v>11022.822444733951</v>
      </c>
      <c r="C29" s="27"/>
      <c r="D29" s="27"/>
      <c r="E29" s="27"/>
    </row>
    <row r="30" spans="1:5" x14ac:dyDescent="0.25">
      <c r="A30" s="26"/>
      <c r="B30" s="27"/>
      <c r="C30" s="27"/>
      <c r="D30" s="27"/>
      <c r="E30" s="27"/>
    </row>
    <row r="31" spans="1:5" ht="13" x14ac:dyDescent="0.3">
      <c r="A31" s="24" t="s">
        <v>75</v>
      </c>
      <c r="B31" s="234">
        <f>+SUM(B23:B29)</f>
        <v>81022.822444733945</v>
      </c>
      <c r="C31" s="234">
        <f>+SUM(C23:C29)</f>
        <v>87468.89206762785</v>
      </c>
      <c r="D31" s="234">
        <f>+SUM(D23:D29)</f>
        <v>0</v>
      </c>
      <c r="E31" s="234">
        <f>+SUM(E23:E29)</f>
        <v>0</v>
      </c>
    </row>
    <row r="32" spans="1:5" x14ac:dyDescent="0.25">
      <c r="A32" s="26"/>
      <c r="B32" s="29"/>
      <c r="C32" s="29"/>
      <c r="D32" s="29"/>
      <c r="E32" s="29"/>
    </row>
    <row r="33" spans="1:11" ht="13" x14ac:dyDescent="0.3">
      <c r="A33" s="24" t="s">
        <v>76</v>
      </c>
      <c r="B33" s="27">
        <f>+B20+B31</f>
        <v>12191704.402444733</v>
      </c>
      <c r="C33" s="27">
        <f>+C20+C31</f>
        <v>87468.89206762785</v>
      </c>
      <c r="D33" s="27">
        <f>+D20+D31</f>
        <v>175587</v>
      </c>
      <c r="E33" s="27">
        <f>+E20+E31</f>
        <v>0</v>
      </c>
    </row>
    <row r="34" spans="1:11" ht="13" x14ac:dyDescent="0.3">
      <c r="A34" s="24" t="s">
        <v>77</v>
      </c>
      <c r="B34" s="27">
        <f>+(B33+D33)*InfoInicial!$B$3</f>
        <v>2597131.194513394</v>
      </c>
      <c r="C34" s="27">
        <f>+(C33)*InfoInicial!$B$3</f>
        <v>18368.467334201847</v>
      </c>
      <c r="D34" s="27"/>
      <c r="E34" s="27"/>
    </row>
    <row r="35" spans="1:11" x14ac:dyDescent="0.25">
      <c r="A35" s="26"/>
      <c r="B35" s="29"/>
      <c r="C35" s="29"/>
      <c r="D35" s="29"/>
      <c r="E35" s="29"/>
    </row>
    <row r="36" spans="1:11" ht="13.5" thickBot="1" x14ac:dyDescent="0.35">
      <c r="A36" s="30" t="s">
        <v>78</v>
      </c>
      <c r="B36" s="232">
        <f>+B33+B34</f>
        <v>14788835.596958127</v>
      </c>
      <c r="C36" s="232">
        <f>+C33+C34</f>
        <v>105837.3594018297</v>
      </c>
      <c r="D36" s="232">
        <f>+D33+D34</f>
        <v>175587</v>
      </c>
      <c r="E36" s="31">
        <f>+E33+E34</f>
        <v>0</v>
      </c>
    </row>
    <row r="37" spans="1:11" ht="13" thickTop="1" x14ac:dyDescent="0.25"/>
    <row r="38" spans="1:11" ht="13" thickBot="1" x14ac:dyDescent="0.3"/>
    <row r="39" spans="1:11" ht="13.5" thickTop="1" x14ac:dyDescent="0.3">
      <c r="A39" s="32" t="s">
        <v>79</v>
      </c>
      <c r="B39" s="17" t="s">
        <v>80</v>
      </c>
      <c r="C39" s="17" t="s">
        <v>81</v>
      </c>
      <c r="D39" s="514" t="s">
        <v>82</v>
      </c>
      <c r="E39" s="514"/>
      <c r="F39" s="514"/>
      <c r="G39" s="33" t="s">
        <v>83</v>
      </c>
      <c r="I39" s="512" t="s">
        <v>450</v>
      </c>
      <c r="J39" s="512" t="s">
        <v>451</v>
      </c>
      <c r="K39" s="512" t="s">
        <v>452</v>
      </c>
    </row>
    <row r="40" spans="1:11" ht="13.5" thickBot="1" x14ac:dyDescent="0.35">
      <c r="A40" s="34"/>
      <c r="B40" s="20" t="s">
        <v>84</v>
      </c>
      <c r="C40" s="20"/>
      <c r="D40" s="20" t="s">
        <v>85</v>
      </c>
      <c r="E40" s="20" t="s">
        <v>86</v>
      </c>
      <c r="F40" s="20"/>
      <c r="G40" s="35"/>
      <c r="I40" s="513"/>
      <c r="J40" s="513"/>
      <c r="K40" s="513"/>
    </row>
    <row r="41" spans="1:11" ht="13.5" thickTop="1" x14ac:dyDescent="0.3">
      <c r="A41" s="36" t="s">
        <v>87</v>
      </c>
      <c r="B41" s="37"/>
      <c r="C41" s="37"/>
      <c r="D41" s="37"/>
      <c r="E41" s="37"/>
      <c r="F41" s="38"/>
      <c r="G41" s="39"/>
      <c r="I41" s="237"/>
      <c r="J41" s="237"/>
      <c r="K41" s="237"/>
    </row>
    <row r="42" spans="1:11" ht="13" x14ac:dyDescent="0.3">
      <c r="A42" s="40"/>
      <c r="B42" s="41"/>
      <c r="C42" s="41"/>
      <c r="D42" s="41"/>
      <c r="E42" s="41"/>
      <c r="F42" s="42"/>
      <c r="G42" s="43"/>
      <c r="I42" s="237"/>
      <c r="J42" s="237"/>
      <c r="K42" s="237"/>
    </row>
    <row r="43" spans="1:11" x14ac:dyDescent="0.25">
      <c r="A43" s="26" t="s">
        <v>56</v>
      </c>
      <c r="B43" s="27">
        <f>+B7</f>
        <v>1973400</v>
      </c>
      <c r="C43" s="227">
        <v>0</v>
      </c>
      <c r="D43" s="27">
        <f>+$B43*$C43</f>
        <v>0</v>
      </c>
      <c r="E43" s="27">
        <f>+$B43*$C43</f>
        <v>0</v>
      </c>
      <c r="F43" s="27"/>
      <c r="G43" s="44">
        <f>+B43-D43*3-E43*2</f>
        <v>1973400</v>
      </c>
      <c r="I43" s="27">
        <f>0.8*D43</f>
        <v>0</v>
      </c>
      <c r="J43" s="238">
        <f>1-I43-K43</f>
        <v>0.9</v>
      </c>
      <c r="K43" s="238">
        <v>0.1</v>
      </c>
    </row>
    <row r="44" spans="1:11" x14ac:dyDescent="0.25">
      <c r="A44" s="26" t="s">
        <v>57</v>
      </c>
      <c r="B44" s="27">
        <f>+B8</f>
        <v>7893600</v>
      </c>
      <c r="C44" s="227">
        <f>1/InfoInicial!B8</f>
        <v>3.3333333333333333E-2</v>
      </c>
      <c r="D44" s="27">
        <f t="shared" ref="D44:E50" si="0">+$B44*$C44</f>
        <v>263120</v>
      </c>
      <c r="E44" s="27">
        <f t="shared" si="0"/>
        <v>263120</v>
      </c>
      <c r="F44" s="27"/>
      <c r="G44" s="44">
        <f>+B44-D44*3-E44*2</f>
        <v>6578000</v>
      </c>
      <c r="I44" s="27">
        <f>0.8*D44</f>
        <v>210496</v>
      </c>
      <c r="J44" s="238">
        <f>1-I44-K44</f>
        <v>-210495.1</v>
      </c>
      <c r="K44" s="238">
        <f>+K43</f>
        <v>0.1</v>
      </c>
    </row>
    <row r="45" spans="1:11" x14ac:dyDescent="0.25">
      <c r="A45" s="26" t="s">
        <v>58</v>
      </c>
      <c r="B45" s="27">
        <f>+B9</f>
        <v>630000</v>
      </c>
      <c r="C45" s="227">
        <f>1/InfoInicial!B9</f>
        <v>0.1</v>
      </c>
      <c r="D45" s="27">
        <f t="shared" si="0"/>
        <v>63000</v>
      </c>
      <c r="E45" s="27">
        <f t="shared" si="0"/>
        <v>63000</v>
      </c>
      <c r="F45" s="27"/>
      <c r="G45" s="44">
        <f>+B45-D45*3-E45*2</f>
        <v>315000</v>
      </c>
      <c r="I45" s="27">
        <f t="shared" ref="I45:I50" si="1">0.8*D45</f>
        <v>50400</v>
      </c>
      <c r="J45" s="238">
        <f>1-I45-K45</f>
        <v>-50399.1</v>
      </c>
      <c r="K45" s="238">
        <f>+K43</f>
        <v>0.1</v>
      </c>
    </row>
    <row r="46" spans="1:11" x14ac:dyDescent="0.25">
      <c r="A46" s="28" t="s">
        <v>59</v>
      </c>
      <c r="B46" s="27">
        <f>D14+B13+B14+Datos!D9</f>
        <v>606310</v>
      </c>
      <c r="C46" s="227">
        <f>1/InfoInicial!B10</f>
        <v>0.1</v>
      </c>
      <c r="D46" s="27">
        <f t="shared" si="0"/>
        <v>60631</v>
      </c>
      <c r="E46" s="27">
        <f t="shared" si="0"/>
        <v>60631</v>
      </c>
      <c r="F46" s="27"/>
      <c r="G46" s="44">
        <f t="shared" ref="G46:G50" si="2">+B46-D46*3-E46*2</f>
        <v>303155</v>
      </c>
      <c r="I46" s="27">
        <f>D46</f>
        <v>60631</v>
      </c>
      <c r="J46" s="238">
        <v>0</v>
      </c>
      <c r="K46" s="238">
        <v>0</v>
      </c>
    </row>
    <row r="47" spans="1:11" x14ac:dyDescent="0.25">
      <c r="A47" s="28" t="s">
        <v>64</v>
      </c>
      <c r="B47" s="27">
        <f>+B15</f>
        <v>11342</v>
      </c>
      <c r="C47" s="227">
        <f>1/InfoInicial!B11</f>
        <v>0.2</v>
      </c>
      <c r="D47" s="27">
        <f t="shared" si="0"/>
        <v>2268.4</v>
      </c>
      <c r="E47" s="27">
        <f t="shared" si="0"/>
        <v>2268.4</v>
      </c>
      <c r="F47" s="27"/>
      <c r="G47" s="44">
        <f t="shared" si="2"/>
        <v>0</v>
      </c>
      <c r="I47" s="27">
        <f t="shared" si="1"/>
        <v>1814.7200000000003</v>
      </c>
      <c r="J47" s="238">
        <v>0</v>
      </c>
      <c r="K47" s="239">
        <f>1-I47</f>
        <v>-1813.7200000000003</v>
      </c>
    </row>
    <row r="48" spans="1:11" x14ac:dyDescent="0.25">
      <c r="A48" s="28" t="s">
        <v>65</v>
      </c>
      <c r="B48" s="27">
        <f>B16</f>
        <v>356500</v>
      </c>
      <c r="C48" s="227">
        <f>1/InfoInicial!B12</f>
        <v>0.2</v>
      </c>
      <c r="D48" s="27">
        <f t="shared" si="0"/>
        <v>71300</v>
      </c>
      <c r="E48" s="27">
        <f t="shared" si="0"/>
        <v>71300</v>
      </c>
      <c r="F48" s="27"/>
      <c r="G48" s="44">
        <f t="shared" si="2"/>
        <v>0</v>
      </c>
      <c r="I48" s="27">
        <f t="shared" si="1"/>
        <v>57040</v>
      </c>
      <c r="J48" s="238">
        <f>1-I48-K48</f>
        <v>-57039.485630692776</v>
      </c>
      <c r="K48" s="238">
        <f>'[1]Apertura Económica'!G103</f>
        <v>0.48563069277273629</v>
      </c>
    </row>
    <row r="49" spans="1:11" x14ac:dyDescent="0.25">
      <c r="A49" s="28" t="s">
        <v>21</v>
      </c>
      <c r="B49" s="27">
        <f>+B18+D18</f>
        <v>803774.58000000007</v>
      </c>
      <c r="C49" s="227">
        <f>1/InfoInicial!B14</f>
        <v>0.2</v>
      </c>
      <c r="D49" s="27">
        <f t="shared" si="0"/>
        <v>160754.91600000003</v>
      </c>
      <c r="E49" s="27">
        <f t="shared" si="0"/>
        <v>160754.91600000003</v>
      </c>
      <c r="F49" s="27"/>
      <c r="G49" s="44">
        <f>+B49-(D49*3)-(E49*2)</f>
        <v>0</v>
      </c>
      <c r="I49" s="27">
        <f t="shared" si="1"/>
        <v>128603.93280000002</v>
      </c>
      <c r="J49" s="238">
        <f>1-I49-K49</f>
        <v>-128030.35352548196</v>
      </c>
      <c r="K49" s="238">
        <f>+SUMPRODUCT(C43:C48,K43:K48)/SUM(C43:C48)</f>
        <v>-572.579274518072</v>
      </c>
    </row>
    <row r="50" spans="1:11" x14ac:dyDescent="0.25">
      <c r="A50" s="28" t="s">
        <v>88</v>
      </c>
      <c r="B50" s="27">
        <f>+Datos!F9</f>
        <v>11342</v>
      </c>
      <c r="C50" s="227">
        <f>1/InfoInicial!B13</f>
        <v>0.33333333333333331</v>
      </c>
      <c r="D50" s="27">
        <f t="shared" si="0"/>
        <v>3780.6666666666665</v>
      </c>
      <c r="E50" s="27">
        <v>0</v>
      </c>
      <c r="F50" s="27"/>
      <c r="G50" s="44">
        <f t="shared" si="2"/>
        <v>0</v>
      </c>
      <c r="I50" s="27">
        <f t="shared" si="1"/>
        <v>3024.5333333333333</v>
      </c>
      <c r="J50" s="238">
        <v>0</v>
      </c>
      <c r="K50" s="238">
        <v>0</v>
      </c>
    </row>
    <row r="51" spans="1:11" ht="13" x14ac:dyDescent="0.3">
      <c r="A51" s="45" t="s">
        <v>89</v>
      </c>
      <c r="B51" s="236">
        <f>+SUM(B43:B50)</f>
        <v>12286268.58</v>
      </c>
      <c r="C51" s="235"/>
      <c r="D51" s="234">
        <f>+SUM(D43:D50)</f>
        <v>624854.98266666674</v>
      </c>
      <c r="E51" s="234">
        <f>+SUM(E43:E50)</f>
        <v>621074.31600000011</v>
      </c>
      <c r="F51" s="236"/>
      <c r="G51" s="236">
        <f>+SUM(G43:G50)</f>
        <v>9169555</v>
      </c>
      <c r="I51" s="238"/>
      <c r="J51" s="238"/>
      <c r="K51" s="238"/>
    </row>
    <row r="52" spans="1:11" ht="13" x14ac:dyDescent="0.3">
      <c r="A52" s="24"/>
      <c r="B52" s="46"/>
      <c r="C52" s="228"/>
      <c r="D52" s="47"/>
      <c r="E52" s="47"/>
      <c r="F52" s="47"/>
      <c r="G52" s="48"/>
      <c r="I52" s="238"/>
      <c r="J52" s="238"/>
      <c r="K52" s="238"/>
    </row>
    <row r="53" spans="1:11" ht="13" x14ac:dyDescent="0.3">
      <c r="A53" s="45" t="s">
        <v>90</v>
      </c>
      <c r="B53" s="234">
        <f>+B31+C31</f>
        <v>168491.7145123618</v>
      </c>
      <c r="C53" s="235">
        <f>1/InfoInicial!B14</f>
        <v>0.2</v>
      </c>
      <c r="D53" s="234">
        <f>+B53*C53</f>
        <v>33698.342902472359</v>
      </c>
      <c r="E53" s="234">
        <f>+B53*C53</f>
        <v>33698.342902472359</v>
      </c>
      <c r="F53" s="234"/>
      <c r="G53" s="44">
        <f>+B53-(D53*3)-(E53*2)</f>
        <v>0</v>
      </c>
      <c r="I53" s="238">
        <f>+I43</f>
        <v>0</v>
      </c>
      <c r="J53" s="239">
        <f>1-I53-K53</f>
        <v>0.9</v>
      </c>
      <c r="K53" s="238">
        <f>+K43</f>
        <v>0.1</v>
      </c>
    </row>
    <row r="54" spans="1:11" ht="13" x14ac:dyDescent="0.3">
      <c r="A54" s="45"/>
      <c r="B54" s="27"/>
      <c r="C54" s="227"/>
      <c r="D54" s="27"/>
      <c r="E54" s="27"/>
      <c r="F54" s="27"/>
      <c r="G54" s="44"/>
      <c r="I54" s="238"/>
      <c r="J54" s="238"/>
      <c r="K54" s="238"/>
    </row>
    <row r="55" spans="1:11" ht="13" x14ac:dyDescent="0.3">
      <c r="A55" s="24"/>
      <c r="B55" s="25"/>
      <c r="C55" s="229"/>
      <c r="D55" s="49"/>
      <c r="E55" s="50"/>
      <c r="F55" s="50"/>
      <c r="G55" s="51"/>
      <c r="H55" s="52"/>
      <c r="I55" s="238"/>
      <c r="J55" s="238"/>
      <c r="K55" s="238"/>
    </row>
    <row r="56" spans="1:11" ht="13.5" thickBot="1" x14ac:dyDescent="0.35">
      <c r="A56" s="30" t="s">
        <v>91</v>
      </c>
      <c r="B56" s="232">
        <f>+B51+B53</f>
        <v>12454760.294512361</v>
      </c>
      <c r="C56" s="233"/>
      <c r="D56" s="232">
        <f>+D51+D53</f>
        <v>658553.3255691391</v>
      </c>
      <c r="E56" s="232">
        <f>+E51+E53</f>
        <v>654772.65890247247</v>
      </c>
      <c r="F56" s="232"/>
      <c r="G56" s="232">
        <f>+G51+G53</f>
        <v>9169555</v>
      </c>
      <c r="H56" s="53"/>
      <c r="I56" s="240"/>
      <c r="J56" s="240"/>
      <c r="K56" s="240"/>
    </row>
    <row r="57" spans="1:11" ht="13" thickTop="1" x14ac:dyDescent="0.25"/>
  </sheetData>
  <sheetProtection selectLockedCells="1" selectUnlockedCells="1"/>
  <mergeCells count="6">
    <mergeCell ref="K39:K40"/>
    <mergeCell ref="B3:C3"/>
    <mergeCell ref="D3:E3"/>
    <mergeCell ref="D39:F39"/>
    <mergeCell ref="I39:I40"/>
    <mergeCell ref="J39:J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180"/>
  <sheetViews>
    <sheetView topLeftCell="A102" zoomScale="90" zoomScaleNormal="90" workbookViewId="0">
      <selection activeCell="F138" sqref="F138"/>
    </sheetView>
  </sheetViews>
  <sheetFormatPr baseColWidth="10" defaultColWidth="11.453125" defaultRowHeight="12.5" x14ac:dyDescent="0.25"/>
  <cols>
    <col min="1" max="1" width="40.81640625" style="15" customWidth="1"/>
    <col min="2" max="2" width="37" style="15" bestFit="1" customWidth="1"/>
    <col min="3" max="6" width="16" style="15" bestFit="1" customWidth="1"/>
    <col min="7" max="7" width="17.453125" style="15" customWidth="1"/>
    <col min="8" max="16384" width="11.453125" style="15"/>
  </cols>
  <sheetData>
    <row r="3" spans="1:6" ht="13" x14ac:dyDescent="0.3">
      <c r="A3" s="1" t="s">
        <v>0</v>
      </c>
      <c r="B3"/>
      <c r="C3"/>
      <c r="D3"/>
      <c r="E3" s="2">
        <f>InfoInicial!E1</f>
        <v>8</v>
      </c>
    </row>
    <row r="4" spans="1:6" ht="15.5" x14ac:dyDescent="0.35">
      <c r="A4" s="54" t="s">
        <v>92</v>
      </c>
      <c r="B4" s="55"/>
      <c r="C4" s="55"/>
      <c r="D4" s="55"/>
      <c r="E4" s="55"/>
      <c r="F4" s="56"/>
    </row>
    <row r="5" spans="1:6" ht="13" x14ac:dyDescent="0.3">
      <c r="A5" s="57"/>
      <c r="B5" s="58" t="s">
        <v>93</v>
      </c>
      <c r="C5" s="58"/>
      <c r="D5" s="58"/>
      <c r="E5" s="58"/>
      <c r="F5" s="59"/>
    </row>
    <row r="6" spans="1:6" ht="13" x14ac:dyDescent="0.3">
      <c r="A6" s="57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</row>
    <row r="7" spans="1:6" x14ac:dyDescent="0.25">
      <c r="A7" s="22" t="s">
        <v>99</v>
      </c>
      <c r="B7" s="60">
        <f>+Datos!I37</f>
        <v>1442121.7536000002</v>
      </c>
      <c r="C7" s="60">
        <f>+Datos!$I$36</f>
        <v>1576105.3440000003</v>
      </c>
      <c r="D7" s="60">
        <f>+Datos!$I$36</f>
        <v>1576105.3440000003</v>
      </c>
      <c r="E7" s="60">
        <f>+Datos!$I$36</f>
        <v>1576105.3440000003</v>
      </c>
      <c r="F7" s="60">
        <f>+Datos!$I$36</f>
        <v>1576105.3440000003</v>
      </c>
    </row>
    <row r="8" spans="1:6" x14ac:dyDescent="0.25">
      <c r="A8" s="26" t="s">
        <v>100</v>
      </c>
      <c r="B8" s="62">
        <f>Datos!B47*6*0.9</f>
        <v>94500</v>
      </c>
      <c r="C8" s="62">
        <f>Datos!$B$47*6</f>
        <v>105000</v>
      </c>
      <c r="D8" s="62">
        <f>Datos!$B$47*6</f>
        <v>105000</v>
      </c>
      <c r="E8" s="62">
        <f>Datos!$B$47*6</f>
        <v>105000</v>
      </c>
      <c r="F8" s="62">
        <f>Datos!$B$47*6</f>
        <v>105000</v>
      </c>
    </row>
    <row r="9" spans="1:6" x14ac:dyDescent="0.25">
      <c r="A9" s="26" t="s">
        <v>101</v>
      </c>
      <c r="B9" s="62"/>
      <c r="C9" s="62"/>
      <c r="D9" s="62"/>
      <c r="E9" s="62"/>
      <c r="F9" s="62"/>
    </row>
    <row r="10" spans="1:6" x14ac:dyDescent="0.25">
      <c r="A10" s="26" t="s">
        <v>102</v>
      </c>
      <c r="B10" s="62">
        <f>+'E-Inv AF y Am'!$D$56*0.9</f>
        <v>592697.99301222526</v>
      </c>
      <c r="C10" s="62">
        <f>+'E-Inv AF y Am'!$D$56*0.9</f>
        <v>592697.99301222526</v>
      </c>
      <c r="D10" s="62">
        <f>+'E-Inv AF y Am'!$D$56*0.9</f>
        <v>592697.99301222526</v>
      </c>
      <c r="E10" s="62">
        <f>+'E-Inv AF y Am'!$E$56*0.9</f>
        <v>589295.39301222528</v>
      </c>
      <c r="F10" s="62">
        <f>+'E-Inv AF y Am'!$E$56*0.9</f>
        <v>589295.39301222528</v>
      </c>
    </row>
    <row r="11" spans="1:6" x14ac:dyDescent="0.25">
      <c r="A11" s="26" t="s">
        <v>103</v>
      </c>
      <c r="B11" s="62">
        <f>+Datos!$B$47*0.9</f>
        <v>15750</v>
      </c>
      <c r="C11" s="62">
        <f>+Datos!$B$47</f>
        <v>17500</v>
      </c>
      <c r="D11" s="62">
        <f>+Datos!$B$47</f>
        <v>17500</v>
      </c>
      <c r="E11" s="62">
        <f>+Datos!$B$47</f>
        <v>17500</v>
      </c>
      <c r="F11" s="62">
        <f>+Datos!$B$47</f>
        <v>17500</v>
      </c>
    </row>
    <row r="12" spans="1:6" x14ac:dyDescent="0.25">
      <c r="A12" s="26" t="s">
        <v>104</v>
      </c>
      <c r="B12" s="62">
        <f>+'E-Inv AF y Am'!$B$20*0.02*0.9</f>
        <v>217992.26843999999</v>
      </c>
      <c r="C12" s="62">
        <f>+'E-Inv AF y Am'!$B$20*0.02</f>
        <v>242213.63159999999</v>
      </c>
      <c r="D12" s="62">
        <f>+'E-Inv AF y Am'!$B$20*0.02</f>
        <v>242213.63159999999</v>
      </c>
      <c r="E12" s="62">
        <f>+'E-Inv AF y Am'!$B$20*0.02</f>
        <v>242213.63159999999</v>
      </c>
      <c r="F12" s="62">
        <f>+'E-Inv AF y Am'!$B$20*0.02</f>
        <v>242213.63159999999</v>
      </c>
    </row>
    <row r="13" spans="1:6" x14ac:dyDescent="0.25">
      <c r="A13" s="26" t="s">
        <v>105</v>
      </c>
      <c r="B13" s="62">
        <f>+Datos!$B$63*0.9*0.9</f>
        <v>680400</v>
      </c>
      <c r="C13" s="62">
        <f>+Datos!$B$63*0.9</f>
        <v>756000</v>
      </c>
      <c r="D13" s="62">
        <f>+Datos!$B$63*0.9</f>
        <v>756000</v>
      </c>
      <c r="E13" s="62">
        <f>+Datos!$B$63*0.9</f>
        <v>756000</v>
      </c>
      <c r="F13" s="62">
        <f>+Datos!$B$63*0.9</f>
        <v>756000</v>
      </c>
    </row>
    <row r="14" spans="1:6" x14ac:dyDescent="0.25">
      <c r="A14" s="26" t="s">
        <v>106</v>
      </c>
      <c r="B14" s="62">
        <f>+Datos!$B$64*0.8</f>
        <v>22800</v>
      </c>
      <c r="C14" s="62">
        <f>+Datos!$B$64</f>
        <v>28500</v>
      </c>
      <c r="D14" s="62">
        <f>+Datos!$B$64</f>
        <v>28500</v>
      </c>
      <c r="E14" s="62">
        <f>+Datos!$B$64</f>
        <v>28500</v>
      </c>
      <c r="F14" s="62">
        <f>+Datos!$B$64</f>
        <v>28500</v>
      </c>
    </row>
    <row r="15" spans="1:6" x14ac:dyDescent="0.25">
      <c r="A15" s="26" t="s">
        <v>107</v>
      </c>
      <c r="B15" s="62">
        <f>+('E-Inv AF y Am'!$B$7+'E-Inv AF y Am'!$B$8)*0.008*0.9</f>
        <v>71042.400000000009</v>
      </c>
      <c r="C15" s="62">
        <f>+('E-Inv AF y Am'!$B$7+'E-Inv AF y Am'!$B$8)*0.008*0.9</f>
        <v>71042.400000000009</v>
      </c>
      <c r="D15" s="62">
        <f>+('E-Inv AF y Am'!$B$7+'E-Inv AF y Am'!$B$8)*0.008*0.9</f>
        <v>71042.400000000009</v>
      </c>
      <c r="E15" s="62">
        <f>+('E-Inv AF y Am'!$B$7+'E-Inv AF y Am'!$B$8)*0.008*0.9</f>
        <v>71042.400000000009</v>
      </c>
      <c r="F15" s="62">
        <f>+('E-Inv AF y Am'!$B$7+'E-Inv AF y Am'!$B$8)*0.008*0.9</f>
        <v>71042.400000000009</v>
      </c>
    </row>
    <row r="16" spans="1:6" x14ac:dyDescent="0.25">
      <c r="A16" s="26" t="s">
        <v>21</v>
      </c>
      <c r="B16" s="62">
        <f>+SUM(B7:B15)*InfoInicial!$B$15</f>
        <v>219611.3090536558</v>
      </c>
      <c r="C16" s="62">
        <f>+SUM(C7:C15)*InfoInicial!$B$15</f>
        <v>237234.15580285582</v>
      </c>
      <c r="D16" s="62">
        <f>+SUM(D7:D15)*InfoInicial!$B$15</f>
        <v>237234.15580285582</v>
      </c>
      <c r="E16" s="62">
        <f>+SUM(E7:E15)*InfoInicial!$B$15</f>
        <v>236995.97380285582</v>
      </c>
      <c r="F16" s="62">
        <f>+SUM(F7:F15)*InfoInicial!$B$15</f>
        <v>236995.97380285582</v>
      </c>
    </row>
    <row r="17" spans="1:7" ht="13" x14ac:dyDescent="0.3">
      <c r="A17" s="24" t="s">
        <v>108</v>
      </c>
      <c r="B17" s="90">
        <f>+SUM(B7:B16)</f>
        <v>3356915.7241058811</v>
      </c>
      <c r="C17" s="90">
        <f>+SUM(C7:C16)</f>
        <v>3626293.5244150814</v>
      </c>
      <c r="D17" s="90">
        <f>+SUM(D7:D16)</f>
        <v>3626293.5244150814</v>
      </c>
      <c r="E17" s="90">
        <f>+SUM(E7:E16)</f>
        <v>3622652.7424150812</v>
      </c>
      <c r="F17" s="90">
        <f>+SUM(F7:F16)</f>
        <v>3622652.7424150812</v>
      </c>
    </row>
    <row r="18" spans="1:7" x14ac:dyDescent="0.25">
      <c r="A18" s="64"/>
      <c r="B18" s="65"/>
      <c r="C18" s="65"/>
      <c r="D18" s="65"/>
      <c r="E18" s="65"/>
      <c r="F18" s="66"/>
    </row>
    <row r="19" spans="1:7" ht="13" x14ac:dyDescent="0.3">
      <c r="A19" s="67" t="s">
        <v>109</v>
      </c>
      <c r="B19" s="241">
        <f>+(B10+B11+B15+B16)/B17</f>
        <v>0.26783564913753027</v>
      </c>
      <c r="C19" s="241">
        <f>+(C10+C11+C15+C16)/C17</f>
        <v>0.25328190964994496</v>
      </c>
      <c r="D19" s="241">
        <f>+(D10+D11+D15+D16)/D17</f>
        <v>0.25328190964994496</v>
      </c>
      <c r="E19" s="241">
        <f>+(E10+E11+E15+E16)/E17</f>
        <v>0.25253145467241145</v>
      </c>
      <c r="F19" s="241">
        <f>+(F10+F11+F15+F16)/F17</f>
        <v>0.25253145467241145</v>
      </c>
    </row>
    <row r="20" spans="1:7" ht="13" x14ac:dyDescent="0.3">
      <c r="A20" s="34" t="s">
        <v>110</v>
      </c>
      <c r="B20" s="242">
        <f>+(B7+B8+B13+B12+B14)/B17</f>
        <v>0.73216435086246978</v>
      </c>
      <c r="C20" s="242">
        <f>+(C7+C8+C13+C12+C14)/C17</f>
        <v>0.7467180903500551</v>
      </c>
      <c r="D20" s="242">
        <f>+(D7+D8+D13+D12+D14)/D17</f>
        <v>0.7467180903500551</v>
      </c>
      <c r="E20" s="242">
        <f>+(E7+E8+E13+E12+E14)/E17</f>
        <v>0.74746854532758866</v>
      </c>
      <c r="F20" s="242">
        <f>+(F7+F8+F13+F12+F14)/F17</f>
        <v>0.74746854532758866</v>
      </c>
    </row>
    <row r="22" spans="1:7" ht="13" x14ac:dyDescent="0.3">
      <c r="A22" s="312"/>
      <c r="B22" s="313" t="s">
        <v>111</v>
      </c>
      <c r="C22" s="313"/>
      <c r="D22" s="313"/>
      <c r="E22" s="313"/>
      <c r="F22" s="313"/>
      <c r="G22" s="251"/>
    </row>
    <row r="23" spans="1:7" ht="13" x14ac:dyDescent="0.3">
      <c r="A23" s="314"/>
      <c r="B23" s="315" t="s">
        <v>112</v>
      </c>
      <c r="C23" s="315"/>
      <c r="D23" s="315"/>
      <c r="E23" s="315"/>
      <c r="F23" s="315"/>
      <c r="G23" s="252" t="s">
        <v>113</v>
      </c>
    </row>
    <row r="24" spans="1:7" ht="13" x14ac:dyDescent="0.3">
      <c r="A24" s="314" t="s">
        <v>94</v>
      </c>
      <c r="B24" s="316" t="s">
        <v>54</v>
      </c>
      <c r="C24" s="316" t="s">
        <v>95</v>
      </c>
      <c r="D24" s="316" t="s">
        <v>96</v>
      </c>
      <c r="E24" s="316" t="s">
        <v>97</v>
      </c>
      <c r="F24" s="316" t="s">
        <v>98</v>
      </c>
      <c r="G24" s="253" t="s">
        <v>54</v>
      </c>
    </row>
    <row r="25" spans="1:7" x14ac:dyDescent="0.25">
      <c r="A25" s="317" t="s">
        <v>99</v>
      </c>
      <c r="B25" s="318">
        <f>+Datos!$I$38</f>
        <v>9006.4656000000014</v>
      </c>
      <c r="C25" s="318">
        <f>+Datos!$I$38</f>
        <v>9006.4656000000014</v>
      </c>
      <c r="D25" s="318">
        <f>+Datos!$I$38</f>
        <v>9006.4656000000014</v>
      </c>
      <c r="E25" s="318">
        <f>+Datos!$I$38</f>
        <v>9006.4656000000014</v>
      </c>
      <c r="F25" s="318">
        <f>+Datos!$I$38</f>
        <v>9006.4656000000014</v>
      </c>
      <c r="G25" s="254">
        <f>+Datos!J138*Datos!J136</f>
        <v>71799.452248205431</v>
      </c>
    </row>
    <row r="26" spans="1:7" x14ac:dyDescent="0.25">
      <c r="A26" s="319" t="s">
        <v>100</v>
      </c>
      <c r="B26" s="320">
        <f>(Datos!G93)</f>
        <v>270.01970083910982</v>
      </c>
      <c r="C26" s="320">
        <f>(Datos!$G$94)</f>
        <v>344.89179667840972</v>
      </c>
      <c r="D26" s="320">
        <f>(Datos!$G$94)</f>
        <v>344.89179667840972</v>
      </c>
      <c r="E26" s="320">
        <f>(Datos!$G$94)</f>
        <v>344.89179667840972</v>
      </c>
      <c r="F26" s="320">
        <f>(Datos!$G$94)</f>
        <v>344.89179667840972</v>
      </c>
      <c r="G26" s="250">
        <f>+Datos!J140</f>
        <v>4704.9066561250802</v>
      </c>
    </row>
    <row r="27" spans="1:7" x14ac:dyDescent="0.25">
      <c r="A27" s="319" t="s">
        <v>101</v>
      </c>
      <c r="B27" s="321"/>
      <c r="C27" s="321"/>
      <c r="D27" s="321"/>
      <c r="E27" s="321"/>
      <c r="F27" s="321"/>
      <c r="G27" s="255"/>
    </row>
    <row r="28" spans="1:7" x14ac:dyDescent="0.25">
      <c r="A28" s="319" t="s">
        <v>102</v>
      </c>
      <c r="B28" s="320">
        <f>(Datos!$F$100)</f>
        <v>1946.8254828349893</v>
      </c>
      <c r="C28" s="320">
        <f>(Datos!$G$100)</f>
        <v>1693.5463995883797</v>
      </c>
      <c r="D28" s="320">
        <f>(Datos!$G$100)</f>
        <v>1693.5463995883797</v>
      </c>
      <c r="E28" s="320">
        <f>(Datos!$H$100)</f>
        <v>1683.8239759473729</v>
      </c>
      <c r="F28" s="320">
        <f>(Datos!$H$100)</f>
        <v>1683.8239759473729</v>
      </c>
      <c r="G28" s="250"/>
    </row>
    <row r="29" spans="1:7" x14ac:dyDescent="0.25">
      <c r="A29" s="319" t="s">
        <v>103</v>
      </c>
      <c r="B29" s="320">
        <f>(Datos!G105)</f>
        <v>44.71162210752189</v>
      </c>
      <c r="C29" s="320">
        <f>(Datos!$G$106)</f>
        <v>45.45635447068188</v>
      </c>
      <c r="D29" s="320">
        <f>(Datos!$G$106)</f>
        <v>45.45635447068188</v>
      </c>
      <c r="E29" s="320">
        <f>(Datos!$G$106)</f>
        <v>45.45635447068188</v>
      </c>
      <c r="F29" s="320">
        <f>(Datos!$G$106)</f>
        <v>45.45635447068188</v>
      </c>
      <c r="G29" s="250"/>
    </row>
    <row r="30" spans="1:7" x14ac:dyDescent="0.25">
      <c r="A30" s="319" t="s">
        <v>104</v>
      </c>
      <c r="B30" s="320">
        <f>(Datos!G113)</f>
        <v>716.03566785022645</v>
      </c>
      <c r="C30" s="320">
        <f>(Datos!$G$114)</f>
        <v>692.08944279139007</v>
      </c>
      <c r="D30" s="320">
        <f>(Datos!$G$114)</f>
        <v>692.08944279139007</v>
      </c>
      <c r="E30" s="320">
        <f>(Datos!$G$114)</f>
        <v>692.08944279139007</v>
      </c>
      <c r="F30" s="320">
        <f>(Datos!$G$114)</f>
        <v>692.08944279139007</v>
      </c>
      <c r="G30" s="250">
        <f>+Datos!J142</f>
        <v>10853.262166848266</v>
      </c>
    </row>
    <row r="31" spans="1:7" x14ac:dyDescent="0.25">
      <c r="A31" s="319" t="s">
        <v>114</v>
      </c>
      <c r="B31" s="320">
        <f>(Datos!F122)</f>
        <v>2234.8988424760946</v>
      </c>
      <c r="C31" s="320">
        <f>(Datos!$F$123)</f>
        <v>2160.1576067128785</v>
      </c>
      <c r="D31" s="320">
        <f>(Datos!$F$123)</f>
        <v>2160.1576067128785</v>
      </c>
      <c r="E31" s="320">
        <f>(Datos!$F$123)</f>
        <v>2160.1576067128785</v>
      </c>
      <c r="F31" s="320">
        <f>(Datos!$F$123)</f>
        <v>2160.1576067128785</v>
      </c>
      <c r="G31" s="250">
        <f>+Datos!J144</f>
        <v>111.26974010298427</v>
      </c>
    </row>
    <row r="32" spans="1:7" x14ac:dyDescent="0.25">
      <c r="A32" s="319" t="s">
        <v>115</v>
      </c>
      <c r="B32" s="320">
        <f>(Datos!F130)</f>
        <v>74.89079013588325</v>
      </c>
      <c r="C32" s="320">
        <f>(Datos!$F$131)</f>
        <v>81.434512951477572</v>
      </c>
      <c r="D32" s="320">
        <f>(Datos!$F$131)</f>
        <v>81.434512951477572</v>
      </c>
      <c r="E32" s="320">
        <f>(Datos!$F$131)</f>
        <v>81.434512951477572</v>
      </c>
      <c r="F32" s="320">
        <f>(Datos!$F$131)</f>
        <v>81.434512951477572</v>
      </c>
      <c r="G32" s="250">
        <f>+Datos!J145</f>
        <v>1.2563460851515392E-3</v>
      </c>
    </row>
    <row r="33" spans="1:7" x14ac:dyDescent="0.25">
      <c r="A33" s="319" t="s">
        <v>116</v>
      </c>
      <c r="B33" s="320">
        <f>(Datos!F138)</f>
        <v>233.35181882234531</v>
      </c>
      <c r="C33" s="320">
        <f>(Datos!$F$139)</f>
        <v>202.99309624224742</v>
      </c>
      <c r="D33" s="320">
        <f>(Datos!$F$139)</f>
        <v>202.99309624224742</v>
      </c>
      <c r="E33" s="320">
        <f>(Datos!$F$139)</f>
        <v>202.99309624224742</v>
      </c>
      <c r="F33" s="320">
        <f>(Datos!$F$139)</f>
        <v>202.99309624224742</v>
      </c>
      <c r="G33" s="250"/>
    </row>
    <row r="34" spans="1:7" x14ac:dyDescent="0.25">
      <c r="A34" s="319" t="s">
        <v>117</v>
      </c>
      <c r="B34" s="320">
        <f>+SUM(B25:B33)*InfoInicial!$B$15</f>
        <v>1016.9039667546321</v>
      </c>
      <c r="C34" s="320">
        <f>+SUM(C25:C33)*InfoInicial!$B$15</f>
        <v>995.89243666048276</v>
      </c>
      <c r="D34" s="320">
        <f>+SUM(D25:D33)*InfoInicial!$B$15</f>
        <v>995.89243666048276</v>
      </c>
      <c r="E34" s="320">
        <f>+SUM(E25:E33)*InfoInicial!$B$15</f>
        <v>995.21186700561225</v>
      </c>
      <c r="F34" s="320">
        <f>+SUM(F25:F33)*InfoInicial!$B$15</f>
        <v>995.21186700561225</v>
      </c>
      <c r="G34" s="250"/>
    </row>
    <row r="35" spans="1:7" ht="13" x14ac:dyDescent="0.3">
      <c r="A35" s="322" t="s">
        <v>118</v>
      </c>
      <c r="B35" s="323">
        <f t="shared" ref="B35:F35" si="0">+SUM(B25:B34)</f>
        <v>15544.103491820802</v>
      </c>
      <c r="C35" s="323">
        <f t="shared" si="0"/>
        <v>15222.927246095949</v>
      </c>
      <c r="D35" s="323">
        <f t="shared" si="0"/>
        <v>15222.927246095949</v>
      </c>
      <c r="E35" s="323">
        <f t="shared" si="0"/>
        <v>15212.524252800071</v>
      </c>
      <c r="F35" s="323">
        <f t="shared" si="0"/>
        <v>15212.524252800071</v>
      </c>
      <c r="G35" s="256">
        <f>+SUM(G25:G34)</f>
        <v>87468.89206762785</v>
      </c>
    </row>
    <row r="36" spans="1:7" ht="13" x14ac:dyDescent="0.3">
      <c r="A36" s="72"/>
      <c r="B36" s="73"/>
      <c r="C36" s="73"/>
      <c r="D36" s="73"/>
      <c r="E36" s="73"/>
      <c r="F36" s="73"/>
      <c r="G36" s="73"/>
    </row>
    <row r="37" spans="1:7" ht="13" x14ac:dyDescent="0.3">
      <c r="A37" s="36"/>
      <c r="B37" s="74" t="s">
        <v>119</v>
      </c>
      <c r="C37" s="74"/>
      <c r="D37" s="74"/>
      <c r="E37" s="74"/>
      <c r="F37" s="75"/>
    </row>
    <row r="38" spans="1:7" ht="13" x14ac:dyDescent="0.3">
      <c r="A38" s="34"/>
      <c r="B38" s="71" t="s">
        <v>54</v>
      </c>
      <c r="C38" s="71" t="s">
        <v>95</v>
      </c>
      <c r="D38" s="71" t="s">
        <v>96</v>
      </c>
      <c r="E38" s="71" t="s">
        <v>97</v>
      </c>
      <c r="F38" s="21" t="s">
        <v>98</v>
      </c>
      <c r="G38" s="73"/>
    </row>
    <row r="39" spans="1:7" ht="13" x14ac:dyDescent="0.3">
      <c r="A39" s="40" t="s">
        <v>108</v>
      </c>
      <c r="B39" s="60">
        <f>+B17</f>
        <v>3356915.7241058811</v>
      </c>
      <c r="C39" s="60">
        <f>+C17</f>
        <v>3626293.5244150814</v>
      </c>
      <c r="D39" s="60">
        <f>+D17</f>
        <v>3626293.5244150814</v>
      </c>
      <c r="E39" s="60">
        <f>+E17</f>
        <v>3622652.7424150812</v>
      </c>
      <c r="F39" s="60">
        <f>+F17</f>
        <v>3622652.7424150812</v>
      </c>
      <c r="G39" s="73"/>
    </row>
    <row r="40" spans="1:7" x14ac:dyDescent="0.25">
      <c r="A40" s="26" t="s">
        <v>120</v>
      </c>
      <c r="B40" s="62"/>
      <c r="C40" s="62"/>
      <c r="D40" s="62"/>
      <c r="E40" s="62"/>
      <c r="F40" s="44"/>
      <c r="G40" s="73"/>
    </row>
    <row r="41" spans="1:7" x14ac:dyDescent="0.25">
      <c r="A41" s="26" t="s">
        <v>121</v>
      </c>
      <c r="B41" s="62">
        <f>+G35</f>
        <v>87468.89206762785</v>
      </c>
      <c r="C41" s="62"/>
      <c r="D41" s="62"/>
      <c r="E41" s="62"/>
      <c r="F41" s="44"/>
      <c r="G41" s="73"/>
    </row>
    <row r="42" spans="1:7" x14ac:dyDescent="0.25">
      <c r="A42" s="26" t="s">
        <v>122</v>
      </c>
      <c r="B42" s="62">
        <f>+B35</f>
        <v>15544.103491820802</v>
      </c>
      <c r="C42" s="62">
        <f>+C35-B35</f>
        <v>-321.17624572485329</v>
      </c>
      <c r="D42" s="62">
        <f>+D35-C35</f>
        <v>0</v>
      </c>
      <c r="E42" s="62">
        <f>+E35-D35</f>
        <v>-10.402993295878332</v>
      </c>
      <c r="F42" s="62">
        <f>+F35-E35</f>
        <v>0</v>
      </c>
      <c r="G42" s="73"/>
    </row>
    <row r="43" spans="1:7" ht="13" x14ac:dyDescent="0.3">
      <c r="A43" s="24" t="s">
        <v>123</v>
      </c>
      <c r="B43" s="62">
        <f>+B39-B41-B42</f>
        <v>3253902.7285464322</v>
      </c>
      <c r="C43" s="62">
        <f>+C39-C41-C42</f>
        <v>3626614.7006608061</v>
      </c>
      <c r="D43" s="62">
        <f>+D39-D41-D42</f>
        <v>3626293.5244150814</v>
      </c>
      <c r="E43" s="62">
        <f>+E39-E41-E42</f>
        <v>3622663.1454083771</v>
      </c>
      <c r="F43" s="62">
        <f>+F39-F41-F42</f>
        <v>3622652.7424150812</v>
      </c>
      <c r="G43" s="73"/>
    </row>
    <row r="44" spans="1:7" ht="13" x14ac:dyDescent="0.3">
      <c r="A44" s="67" t="s">
        <v>124</v>
      </c>
      <c r="B44" s="244">
        <f>+B43/Datos!B73</f>
        <v>1.3126826640212264</v>
      </c>
      <c r="C44" s="76">
        <f>+C43/Datos!$B$74</f>
        <v>1.3230991246482329</v>
      </c>
      <c r="D44" s="76">
        <f>+D43/Datos!$B$74</f>
        <v>1.3229819498048454</v>
      </c>
      <c r="E44" s="76">
        <f>+E43/Datos!$B$74</f>
        <v>1.3216574773470913</v>
      </c>
      <c r="F44" s="76">
        <f>+F43/Datos!$B$74</f>
        <v>1.3216536820193656</v>
      </c>
      <c r="G44" s="73"/>
    </row>
    <row r="45" spans="1:7" ht="13" x14ac:dyDescent="0.3">
      <c r="A45" s="67"/>
      <c r="B45" s="76"/>
      <c r="C45" s="76"/>
      <c r="D45" s="76"/>
      <c r="E45" s="76"/>
      <c r="F45" s="77"/>
      <c r="G45" s="73"/>
    </row>
    <row r="46" spans="1:7" ht="13" x14ac:dyDescent="0.3">
      <c r="A46" s="67" t="s">
        <v>109</v>
      </c>
      <c r="B46" s="246">
        <f>(B10+B11+B15+B16)/B43</f>
        <v>0.27631486773654218</v>
      </c>
      <c r="C46" s="246">
        <f>(C10+C11+C15+C16)/C43</f>
        <v>0.2532594787771984</v>
      </c>
      <c r="D46" s="246">
        <f>(D10+D11+D15+D16)/D43</f>
        <v>0.25328190964994496</v>
      </c>
      <c r="E46" s="246">
        <f>(E10+E11+E15+E16)/E43</f>
        <v>0.25253072949236449</v>
      </c>
      <c r="F46" s="246">
        <f>(F10+F11+F15+F16)/F43</f>
        <v>0.25253145467241145</v>
      </c>
      <c r="G46" s="73"/>
    </row>
    <row r="47" spans="1:7" ht="13" x14ac:dyDescent="0.3">
      <c r="A47" s="34" t="s">
        <v>110</v>
      </c>
      <c r="B47" s="146">
        <f>1-B46</f>
        <v>0.72368513226345788</v>
      </c>
      <c r="C47" s="146">
        <f>1-C46</f>
        <v>0.74674052122280155</v>
      </c>
      <c r="D47" s="146">
        <f>1-D46</f>
        <v>0.74671809035005499</v>
      </c>
      <c r="E47" s="146">
        <f>1-E46</f>
        <v>0.74746927050763556</v>
      </c>
      <c r="F47" s="146">
        <f>1-F46</f>
        <v>0.74746854532758855</v>
      </c>
      <c r="G47" s="73"/>
    </row>
    <row r="50" spans="1:7" ht="13" x14ac:dyDescent="0.3">
      <c r="A50" s="32"/>
      <c r="B50" s="17" t="s">
        <v>125</v>
      </c>
      <c r="C50" s="17"/>
      <c r="D50" s="17"/>
      <c r="E50" s="17"/>
      <c r="F50" s="18"/>
    </row>
    <row r="51" spans="1:7" ht="13" x14ac:dyDescent="0.3">
      <c r="A51" s="80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</row>
    <row r="52" spans="1:7" x14ac:dyDescent="0.25">
      <c r="A52" s="70" t="s">
        <v>126</v>
      </c>
      <c r="B52" s="81">
        <f>+Datos!$C$49</f>
        <v>1032000</v>
      </c>
      <c r="C52" s="81">
        <f>+Datos!$C$49</f>
        <v>1032000</v>
      </c>
      <c r="D52" s="81">
        <f>+Datos!$C$49</f>
        <v>1032000</v>
      </c>
      <c r="E52" s="81">
        <f>+Datos!$C$49</f>
        <v>1032000</v>
      </c>
      <c r="F52" s="81">
        <f>+Datos!$C$49</f>
        <v>1032000</v>
      </c>
    </row>
    <row r="53" spans="1:7" x14ac:dyDescent="0.25">
      <c r="A53" s="26" t="s">
        <v>127</v>
      </c>
      <c r="B53" s="62">
        <f>+'E-Inv AF y Am'!$D$56*0.05</f>
        <v>32927.666278456956</v>
      </c>
      <c r="C53" s="62">
        <f>+'E-Inv AF y Am'!$D$56*0.05</f>
        <v>32927.666278456956</v>
      </c>
      <c r="D53" s="62">
        <f>+'E-Inv AF y Am'!$D$56*0.05</f>
        <v>32927.666278456956</v>
      </c>
      <c r="E53" s="62">
        <f>+'E-Inv AF y Am'!$E$56*0.05</f>
        <v>32738.632945123623</v>
      </c>
      <c r="F53" s="62">
        <f>+'E-Inv AF y Am'!$E$56*0.05</f>
        <v>32738.632945123623</v>
      </c>
    </row>
    <row r="54" spans="1:7" x14ac:dyDescent="0.25">
      <c r="A54" s="26" t="s">
        <v>104</v>
      </c>
      <c r="B54" s="62">
        <f>+'E-Inv AF y Am'!$B$20*0.001</f>
        <v>12110.68158</v>
      </c>
      <c r="C54" s="62">
        <f>+'E-Inv AF y Am'!$B$20*0.001</f>
        <v>12110.68158</v>
      </c>
      <c r="D54" s="62">
        <f>+'E-Inv AF y Am'!$B$20*0.001</f>
        <v>12110.68158</v>
      </c>
      <c r="E54" s="62">
        <f>+'E-Inv AF y Am'!$B$20*0.001</f>
        <v>12110.68158</v>
      </c>
      <c r="F54" s="62">
        <f>+'E-Inv AF y Am'!$B$20*0.001</f>
        <v>12110.68158</v>
      </c>
    </row>
    <row r="55" spans="1:7" x14ac:dyDescent="0.25">
      <c r="A55" s="26" t="s">
        <v>128</v>
      </c>
      <c r="B55" s="62">
        <f>+Datos!$B$63*0.05</f>
        <v>42000</v>
      </c>
      <c r="C55" s="62">
        <f>+Datos!$B$63*0.05</f>
        <v>42000</v>
      </c>
      <c r="D55" s="62">
        <f>+Datos!$B$63*0.05</f>
        <v>42000</v>
      </c>
      <c r="E55" s="62">
        <f>+Datos!$B$63*0.05</f>
        <v>42000</v>
      </c>
      <c r="F55" s="62">
        <f>+Datos!$B$63*0.05</f>
        <v>42000</v>
      </c>
    </row>
    <row r="56" spans="1:7" x14ac:dyDescent="0.25">
      <c r="A56" s="26" t="s">
        <v>129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</row>
    <row r="57" spans="1:7" x14ac:dyDescent="0.25">
      <c r="A57" s="26" t="s">
        <v>130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</row>
    <row r="58" spans="1:7" x14ac:dyDescent="0.25">
      <c r="A58" s="26" t="s">
        <v>107</v>
      </c>
      <c r="B58" s="62">
        <f>+('E-Inv AF y Am'!$B$7+'E-Inv AF y Am'!$B$8)*0.008*0.05</f>
        <v>3946.8</v>
      </c>
      <c r="C58" s="62">
        <f>+('E-Inv AF y Am'!$B$7+'E-Inv AF y Am'!$B$8)*0.008*0.05</f>
        <v>3946.8</v>
      </c>
      <c r="D58" s="62">
        <f>+('E-Inv AF y Am'!$B$7+'E-Inv AF y Am'!$B$8)*0.008*0.05</f>
        <v>3946.8</v>
      </c>
      <c r="E58" s="62">
        <f>+('E-Inv AF y Am'!$B$7+'E-Inv AF y Am'!$B$8)*0.008*0.05</f>
        <v>3946.8</v>
      </c>
      <c r="F58" s="62">
        <f>+('E-Inv AF y Am'!$B$7+'E-Inv AF y Am'!$B$8)*0.008*0.05</f>
        <v>3946.8</v>
      </c>
    </row>
    <row r="59" spans="1:7" x14ac:dyDescent="0.25">
      <c r="A59" s="26" t="s">
        <v>21</v>
      </c>
      <c r="B59" s="62">
        <f>+SUM(B52:B58)*InfoInicial!$B$15</f>
        <v>78608.960350092006</v>
      </c>
      <c r="C59" s="62">
        <f>+SUM(C52:C58)*InfoInicial!$B$15</f>
        <v>78608.960350092006</v>
      </c>
      <c r="D59" s="62">
        <f>+SUM(D52:D58)*InfoInicial!$B$15</f>
        <v>78608.960350092006</v>
      </c>
      <c r="E59" s="62">
        <f>+SUM(E52:E58)*InfoInicial!$B$15</f>
        <v>78595.728016758672</v>
      </c>
      <c r="F59" s="62">
        <f>+SUM(F52:F58)*InfoInicial!$B$15</f>
        <v>78595.728016758672</v>
      </c>
    </row>
    <row r="60" spans="1:7" x14ac:dyDescent="0.25">
      <c r="A60" s="26"/>
      <c r="B60" s="46"/>
      <c r="C60" s="46"/>
      <c r="D60" s="46"/>
      <c r="E60" s="46"/>
      <c r="F60" s="48"/>
    </row>
    <row r="61" spans="1:7" ht="13" x14ac:dyDescent="0.3">
      <c r="A61" s="24" t="s">
        <v>131</v>
      </c>
      <c r="B61" s="62">
        <f>+SUM(B52:B59)</f>
        <v>1201594.1082085492</v>
      </c>
      <c r="C61" s="62">
        <f>+SUM(C52:C59)</f>
        <v>1201594.1082085492</v>
      </c>
      <c r="D61" s="62">
        <f>+SUM(D52:D59)</f>
        <v>1201594.1082085492</v>
      </c>
      <c r="E61" s="62">
        <f>+SUM(E52:E59)</f>
        <v>1201391.8425418823</v>
      </c>
      <c r="F61" s="62">
        <f>+SUM(F52:F59)</f>
        <v>1201391.8425418823</v>
      </c>
    </row>
    <row r="62" spans="1:7" ht="13" x14ac:dyDescent="0.3">
      <c r="A62" s="24"/>
      <c r="B62" s="82"/>
      <c r="C62" s="82"/>
      <c r="D62" s="82"/>
      <c r="E62" s="82"/>
      <c r="F62" s="83"/>
      <c r="G62" s="73"/>
    </row>
    <row r="63" spans="1:7" ht="13" x14ac:dyDescent="0.3">
      <c r="A63" s="67" t="s">
        <v>109</v>
      </c>
      <c r="B63" s="84"/>
      <c r="C63" s="84"/>
      <c r="D63" s="84"/>
      <c r="E63" s="84"/>
      <c r="F63" s="85"/>
      <c r="G63" s="73"/>
    </row>
    <row r="64" spans="1:7" ht="13" x14ac:dyDescent="0.3">
      <c r="A64" s="34" t="s">
        <v>110</v>
      </c>
      <c r="B64" s="78"/>
      <c r="C64" s="78"/>
      <c r="D64" s="78"/>
      <c r="E64" s="78"/>
      <c r="F64" s="79"/>
      <c r="G64" s="73"/>
    </row>
    <row r="67" spans="1:6" ht="13" x14ac:dyDescent="0.3">
      <c r="A67" s="32"/>
      <c r="B67" s="17" t="s">
        <v>132</v>
      </c>
      <c r="C67" s="17"/>
      <c r="D67" s="17"/>
      <c r="E67" s="17"/>
      <c r="F67" s="18"/>
    </row>
    <row r="68" spans="1:6" ht="13" x14ac:dyDescent="0.3">
      <c r="A68" s="80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</row>
    <row r="69" spans="1:6" x14ac:dyDescent="0.25">
      <c r="A69" s="22" t="s">
        <v>126</v>
      </c>
      <c r="B69" s="60">
        <f>+Datos!$C$48</f>
        <v>324000</v>
      </c>
      <c r="C69" s="60">
        <f>+Datos!$C$48</f>
        <v>324000</v>
      </c>
      <c r="D69" s="60">
        <f>+Datos!$C$48</f>
        <v>324000</v>
      </c>
      <c r="E69" s="60">
        <f>+Datos!$C$48</f>
        <v>324000</v>
      </c>
      <c r="F69" s="60">
        <f>+Datos!$C$48</f>
        <v>324000</v>
      </c>
    </row>
    <row r="70" spans="1:6" x14ac:dyDescent="0.25">
      <c r="A70" s="26" t="s">
        <v>127</v>
      </c>
      <c r="B70" s="62">
        <f>+'E-Inv AF y Am'!$D$56*0.05</f>
        <v>32927.666278456956</v>
      </c>
      <c r="C70" s="62">
        <f>+'E-Inv AF y Am'!$D$56*0.05</f>
        <v>32927.666278456956</v>
      </c>
      <c r="D70" s="62">
        <f>+'E-Inv AF y Am'!$D$56*0.05</f>
        <v>32927.666278456956</v>
      </c>
      <c r="E70" s="62">
        <f>+'E-Inv AF y Am'!$E$56*0.05</f>
        <v>32738.632945123623</v>
      </c>
      <c r="F70" s="62">
        <f>+'E-Inv AF y Am'!$E$56*0.05</f>
        <v>32738.632945123623</v>
      </c>
    </row>
    <row r="71" spans="1:6" x14ac:dyDescent="0.25">
      <c r="A71" s="26" t="s">
        <v>104</v>
      </c>
      <c r="B71" s="62">
        <f>+'E-Inv AF y Am'!$B$20*0.001</f>
        <v>12110.68158</v>
      </c>
      <c r="C71" s="62">
        <f>+'E-Inv AF y Am'!$B$20*0.001</f>
        <v>12110.68158</v>
      </c>
      <c r="D71" s="62">
        <f>+'E-Inv AF y Am'!$B$20*0.001</f>
        <v>12110.68158</v>
      </c>
      <c r="E71" s="62">
        <f>+'E-Inv AF y Am'!$B$20*0.001</f>
        <v>12110.68158</v>
      </c>
      <c r="F71" s="62">
        <f>+'E-Inv AF y Am'!$B$20*0.001</f>
        <v>12110.68158</v>
      </c>
    </row>
    <row r="72" spans="1:6" x14ac:dyDescent="0.25">
      <c r="A72" s="26" t="s">
        <v>133</v>
      </c>
      <c r="B72" s="62">
        <f>+Datos!$B$63*0.05</f>
        <v>42000</v>
      </c>
      <c r="C72" s="62">
        <f>+Datos!$B$63*0.05</f>
        <v>42000</v>
      </c>
      <c r="D72" s="62">
        <f>+Datos!$B$63*0.05</f>
        <v>42000</v>
      </c>
      <c r="E72" s="62">
        <f>+Datos!$B$63*0.05</f>
        <v>42000</v>
      </c>
      <c r="F72" s="62">
        <f>+Datos!$B$63*0.05</f>
        <v>42000</v>
      </c>
    </row>
    <row r="73" spans="1:6" x14ac:dyDescent="0.25">
      <c r="A73" s="26" t="s">
        <v>129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</row>
    <row r="74" spans="1:6" x14ac:dyDescent="0.25">
      <c r="A74" s="26" t="s">
        <v>130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</row>
    <row r="75" spans="1:6" x14ac:dyDescent="0.25">
      <c r="A75" s="26" t="s">
        <v>107</v>
      </c>
      <c r="B75" s="62">
        <f>+('E-Inv AF y Am'!$B$7+'E-Inv AF y Am'!$B$8)*0.008*0.05</f>
        <v>3946.8</v>
      </c>
      <c r="C75" s="62">
        <f>+('E-Inv AF y Am'!$B$7+'E-Inv AF y Am'!$B$8)*0.008*0.05</f>
        <v>3946.8</v>
      </c>
      <c r="D75" s="62">
        <f>+('E-Inv AF y Am'!$B$7+'E-Inv AF y Am'!$B$8)*0.008*0.05</f>
        <v>3946.8</v>
      </c>
      <c r="E75" s="62">
        <f>+('E-Inv AF y Am'!$B$7+'E-Inv AF y Am'!$B$8)*0.008*0.05</f>
        <v>3946.8</v>
      </c>
      <c r="F75" s="62">
        <f>+('E-Inv AF y Am'!$B$7+'E-Inv AF y Am'!$B$8)*0.008*0.05</f>
        <v>3946.8</v>
      </c>
    </row>
    <row r="76" spans="1:6" x14ac:dyDescent="0.25">
      <c r="A76" s="26" t="s">
        <v>21</v>
      </c>
      <c r="B76" s="62">
        <f>+SUM(B69:B75)*InfoInicial!$B$15</f>
        <v>29048.960350091987</v>
      </c>
      <c r="C76" s="62">
        <f>+SUM(C69:C75)*InfoInicial!$B$15</f>
        <v>29048.960350091987</v>
      </c>
      <c r="D76" s="62">
        <f>+SUM(D69:D75)*InfoInicial!$B$15</f>
        <v>29048.960350091987</v>
      </c>
      <c r="E76" s="62">
        <f>+SUM(E69:E75)*InfoInicial!$B$15</f>
        <v>29035.72801675865</v>
      </c>
      <c r="F76" s="62">
        <f>+SUM(F69:F75)*InfoInicial!$B$15</f>
        <v>29035.72801675865</v>
      </c>
    </row>
    <row r="77" spans="1:6" x14ac:dyDescent="0.25">
      <c r="A77" s="26"/>
      <c r="B77" s="46"/>
      <c r="C77" s="46"/>
      <c r="D77" s="46"/>
      <c r="E77" s="46"/>
      <c r="F77" s="48"/>
    </row>
    <row r="78" spans="1:6" ht="13" x14ac:dyDescent="0.3">
      <c r="A78" s="24" t="s">
        <v>134</v>
      </c>
      <c r="B78" s="90">
        <f>+SUM(B69:B76)</f>
        <v>444034.10820854892</v>
      </c>
      <c r="C78" s="90">
        <f>+SUM(C69:C76)</f>
        <v>444034.10820854892</v>
      </c>
      <c r="D78" s="90">
        <f>+SUM(D69:D76)</f>
        <v>444034.10820854892</v>
      </c>
      <c r="E78" s="90">
        <f>+SUM(E69:E76)</f>
        <v>443831.84254188219</v>
      </c>
      <c r="F78" s="90">
        <f>+SUM(F69:F76)</f>
        <v>443831.84254188219</v>
      </c>
    </row>
    <row r="79" spans="1:6" ht="13" x14ac:dyDescent="0.3">
      <c r="A79" s="24"/>
      <c r="B79" s="82"/>
      <c r="C79" s="82"/>
      <c r="D79" s="82"/>
      <c r="E79" s="82"/>
      <c r="F79" s="83"/>
    </row>
    <row r="80" spans="1:6" ht="13" x14ac:dyDescent="0.3">
      <c r="A80" s="67" t="s">
        <v>109</v>
      </c>
      <c r="B80" s="84">
        <f>+(SUM(B69:B74,B76))/B78</f>
        <v>0.99111149362844375</v>
      </c>
      <c r="C80" s="84">
        <f>+(SUM(C69:C74,C76))/C78</f>
        <v>0.99111149362844375</v>
      </c>
      <c r="D80" s="84">
        <f>+(SUM(D69:D74,D76))/D78</f>
        <v>0.99111149362844375</v>
      </c>
      <c r="E80" s="84">
        <f>+(SUM(E69:E74,E76))/E78</f>
        <v>0.99110744290586239</v>
      </c>
      <c r="F80" s="84">
        <f>+(SUM(F69:F74,F76))/F78</f>
        <v>0.99110744290586239</v>
      </c>
    </row>
    <row r="81" spans="1:6" ht="13" x14ac:dyDescent="0.3">
      <c r="A81" s="34" t="s">
        <v>110</v>
      </c>
      <c r="B81" s="78">
        <f>1-B80</f>
        <v>8.8885063715562485E-3</v>
      </c>
      <c r="C81" s="78">
        <f>1-C80</f>
        <v>8.8885063715562485E-3</v>
      </c>
      <c r="D81" s="78">
        <f>1-D80</f>
        <v>8.8885063715562485E-3</v>
      </c>
      <c r="E81" s="78">
        <f>1-E80</f>
        <v>8.8925570941376098E-3</v>
      </c>
      <c r="F81" s="78">
        <f>1-F80</f>
        <v>8.8925570941376098E-3</v>
      </c>
    </row>
    <row r="84" spans="1:6" ht="15.5" x14ac:dyDescent="0.35">
      <c r="A84" s="86" t="s">
        <v>135</v>
      </c>
      <c r="B84" s="87"/>
      <c r="C84" s="87"/>
      <c r="D84" s="87"/>
      <c r="E84" s="87"/>
      <c r="F84" s="88"/>
    </row>
    <row r="85" spans="1:6" ht="13" x14ac:dyDescent="0.3">
      <c r="A85" s="26"/>
      <c r="B85" s="58" t="s">
        <v>54</v>
      </c>
      <c r="C85" s="58" t="s">
        <v>95</v>
      </c>
      <c r="D85" s="58" t="s">
        <v>96</v>
      </c>
      <c r="E85" s="58" t="s">
        <v>97</v>
      </c>
      <c r="F85" s="21" t="s">
        <v>98</v>
      </c>
    </row>
    <row r="86" spans="1:6" x14ac:dyDescent="0.25">
      <c r="A86" s="26" t="s">
        <v>136</v>
      </c>
      <c r="B86" s="89">
        <f>+Datos!H2</f>
        <v>2384400</v>
      </c>
      <c r="C86" s="89">
        <f>+InfoInicial!$B$19</f>
        <v>2741000</v>
      </c>
      <c r="D86" s="89">
        <f>+InfoInicial!$B$19</f>
        <v>2741000</v>
      </c>
      <c r="E86" s="89">
        <f>+InfoInicial!$B$19</f>
        <v>2741000</v>
      </c>
      <c r="F86" s="89">
        <f>+InfoInicial!$B$19</f>
        <v>2741000</v>
      </c>
    </row>
    <row r="87" spans="1:6" x14ac:dyDescent="0.25">
      <c r="A87" s="26" t="s">
        <v>137</v>
      </c>
      <c r="B87" s="62">
        <f>+InfoInicial!$B$20</f>
        <v>5</v>
      </c>
      <c r="C87" s="62">
        <f>+InfoInicial!$B$20</f>
        <v>5</v>
      </c>
      <c r="D87" s="62">
        <f>+InfoInicial!$B$20</f>
        <v>5</v>
      </c>
      <c r="E87" s="62">
        <f>+InfoInicial!$B$20</f>
        <v>5</v>
      </c>
      <c r="F87" s="62">
        <f>+InfoInicial!$B$20</f>
        <v>5</v>
      </c>
    </row>
    <row r="88" spans="1:6" ht="13" x14ac:dyDescent="0.3">
      <c r="A88" s="24" t="s">
        <v>138</v>
      </c>
      <c r="B88" s="90">
        <f>+B86*B87</f>
        <v>11922000</v>
      </c>
      <c r="C88" s="90">
        <f>+C86*C87</f>
        <v>13705000</v>
      </c>
      <c r="D88" s="90">
        <f>+D86*D87</f>
        <v>13705000</v>
      </c>
      <c r="E88" s="90">
        <f>+E86*E87</f>
        <v>13705000</v>
      </c>
      <c r="F88" s="90">
        <f>+F86*F87</f>
        <v>13705000</v>
      </c>
    </row>
    <row r="89" spans="1:6" x14ac:dyDescent="0.25">
      <c r="A89" s="26"/>
      <c r="B89" s="82"/>
      <c r="C89" s="82"/>
      <c r="D89" s="82"/>
      <c r="E89" s="82"/>
      <c r="F89" s="83"/>
    </row>
    <row r="90" spans="1:6" x14ac:dyDescent="0.25">
      <c r="A90" s="26" t="s">
        <v>139</v>
      </c>
      <c r="B90" s="62">
        <f t="shared" ref="B90:F91" si="1">+B7</f>
        <v>1442121.7536000002</v>
      </c>
      <c r="C90" s="62">
        <f t="shared" si="1"/>
        <v>1576105.3440000003</v>
      </c>
      <c r="D90" s="62">
        <f t="shared" si="1"/>
        <v>1576105.3440000003</v>
      </c>
      <c r="E90" s="62">
        <f t="shared" si="1"/>
        <v>1576105.3440000003</v>
      </c>
      <c r="F90" s="62">
        <f t="shared" si="1"/>
        <v>1576105.3440000003</v>
      </c>
    </row>
    <row r="91" spans="1:6" x14ac:dyDescent="0.25">
      <c r="A91" s="26" t="s">
        <v>100</v>
      </c>
      <c r="B91" s="62">
        <f t="shared" si="1"/>
        <v>94500</v>
      </c>
      <c r="C91" s="62">
        <f t="shared" si="1"/>
        <v>105000</v>
      </c>
      <c r="D91" s="62">
        <f t="shared" si="1"/>
        <v>105000</v>
      </c>
      <c r="E91" s="62">
        <f t="shared" si="1"/>
        <v>105000</v>
      </c>
      <c r="F91" s="62">
        <f t="shared" si="1"/>
        <v>105000</v>
      </c>
    </row>
    <row r="92" spans="1:6" x14ac:dyDescent="0.25">
      <c r="A92" s="26" t="s">
        <v>140</v>
      </c>
      <c r="B92" s="62">
        <f>+SUM(B10:B16)</f>
        <v>1820293.9705058809</v>
      </c>
      <c r="C92" s="62">
        <f>+SUM(C10:C16)</f>
        <v>1945188.1804150809</v>
      </c>
      <c r="D92" s="62">
        <f>+SUM(D10:D16)</f>
        <v>1945188.1804150809</v>
      </c>
      <c r="E92" s="62">
        <f>+SUM(E10:E16)</f>
        <v>1941547.3984150807</v>
      </c>
      <c r="F92" s="62">
        <f>+SUM(F10:F16)</f>
        <v>1941547.3984150807</v>
      </c>
    </row>
    <row r="93" spans="1:6" x14ac:dyDescent="0.25">
      <c r="A93" s="26"/>
      <c r="B93" s="82"/>
      <c r="C93" s="82"/>
      <c r="D93" s="82"/>
      <c r="E93" s="82"/>
      <c r="F93" s="83"/>
    </row>
    <row r="94" spans="1:6" ht="13" x14ac:dyDescent="0.3">
      <c r="A94" s="26" t="s">
        <v>141</v>
      </c>
      <c r="B94" s="90">
        <f>+B17</f>
        <v>3356915.7241058811</v>
      </c>
      <c r="C94" s="90">
        <f>+C17</f>
        <v>3626293.5244150814</v>
      </c>
      <c r="D94" s="90">
        <f>+D17</f>
        <v>3626293.5244150814</v>
      </c>
      <c r="E94" s="90">
        <f>+E17</f>
        <v>3622652.7424150812</v>
      </c>
      <c r="F94" s="90">
        <f>+F17</f>
        <v>3622652.7424150812</v>
      </c>
    </row>
    <row r="95" spans="1:6" x14ac:dyDescent="0.25">
      <c r="A95" s="26"/>
      <c r="B95" s="82"/>
      <c r="C95" s="82"/>
      <c r="D95" s="82"/>
      <c r="E95" s="82"/>
      <c r="F95" s="83"/>
    </row>
    <row r="96" spans="1:6" x14ac:dyDescent="0.25">
      <c r="A96" s="26" t="s">
        <v>120</v>
      </c>
      <c r="B96" s="82"/>
      <c r="C96" s="82"/>
      <c r="D96" s="82"/>
      <c r="E96" s="82"/>
      <c r="F96" s="83"/>
    </row>
    <row r="97" spans="1:6" x14ac:dyDescent="0.25">
      <c r="A97" s="28" t="s">
        <v>113</v>
      </c>
      <c r="B97" s="62">
        <f>+B41</f>
        <v>87468.89206762785</v>
      </c>
      <c r="C97" s="62"/>
      <c r="D97" s="62"/>
      <c r="E97" s="62"/>
      <c r="F97" s="63"/>
    </row>
    <row r="98" spans="1:6" x14ac:dyDescent="0.25">
      <c r="A98" s="28" t="s">
        <v>122</v>
      </c>
      <c r="B98" s="245"/>
      <c r="C98" s="245"/>
      <c r="D98" s="245"/>
      <c r="E98" s="245"/>
      <c r="F98" s="250"/>
    </row>
    <row r="99" spans="1:6" x14ac:dyDescent="0.25">
      <c r="A99" s="26"/>
      <c r="B99" s="82"/>
      <c r="C99" s="82"/>
      <c r="D99" s="82"/>
      <c r="E99" s="82"/>
      <c r="F99" s="83"/>
    </row>
    <row r="100" spans="1:6" ht="13" x14ac:dyDescent="0.3">
      <c r="A100" s="24" t="s">
        <v>142</v>
      </c>
      <c r="B100" s="90">
        <f>+B94-B97-B98</f>
        <v>3269446.8320382531</v>
      </c>
      <c r="C100" s="90">
        <f>+C94-C97-C98</f>
        <v>3626293.5244150814</v>
      </c>
      <c r="D100" s="90">
        <f>+D94-D97-D98</f>
        <v>3626293.5244150814</v>
      </c>
      <c r="E100" s="90">
        <f>+E94-E97-E98</f>
        <v>3622652.7424150812</v>
      </c>
      <c r="F100" s="90">
        <f>+F94-F97-F98</f>
        <v>3622652.7424150812</v>
      </c>
    </row>
    <row r="101" spans="1:6" x14ac:dyDescent="0.25">
      <c r="A101" s="28" t="s">
        <v>143</v>
      </c>
      <c r="B101" s="243">
        <f>+Datos!B73</f>
        <v>2478819</v>
      </c>
      <c r="C101" s="243">
        <f>+Datos!$B$74</f>
        <v>2741000</v>
      </c>
      <c r="D101" s="243">
        <f>+Datos!$B$74</f>
        <v>2741000</v>
      </c>
      <c r="E101" s="243">
        <f>+Datos!$B$74</f>
        <v>2741000</v>
      </c>
      <c r="F101" s="243">
        <f>+Datos!$B$74</f>
        <v>2741000</v>
      </c>
    </row>
    <row r="102" spans="1:6" x14ac:dyDescent="0.25">
      <c r="A102" s="26" t="s">
        <v>144</v>
      </c>
      <c r="B102" s="245">
        <f>+B44</f>
        <v>1.3126826640212264</v>
      </c>
      <c r="C102" s="62">
        <f>+C44</f>
        <v>1.3230991246482329</v>
      </c>
      <c r="D102" s="62">
        <f>+D44</f>
        <v>1.3229819498048454</v>
      </c>
      <c r="E102" s="62">
        <f>+E44</f>
        <v>1.3216574773470913</v>
      </c>
      <c r="F102" s="62">
        <f>+F44</f>
        <v>1.3216536820193656</v>
      </c>
    </row>
    <row r="103" spans="1:6" ht="13" x14ac:dyDescent="0.3">
      <c r="A103" s="26"/>
      <c r="B103" s="92"/>
      <c r="C103" s="92"/>
      <c r="D103" s="92"/>
      <c r="E103" s="92"/>
      <c r="F103" s="93"/>
    </row>
    <row r="104" spans="1:6" ht="13" x14ac:dyDescent="0.3">
      <c r="A104" s="26" t="s">
        <v>120</v>
      </c>
      <c r="B104" s="92"/>
      <c r="C104" s="92"/>
      <c r="D104" s="92"/>
      <c r="E104" s="92"/>
      <c r="F104" s="93"/>
    </row>
    <row r="105" spans="1:6" x14ac:dyDescent="0.25">
      <c r="A105" s="26" t="s">
        <v>524</v>
      </c>
      <c r="B105" s="62">
        <v>0</v>
      </c>
      <c r="C105" s="62">
        <f>B106</f>
        <v>123942.18445422017</v>
      </c>
      <c r="D105" s="62">
        <f>C106</f>
        <v>124925.69625016151</v>
      </c>
      <c r="E105" s="62">
        <f>D106</f>
        <v>124914.6327186237</v>
      </c>
      <c r="F105" s="62">
        <f>E106</f>
        <v>124789.57735363502</v>
      </c>
    </row>
    <row r="106" spans="1:6" x14ac:dyDescent="0.25">
      <c r="A106" s="26" t="s">
        <v>525</v>
      </c>
      <c r="B106" s="62">
        <f>($B$101-$B$86)*B102</f>
        <v>123942.18445422017</v>
      </c>
      <c r="C106" s="62">
        <f>($B$101-$B$86)*C102</f>
        <v>124925.69625016151</v>
      </c>
      <c r="D106" s="62">
        <f>($B$101-$B$86)*D102</f>
        <v>124914.6327186237</v>
      </c>
      <c r="E106" s="62">
        <f>($B$101-$B$86)*E102</f>
        <v>124789.57735363502</v>
      </c>
      <c r="F106" s="62">
        <f>($B$101-$B$86)*F102</f>
        <v>124789.21900258648</v>
      </c>
    </row>
    <row r="107" spans="1:6" x14ac:dyDescent="0.25">
      <c r="A107" s="26" t="s">
        <v>145</v>
      </c>
      <c r="B107" s="62">
        <f>($B$101-$B$86)*B102</f>
        <v>123942.18445422017</v>
      </c>
      <c r="C107" s="62">
        <f>C106-C105</f>
        <v>983.51179594133282</v>
      </c>
      <c r="D107" s="62">
        <f>D106-D105</f>
        <v>-11.063531537802191</v>
      </c>
      <c r="E107" s="62">
        <f>E106-E105</f>
        <v>-125.05536498868605</v>
      </c>
      <c r="F107" s="62">
        <f>F106-F105</f>
        <v>-0.35835104853322264</v>
      </c>
    </row>
    <row r="108" spans="1:6" ht="13" x14ac:dyDescent="0.3">
      <c r="A108" s="26"/>
      <c r="B108" s="92"/>
      <c r="C108" s="92"/>
      <c r="D108" s="92"/>
      <c r="E108" s="92"/>
      <c r="F108" s="93"/>
    </row>
    <row r="109" spans="1:6" ht="13" x14ac:dyDescent="0.3">
      <c r="A109" s="24" t="s">
        <v>146</v>
      </c>
      <c r="B109" s="90">
        <f>+B100-B107</f>
        <v>3145504.6475840327</v>
      </c>
      <c r="C109" s="90">
        <f>+C100-C107</f>
        <v>3625310.0126191401</v>
      </c>
      <c r="D109" s="90">
        <f>+D100-D107</f>
        <v>3626304.5879466194</v>
      </c>
      <c r="E109" s="90">
        <f>+E100-E107</f>
        <v>3622777.79778007</v>
      </c>
      <c r="F109" s="90">
        <f>+F100-F107</f>
        <v>3622653.1007661298</v>
      </c>
    </row>
    <row r="110" spans="1:6" x14ac:dyDescent="0.25">
      <c r="A110" s="26"/>
      <c r="B110" s="82"/>
      <c r="C110" s="82"/>
      <c r="D110" s="82"/>
      <c r="E110" s="82"/>
      <c r="F110" s="83"/>
    </row>
    <row r="111" spans="1:6" ht="13" x14ac:dyDescent="0.3">
      <c r="A111" s="24" t="s">
        <v>147</v>
      </c>
      <c r="B111" s="90">
        <f>+B61</f>
        <v>1201594.1082085492</v>
      </c>
      <c r="C111" s="90">
        <f>+C61</f>
        <v>1201594.1082085492</v>
      </c>
      <c r="D111" s="90">
        <f>+D61</f>
        <v>1201594.1082085492</v>
      </c>
      <c r="E111" s="90">
        <f>+E61</f>
        <v>1201391.8425418823</v>
      </c>
      <c r="F111" s="90">
        <f>+F61</f>
        <v>1201391.8425418823</v>
      </c>
    </row>
    <row r="112" spans="1:6" ht="13" x14ac:dyDescent="0.3">
      <c r="A112" s="24" t="s">
        <v>148</v>
      </c>
      <c r="B112" s="90">
        <f>+B78</f>
        <v>444034.10820854892</v>
      </c>
      <c r="C112" s="90">
        <f>+C78</f>
        <v>444034.10820854892</v>
      </c>
      <c r="D112" s="90">
        <f>+D78</f>
        <v>444034.10820854892</v>
      </c>
      <c r="E112" s="90">
        <f>+E78</f>
        <v>443831.84254188219</v>
      </c>
      <c r="F112" s="90">
        <f>+F78</f>
        <v>443831.84254188219</v>
      </c>
    </row>
    <row r="113" spans="1:6" ht="13" x14ac:dyDescent="0.3">
      <c r="A113" s="26"/>
      <c r="B113" s="92"/>
      <c r="C113" s="92"/>
      <c r="D113" s="92"/>
      <c r="E113" s="92"/>
      <c r="F113" s="93"/>
    </row>
    <row r="114" spans="1:6" ht="13" x14ac:dyDescent="0.3">
      <c r="A114" s="24" t="s">
        <v>149</v>
      </c>
      <c r="B114" s="90">
        <f>+B109+B111+B112</f>
        <v>4791132.8640011316</v>
      </c>
      <c r="C114" s="90">
        <f>+C109+C111+C112</f>
        <v>5270938.229036239</v>
      </c>
      <c r="D114" s="90">
        <f>+D109+D111+D112</f>
        <v>5271932.8043637173</v>
      </c>
      <c r="E114" s="90">
        <f>+E109+E111+E112</f>
        <v>5268001.4828638341</v>
      </c>
      <c r="F114" s="90">
        <f>+F109+F111+F112</f>
        <v>5267876.7858498944</v>
      </c>
    </row>
    <row r="115" spans="1:6" ht="13" x14ac:dyDescent="0.3">
      <c r="A115" s="26"/>
      <c r="B115" s="92"/>
      <c r="C115" s="92"/>
      <c r="D115" s="92"/>
      <c r="E115" s="92"/>
      <c r="F115" s="93"/>
    </row>
    <row r="116" spans="1:6" ht="13" x14ac:dyDescent="0.3">
      <c r="A116" s="24" t="s">
        <v>150</v>
      </c>
      <c r="B116" s="90">
        <f>+B114/B86</f>
        <v>2.0093662405641384</v>
      </c>
      <c r="C116" s="90">
        <f>+C114/C86</f>
        <v>1.9229982594076027</v>
      </c>
      <c r="D116" s="90">
        <f>+D114/D86</f>
        <v>1.9233611106762925</v>
      </c>
      <c r="E116" s="90">
        <f>+E114/E86</f>
        <v>1.9219268452622524</v>
      </c>
      <c r="F116" s="90">
        <f>+F114/F86</f>
        <v>1.9218813520065283</v>
      </c>
    </row>
    <row r="117" spans="1:6" ht="13" x14ac:dyDescent="0.3">
      <c r="A117" s="26"/>
      <c r="B117" s="92"/>
      <c r="C117" s="92"/>
      <c r="D117" s="92"/>
      <c r="E117" s="92"/>
      <c r="F117" s="93"/>
    </row>
    <row r="118" spans="1:6" ht="13" x14ac:dyDescent="0.3">
      <c r="A118" s="24" t="s">
        <v>151</v>
      </c>
      <c r="B118" s="90">
        <f>+B88-B114</f>
        <v>7130867.1359988684</v>
      </c>
      <c r="C118" s="90">
        <f>+C88-C114</f>
        <v>8434061.770963762</v>
      </c>
      <c r="D118" s="90">
        <f>+D88-D114</f>
        <v>8433067.1956362836</v>
      </c>
      <c r="E118" s="90">
        <f>+E88-E114</f>
        <v>8436998.5171361659</v>
      </c>
      <c r="F118" s="90">
        <f>+F88-F114</f>
        <v>8437123.2141501047</v>
      </c>
    </row>
    <row r="119" spans="1:6" ht="13" x14ac:dyDescent="0.3">
      <c r="A119" s="24" t="s">
        <v>5</v>
      </c>
      <c r="B119" s="90">
        <f>+B118*InfoInicial!$B$5</f>
        <v>713086.71359988686</v>
      </c>
      <c r="C119" s="90">
        <f>+C118*InfoInicial!$B$5</f>
        <v>843406.1770963762</v>
      </c>
      <c r="D119" s="90">
        <f>+D118*InfoInicial!$B$5</f>
        <v>843306.71956362843</v>
      </c>
      <c r="E119" s="90">
        <f>+E118*InfoInicial!$B$5</f>
        <v>843699.85171361663</v>
      </c>
      <c r="F119" s="90">
        <f>+F118*InfoInicial!$B$5</f>
        <v>843712.32141501049</v>
      </c>
    </row>
    <row r="120" spans="1:6" ht="13" x14ac:dyDescent="0.3">
      <c r="A120" s="45" t="s">
        <v>152</v>
      </c>
      <c r="B120" s="90">
        <f>+(B118-B119)*InfoInicial!$B$4</f>
        <v>2246223.1478396435</v>
      </c>
      <c r="C120" s="90">
        <f>+(C118-C119)*InfoInicial!$B$4</f>
        <v>2656729.457853585</v>
      </c>
      <c r="D120" s="90">
        <f>+(D118-D119)*InfoInicial!$B$4</f>
        <v>2656416.1666254289</v>
      </c>
      <c r="E120" s="90">
        <f>+(E118-E119)*InfoInicial!$B$4</f>
        <v>2657654.5328978919</v>
      </c>
      <c r="F120" s="90">
        <f>+(F118-F119)*InfoInicial!$B$4</f>
        <v>2657693.8124572826</v>
      </c>
    </row>
    <row r="121" spans="1:6" ht="13" x14ac:dyDescent="0.3">
      <c r="A121" s="24"/>
      <c r="B121" s="92"/>
      <c r="C121" s="92"/>
      <c r="D121" s="92"/>
      <c r="E121" s="92"/>
      <c r="F121" s="93"/>
    </row>
    <row r="122" spans="1:6" ht="13" x14ac:dyDescent="0.3">
      <c r="A122" s="45" t="s">
        <v>153</v>
      </c>
      <c r="B122" s="90">
        <f>+B118-B119-B120</f>
        <v>4171557.2745593381</v>
      </c>
      <c r="C122" s="90">
        <f>+C118-C119-C120</f>
        <v>4933926.1360138003</v>
      </c>
      <c r="D122" s="90">
        <f>+D118-D119-D120</f>
        <v>4933344.3094472261</v>
      </c>
      <c r="E122" s="90">
        <f>+E118-E119-E120</f>
        <v>4935644.132524658</v>
      </c>
      <c r="F122" s="90">
        <f>+F118-F119-F120</f>
        <v>4935717.0802778117</v>
      </c>
    </row>
    <row r="123" spans="1:6" ht="13" x14ac:dyDescent="0.3">
      <c r="A123" s="24" t="s">
        <v>154</v>
      </c>
      <c r="B123" s="247">
        <f>+B122/B88</f>
        <v>0.34990414985399582</v>
      </c>
      <c r="C123" s="247">
        <f>+C122/C88</f>
        <v>0.36000920364931049</v>
      </c>
      <c r="D123" s="247">
        <f>+D122/D88</f>
        <v>0.35996675005087386</v>
      </c>
      <c r="E123" s="247">
        <f>+E122/E88</f>
        <v>0.36013455910431652</v>
      </c>
      <c r="F123" s="247">
        <f>+F122/F88</f>
        <v>0.36013988181523615</v>
      </c>
    </row>
    <row r="124" spans="1:6" ht="13" x14ac:dyDescent="0.3">
      <c r="A124" s="24"/>
      <c r="B124" s="96"/>
      <c r="C124" s="96"/>
      <c r="D124" s="96"/>
      <c r="E124" s="96"/>
      <c r="F124" s="97"/>
    </row>
    <row r="125" spans="1:6" ht="13" x14ac:dyDescent="0.3">
      <c r="A125" s="24" t="s">
        <v>155</v>
      </c>
      <c r="B125" s="94"/>
      <c r="C125" s="94"/>
      <c r="D125" s="94"/>
      <c r="E125" s="94"/>
      <c r="F125" s="95"/>
    </row>
    <row r="126" spans="1:6" ht="13" x14ac:dyDescent="0.3">
      <c r="A126" s="45" t="s">
        <v>156</v>
      </c>
      <c r="B126" s="248">
        <f>+B122</f>
        <v>4171557.2745593381</v>
      </c>
      <c r="C126" s="248">
        <f>+C122</f>
        <v>4933926.1360138003</v>
      </c>
      <c r="D126" s="248">
        <f>+D122</f>
        <v>4933344.3094472261</v>
      </c>
      <c r="E126" s="248">
        <f>+E122</f>
        <v>4935644.132524658</v>
      </c>
      <c r="F126" s="248">
        <f>+F122</f>
        <v>4935717.0802778117</v>
      </c>
    </row>
    <row r="127" spans="1:6" ht="13" x14ac:dyDescent="0.3">
      <c r="A127" s="24" t="s">
        <v>157</v>
      </c>
      <c r="B127" s="248">
        <f>+B10+B53+B70</f>
        <v>658553.3255691391</v>
      </c>
      <c r="C127" s="248">
        <f>+C10+C53+C70</f>
        <v>658553.3255691391</v>
      </c>
      <c r="D127" s="248">
        <f>+D10+D53+D70</f>
        <v>658553.3255691391</v>
      </c>
      <c r="E127" s="248">
        <f>+E10+E53+E70</f>
        <v>654772.65890247247</v>
      </c>
      <c r="F127" s="248">
        <f>+F10+F53+F70</f>
        <v>654772.65890247247</v>
      </c>
    </row>
    <row r="128" spans="1:6" ht="13" x14ac:dyDescent="0.3">
      <c r="A128" s="34" t="s">
        <v>158</v>
      </c>
      <c r="B128" s="248">
        <f>+B126+B127</f>
        <v>4830110.6001284774</v>
      </c>
      <c r="C128" s="248">
        <f>+C126+C127</f>
        <v>5592479.4615829391</v>
      </c>
      <c r="D128" s="248">
        <f>+D126+D127</f>
        <v>5591897.635016365</v>
      </c>
      <c r="E128" s="248">
        <f>+E126+E127</f>
        <v>5590416.7914271308</v>
      </c>
      <c r="F128" s="248">
        <f>+F126+F127</f>
        <v>5590489.7391802846</v>
      </c>
    </row>
    <row r="129" spans="1:6" ht="13" x14ac:dyDescent="0.3">
      <c r="A129" s="24"/>
      <c r="B129" s="29"/>
      <c r="C129" s="29"/>
      <c r="D129" s="29"/>
      <c r="E129" s="29"/>
      <c r="F129" s="98"/>
    </row>
    <row r="130" spans="1:6" ht="13" x14ac:dyDescent="0.3">
      <c r="A130" s="24" t="s">
        <v>159</v>
      </c>
      <c r="B130" s="27">
        <f>+B17*B19</f>
        <v>899101.70206588111</v>
      </c>
      <c r="C130" s="27">
        <f>+C17*C19</f>
        <v>918474.54881508113</v>
      </c>
      <c r="D130" s="27">
        <f>+D17*D19</f>
        <v>918474.54881508113</v>
      </c>
      <c r="E130" s="27">
        <f>+E17*E19</f>
        <v>914833.76681508112</v>
      </c>
      <c r="F130" s="27">
        <f>+F17*F19</f>
        <v>914833.76681508112</v>
      </c>
    </row>
    <row r="131" spans="1:6" ht="13" x14ac:dyDescent="0.3">
      <c r="A131" s="45" t="s">
        <v>160</v>
      </c>
      <c r="B131" s="27">
        <f>+B17*B20</f>
        <v>2457814.0220400002</v>
      </c>
      <c r="C131" s="27">
        <f>+C17*C20</f>
        <v>2707818.9756000005</v>
      </c>
      <c r="D131" s="27">
        <f>+D17*D20</f>
        <v>2707818.9756000005</v>
      </c>
      <c r="E131" s="27">
        <f>+E17*E20</f>
        <v>2707818.9756000005</v>
      </c>
      <c r="F131" s="27">
        <f>+F17*F20</f>
        <v>2707818.9756000005</v>
      </c>
    </row>
    <row r="132" spans="1:6" ht="13" x14ac:dyDescent="0.3">
      <c r="A132" s="24" t="s">
        <v>161</v>
      </c>
      <c r="B132" s="27">
        <f>+B61*B63</f>
        <v>0</v>
      </c>
      <c r="C132" s="27">
        <f>+C61*C63</f>
        <v>0</v>
      </c>
      <c r="D132" s="27">
        <f>+D61*D63</f>
        <v>0</v>
      </c>
      <c r="E132" s="27">
        <f>+E61*E63</f>
        <v>0</v>
      </c>
      <c r="F132" s="27">
        <f>+F61*F63</f>
        <v>0</v>
      </c>
    </row>
    <row r="133" spans="1:6" ht="13" x14ac:dyDescent="0.3">
      <c r="A133" s="45" t="s">
        <v>162</v>
      </c>
      <c r="B133" s="27">
        <f>+B61*B64</f>
        <v>0</v>
      </c>
      <c r="C133" s="27">
        <f>+C61*C64</f>
        <v>0</v>
      </c>
      <c r="D133" s="27">
        <f>+D61*D64</f>
        <v>0</v>
      </c>
      <c r="E133" s="27">
        <f>+E61*E64</f>
        <v>0</v>
      </c>
      <c r="F133" s="27">
        <f>+F61*F64</f>
        <v>0</v>
      </c>
    </row>
    <row r="134" spans="1:6" ht="13" x14ac:dyDescent="0.3">
      <c r="A134" s="24" t="s">
        <v>163</v>
      </c>
      <c r="B134" s="27">
        <f>+B78*B80</f>
        <v>440087.30820854893</v>
      </c>
      <c r="C134" s="27">
        <f>+C78*C80</f>
        <v>440087.30820854893</v>
      </c>
      <c r="D134" s="27">
        <f>+D78*D80</f>
        <v>440087.30820854893</v>
      </c>
      <c r="E134" s="27">
        <f>+E78*E80</f>
        <v>439885.0425418822</v>
      </c>
      <c r="F134" s="27">
        <f>+F78*F80</f>
        <v>439885.0425418822</v>
      </c>
    </row>
    <row r="135" spans="1:6" ht="13" x14ac:dyDescent="0.3">
      <c r="A135" s="45" t="s">
        <v>164</v>
      </c>
      <c r="B135" s="27">
        <f>+B78*B81</f>
        <v>3946.7999999999838</v>
      </c>
      <c r="C135" s="27">
        <f>+C78*C81</f>
        <v>3946.7999999999838</v>
      </c>
      <c r="D135" s="27">
        <f>+D78*D81</f>
        <v>3946.7999999999838</v>
      </c>
      <c r="E135" s="27">
        <f>+E78*E81</f>
        <v>3946.7999999999811</v>
      </c>
      <c r="F135" s="27">
        <f>+F78*F81</f>
        <v>3946.7999999999811</v>
      </c>
    </row>
    <row r="136" spans="1:6" ht="13" x14ac:dyDescent="0.3">
      <c r="A136" s="24" t="s">
        <v>165</v>
      </c>
      <c r="B136" s="27">
        <f>+B88-B131-B133-B135</f>
        <v>9460239.1779599991</v>
      </c>
      <c r="C136" s="27">
        <f>+C88-C131-C133-C135</f>
        <v>10993234.224399999</v>
      </c>
      <c r="D136" s="27">
        <f>+D88-D131-D133-D135</f>
        <v>10993234.224399999</v>
      </c>
      <c r="E136" s="27">
        <f>+E88-E131-E133-E135</f>
        <v>10993234.224399999</v>
      </c>
      <c r="F136" s="27">
        <f>+F88-F131-F133-F135</f>
        <v>10993234.224399999</v>
      </c>
    </row>
    <row r="137" spans="1:6" ht="13" x14ac:dyDescent="0.3">
      <c r="A137" s="34" t="s">
        <v>166</v>
      </c>
      <c r="B137" s="249">
        <f>+(B130+B132+B134)/B136</f>
        <v>0.14155974125838244</v>
      </c>
      <c r="C137" s="249">
        <f>+(C130+C132+C134)/C136</f>
        <v>0.12358163478480594</v>
      </c>
      <c r="D137" s="249">
        <f>+(D130+D132+D134)/D136</f>
        <v>0.12358163478480594</v>
      </c>
      <c r="E137" s="249">
        <f>+(E130+E132+E134)/E136</f>
        <v>0.12323205179692263</v>
      </c>
      <c r="F137" s="249">
        <f>+(F130+F132+F134)/F136</f>
        <v>0.12323205179692263</v>
      </c>
    </row>
    <row r="138" spans="1:6" ht="15.5" x14ac:dyDescent="0.35">
      <c r="A138" s="99" t="s">
        <v>167</v>
      </c>
    </row>
    <row r="139" spans="1:6" ht="13" thickBot="1" x14ac:dyDescent="0.3"/>
    <row r="140" spans="1:6" ht="17" thickBot="1" x14ac:dyDescent="0.4">
      <c r="A140" s="516" t="s">
        <v>54</v>
      </c>
      <c r="B140" s="517"/>
      <c r="C140" s="517"/>
      <c r="D140" s="517"/>
      <c r="E140" s="518"/>
    </row>
    <row r="141" spans="1:6" ht="14" x14ac:dyDescent="0.3">
      <c r="A141" s="359" t="s">
        <v>408</v>
      </c>
      <c r="B141" s="360" t="s">
        <v>559</v>
      </c>
      <c r="C141" s="360" t="s">
        <v>560</v>
      </c>
      <c r="D141" s="360" t="s">
        <v>561</v>
      </c>
      <c r="E141" s="361" t="s">
        <v>562</v>
      </c>
    </row>
    <row r="142" spans="1:6" x14ac:dyDescent="0.25">
      <c r="A142" s="372">
        <v>0</v>
      </c>
      <c r="B142" s="375">
        <f>+$B$130+$B$132+$B$134</f>
        <v>1339189.01027443</v>
      </c>
      <c r="C142" s="347">
        <v>0</v>
      </c>
      <c r="D142" s="350">
        <f>(B142+C142)</f>
        <v>1339189.01027443</v>
      </c>
      <c r="E142" s="363">
        <v>0</v>
      </c>
    </row>
    <row r="143" spans="1:6" x14ac:dyDescent="0.25">
      <c r="A143" s="373">
        <v>1100000</v>
      </c>
      <c r="B143" s="375">
        <f t="shared" ref="B143:B158" si="2">+$B$130+$B$132+$B$134</f>
        <v>1339189.01027443</v>
      </c>
      <c r="C143" s="350">
        <f>(($B$131+$B$133+$B$135)/$B$86)*A143</f>
        <v>1135689.0220785104</v>
      </c>
      <c r="D143" s="350">
        <f t="shared" ref="D143:D158" si="3">(B143+C143)</f>
        <v>2474878.0323529402</v>
      </c>
      <c r="E143" s="365">
        <f>(A143*$B$87)</f>
        <v>5500000</v>
      </c>
    </row>
    <row r="144" spans="1:6" x14ac:dyDescent="0.25">
      <c r="A144" s="373">
        <v>1200000</v>
      </c>
      <c r="B144" s="375">
        <f t="shared" si="2"/>
        <v>1339189.01027443</v>
      </c>
      <c r="C144" s="350">
        <f t="shared" ref="C144:C158" si="4">(($B$131+$B$133+$B$135)/$B$86)*A144</f>
        <v>1238933.4786311022</v>
      </c>
      <c r="D144" s="350">
        <f t="shared" si="3"/>
        <v>2578122.4889055323</v>
      </c>
      <c r="E144" s="365">
        <f t="shared" ref="E144:E158" si="5">(A144*$B$87)</f>
        <v>6000000</v>
      </c>
    </row>
    <row r="145" spans="1:5" x14ac:dyDescent="0.25">
      <c r="A145" s="373">
        <v>1300000</v>
      </c>
      <c r="B145" s="375">
        <f t="shared" si="2"/>
        <v>1339189.01027443</v>
      </c>
      <c r="C145" s="350">
        <f t="shared" si="4"/>
        <v>1342177.9351836939</v>
      </c>
      <c r="D145" s="350">
        <f t="shared" si="3"/>
        <v>2681366.9454581239</v>
      </c>
      <c r="E145" s="365">
        <f t="shared" si="5"/>
        <v>6500000</v>
      </c>
    </row>
    <row r="146" spans="1:5" x14ac:dyDescent="0.25">
      <c r="A146" s="373">
        <v>1400000</v>
      </c>
      <c r="B146" s="375">
        <f t="shared" si="2"/>
        <v>1339189.01027443</v>
      </c>
      <c r="C146" s="350">
        <f t="shared" si="4"/>
        <v>1445422.3917362858</v>
      </c>
      <c r="D146" s="350">
        <f t="shared" si="3"/>
        <v>2784611.4020107156</v>
      </c>
      <c r="E146" s="365">
        <f t="shared" si="5"/>
        <v>7000000</v>
      </c>
    </row>
    <row r="147" spans="1:5" x14ac:dyDescent="0.25">
      <c r="A147" s="373">
        <v>1500000</v>
      </c>
      <c r="B147" s="375">
        <f t="shared" si="2"/>
        <v>1339189.01027443</v>
      </c>
      <c r="C147" s="350">
        <f t="shared" si="4"/>
        <v>1548666.8482888776</v>
      </c>
      <c r="D147" s="350">
        <f t="shared" si="3"/>
        <v>2887855.8585633077</v>
      </c>
      <c r="E147" s="365">
        <f t="shared" si="5"/>
        <v>7500000</v>
      </c>
    </row>
    <row r="148" spans="1:5" x14ac:dyDescent="0.25">
      <c r="A148" s="373">
        <v>1600000</v>
      </c>
      <c r="B148" s="375">
        <f t="shared" si="2"/>
        <v>1339189.01027443</v>
      </c>
      <c r="C148" s="350">
        <f t="shared" si="4"/>
        <v>1651911.3048414695</v>
      </c>
      <c r="D148" s="350">
        <f t="shared" si="3"/>
        <v>2991100.3151158998</v>
      </c>
      <c r="E148" s="365">
        <f t="shared" si="5"/>
        <v>8000000</v>
      </c>
    </row>
    <row r="149" spans="1:5" x14ac:dyDescent="0.25">
      <c r="A149" s="373">
        <v>1700000</v>
      </c>
      <c r="B149" s="375">
        <f t="shared" si="2"/>
        <v>1339189.01027443</v>
      </c>
      <c r="C149" s="350">
        <f t="shared" si="4"/>
        <v>1755155.7613940614</v>
      </c>
      <c r="D149" s="350">
        <f t="shared" si="3"/>
        <v>3094344.7716684914</v>
      </c>
      <c r="E149" s="365">
        <f t="shared" si="5"/>
        <v>8500000</v>
      </c>
    </row>
    <row r="150" spans="1:5" x14ac:dyDescent="0.25">
      <c r="A150" s="373">
        <v>1800000</v>
      </c>
      <c r="B150" s="375">
        <f t="shared" si="2"/>
        <v>1339189.01027443</v>
      </c>
      <c r="C150" s="350">
        <f t="shared" si="4"/>
        <v>1858400.2179466533</v>
      </c>
      <c r="D150" s="350">
        <f t="shared" si="3"/>
        <v>3197589.2282210831</v>
      </c>
      <c r="E150" s="365">
        <f t="shared" si="5"/>
        <v>9000000</v>
      </c>
    </row>
    <row r="151" spans="1:5" x14ac:dyDescent="0.25">
      <c r="A151" s="373">
        <v>1900000</v>
      </c>
      <c r="B151" s="375">
        <f t="shared" si="2"/>
        <v>1339189.01027443</v>
      </c>
      <c r="C151" s="350">
        <f t="shared" si="4"/>
        <v>1961644.6744992451</v>
      </c>
      <c r="D151" s="350">
        <f t="shared" si="3"/>
        <v>3300833.6847736752</v>
      </c>
      <c r="E151" s="365">
        <f t="shared" si="5"/>
        <v>9500000</v>
      </c>
    </row>
    <row r="152" spans="1:5" x14ac:dyDescent="0.25">
      <c r="A152" s="373">
        <v>2000000</v>
      </c>
      <c r="B152" s="375">
        <f t="shared" si="2"/>
        <v>1339189.01027443</v>
      </c>
      <c r="C152" s="350">
        <f t="shared" si="4"/>
        <v>2064889.131051837</v>
      </c>
      <c r="D152" s="350">
        <f t="shared" si="3"/>
        <v>3404078.1413262673</v>
      </c>
      <c r="E152" s="365">
        <f t="shared" si="5"/>
        <v>10000000</v>
      </c>
    </row>
    <row r="153" spans="1:5" x14ac:dyDescent="0.25">
      <c r="A153" s="373">
        <v>2100000</v>
      </c>
      <c r="B153" s="375">
        <f t="shared" si="2"/>
        <v>1339189.01027443</v>
      </c>
      <c r="C153" s="350">
        <f t="shared" si="4"/>
        <v>2168133.5876044286</v>
      </c>
      <c r="D153" s="350">
        <f t="shared" si="3"/>
        <v>3507322.5978788584</v>
      </c>
      <c r="E153" s="365">
        <f t="shared" si="5"/>
        <v>10500000</v>
      </c>
    </row>
    <row r="154" spans="1:5" x14ac:dyDescent="0.25">
      <c r="A154" s="373">
        <v>2200000</v>
      </c>
      <c r="B154" s="375">
        <f t="shared" si="2"/>
        <v>1339189.01027443</v>
      </c>
      <c r="C154" s="350">
        <f t="shared" si="4"/>
        <v>2271378.0441570207</v>
      </c>
      <c r="D154" s="350">
        <f t="shared" si="3"/>
        <v>3610567.0544314506</v>
      </c>
      <c r="E154" s="365">
        <f t="shared" si="5"/>
        <v>11000000</v>
      </c>
    </row>
    <row r="155" spans="1:5" x14ac:dyDescent="0.25">
      <c r="A155" s="373">
        <v>2300000</v>
      </c>
      <c r="B155" s="375">
        <f t="shared" si="2"/>
        <v>1339189.01027443</v>
      </c>
      <c r="C155" s="350">
        <f t="shared" si="4"/>
        <v>2374622.5007096124</v>
      </c>
      <c r="D155" s="350">
        <f t="shared" si="3"/>
        <v>3713811.5109840427</v>
      </c>
      <c r="E155" s="365">
        <f t="shared" si="5"/>
        <v>11500000</v>
      </c>
    </row>
    <row r="156" spans="1:5" x14ac:dyDescent="0.25">
      <c r="A156" s="373">
        <v>2400000</v>
      </c>
      <c r="B156" s="375">
        <f t="shared" si="2"/>
        <v>1339189.01027443</v>
      </c>
      <c r="C156" s="350">
        <f t="shared" si="4"/>
        <v>2477866.9572622045</v>
      </c>
      <c r="D156" s="350">
        <f t="shared" si="3"/>
        <v>3817055.9675366348</v>
      </c>
      <c r="E156" s="365">
        <f t="shared" si="5"/>
        <v>12000000</v>
      </c>
    </row>
    <row r="157" spans="1:5" x14ac:dyDescent="0.25">
      <c r="A157" s="373">
        <v>2500000</v>
      </c>
      <c r="B157" s="375">
        <f t="shared" si="2"/>
        <v>1339189.01027443</v>
      </c>
      <c r="C157" s="350">
        <f t="shared" si="4"/>
        <v>2581111.4138147961</v>
      </c>
      <c r="D157" s="350">
        <f t="shared" si="3"/>
        <v>3920300.4240892259</v>
      </c>
      <c r="E157" s="365">
        <f t="shared" si="5"/>
        <v>12500000</v>
      </c>
    </row>
    <row r="158" spans="1:5" ht="13" thickBot="1" x14ac:dyDescent="0.3">
      <c r="A158" s="374">
        <v>2600000</v>
      </c>
      <c r="B158" s="377">
        <f t="shared" si="2"/>
        <v>1339189.01027443</v>
      </c>
      <c r="C158" s="350">
        <f t="shared" si="4"/>
        <v>2684355.8703673878</v>
      </c>
      <c r="D158" s="350">
        <f t="shared" si="3"/>
        <v>4023544.880641818</v>
      </c>
      <c r="E158" s="365">
        <f t="shared" si="5"/>
        <v>13000000</v>
      </c>
    </row>
    <row r="159" spans="1:5" ht="13.5" thickBot="1" x14ac:dyDescent="0.35">
      <c r="A159" s="368" t="s">
        <v>563</v>
      </c>
      <c r="B159" s="519">
        <f>+($B$130+$B$132+$B$134)/($B$136/B86)</f>
        <v>337535.04705648706</v>
      </c>
      <c r="C159" s="520"/>
      <c r="D159" s="376" t="s">
        <v>564</v>
      </c>
      <c r="E159" s="371"/>
    </row>
    <row r="160" spans="1:5" ht="13" thickBot="1" x14ac:dyDescent="0.3"/>
    <row r="161" spans="1:5" ht="17" thickBot="1" x14ac:dyDescent="0.4">
      <c r="A161" s="516" t="s">
        <v>98</v>
      </c>
      <c r="B161" s="517" t="s">
        <v>98</v>
      </c>
      <c r="C161" s="517"/>
      <c r="D161" s="517"/>
      <c r="E161" s="518"/>
    </row>
    <row r="162" spans="1:5" ht="14" x14ac:dyDescent="0.3">
      <c r="A162" s="359" t="s">
        <v>408</v>
      </c>
      <c r="B162" s="360" t="s">
        <v>559</v>
      </c>
      <c r="C162" s="360" t="s">
        <v>560</v>
      </c>
      <c r="D162" s="360" t="s">
        <v>561</v>
      </c>
      <c r="E162" s="361" t="s">
        <v>562</v>
      </c>
    </row>
    <row r="163" spans="1:5" x14ac:dyDescent="0.25">
      <c r="A163" s="362">
        <v>0</v>
      </c>
      <c r="B163" s="369">
        <f>+$F$134+$F$132+$F$130</f>
        <v>1354718.8093569633</v>
      </c>
      <c r="C163" s="367">
        <v>0</v>
      </c>
      <c r="D163" s="350">
        <f>(B163+C163)</f>
        <v>1354718.8093569633</v>
      </c>
      <c r="E163" s="370">
        <v>0</v>
      </c>
    </row>
    <row r="164" spans="1:5" x14ac:dyDescent="0.25">
      <c r="A164" s="364">
        <v>1100000</v>
      </c>
      <c r="B164" s="369">
        <f t="shared" ref="B164:B179" si="6">+$F$134+$F$132+$F$130</f>
        <v>1354718.8093569633</v>
      </c>
      <c r="C164" s="350">
        <f>+((($F$135+$F$133+$F$131)/$F$86)*A164)</f>
        <v>1088267.9143232398</v>
      </c>
      <c r="D164" s="350">
        <f t="shared" ref="D164:D179" si="7">(B164+C164)</f>
        <v>2442986.7236802028</v>
      </c>
      <c r="E164" s="365">
        <f>(A164*$F$87)</f>
        <v>5500000</v>
      </c>
    </row>
    <row r="165" spans="1:5" x14ac:dyDescent="0.25">
      <c r="A165" s="364">
        <v>1200000</v>
      </c>
      <c r="B165" s="369">
        <f t="shared" si="6"/>
        <v>1354718.8093569633</v>
      </c>
      <c r="C165" s="350">
        <f t="shared" ref="C165:C179" si="8">+((($F$135+$F$133+$F$131)/$F$86)*A165)</f>
        <v>1187201.361079898</v>
      </c>
      <c r="D165" s="350">
        <f t="shared" si="7"/>
        <v>2541920.170436861</v>
      </c>
      <c r="E165" s="365">
        <f t="shared" ref="E165:E179" si="9">(A165*$F$87)</f>
        <v>6000000</v>
      </c>
    </row>
    <row r="166" spans="1:5" x14ac:dyDescent="0.25">
      <c r="A166" s="364">
        <v>1300000</v>
      </c>
      <c r="B166" s="369">
        <f t="shared" si="6"/>
        <v>1354718.8093569633</v>
      </c>
      <c r="C166" s="350">
        <f t="shared" si="8"/>
        <v>1286134.8078365561</v>
      </c>
      <c r="D166" s="350">
        <f t="shared" si="7"/>
        <v>2640853.6171935191</v>
      </c>
      <c r="E166" s="365">
        <f t="shared" si="9"/>
        <v>6500000</v>
      </c>
    </row>
    <row r="167" spans="1:5" x14ac:dyDescent="0.25">
      <c r="A167" s="364">
        <v>1400000</v>
      </c>
      <c r="B167" s="369">
        <f t="shared" si="6"/>
        <v>1354718.8093569633</v>
      </c>
      <c r="C167" s="350">
        <f t="shared" si="8"/>
        <v>1385068.2545932143</v>
      </c>
      <c r="D167" s="350">
        <f t="shared" si="7"/>
        <v>2739787.0639501773</v>
      </c>
      <c r="E167" s="365">
        <f t="shared" si="9"/>
        <v>7000000</v>
      </c>
    </row>
    <row r="168" spans="1:5" x14ac:dyDescent="0.25">
      <c r="A168" s="364">
        <v>1500000</v>
      </c>
      <c r="B168" s="369">
        <f t="shared" si="6"/>
        <v>1354718.8093569633</v>
      </c>
      <c r="C168" s="350">
        <f t="shared" si="8"/>
        <v>1484001.7013498724</v>
      </c>
      <c r="D168" s="350">
        <f t="shared" si="7"/>
        <v>2838720.5107068354</v>
      </c>
      <c r="E168" s="365">
        <f t="shared" si="9"/>
        <v>7500000</v>
      </c>
    </row>
    <row r="169" spans="1:5" x14ac:dyDescent="0.25">
      <c r="A169" s="364">
        <v>1600000</v>
      </c>
      <c r="B169" s="369">
        <f t="shared" si="6"/>
        <v>1354718.8093569633</v>
      </c>
      <c r="C169" s="350">
        <f t="shared" si="8"/>
        <v>1582935.1481065305</v>
      </c>
      <c r="D169" s="350">
        <f t="shared" si="7"/>
        <v>2937653.9574634936</v>
      </c>
      <c r="E169" s="365">
        <f t="shared" si="9"/>
        <v>8000000</v>
      </c>
    </row>
    <row r="170" spans="1:5" x14ac:dyDescent="0.25">
      <c r="A170" s="364">
        <v>1700000</v>
      </c>
      <c r="B170" s="369">
        <f t="shared" si="6"/>
        <v>1354718.8093569633</v>
      </c>
      <c r="C170" s="350">
        <f t="shared" si="8"/>
        <v>1681868.5948631887</v>
      </c>
      <c r="D170" s="350">
        <f t="shared" si="7"/>
        <v>3036587.4042201517</v>
      </c>
      <c r="E170" s="365">
        <f t="shared" si="9"/>
        <v>8500000</v>
      </c>
    </row>
    <row r="171" spans="1:5" x14ac:dyDescent="0.25">
      <c r="A171" s="364">
        <v>1800000</v>
      </c>
      <c r="B171" s="369">
        <f t="shared" si="6"/>
        <v>1354718.8093569633</v>
      </c>
      <c r="C171" s="350">
        <f t="shared" si="8"/>
        <v>1780802.0416198468</v>
      </c>
      <c r="D171" s="350">
        <f t="shared" si="7"/>
        <v>3135520.8509768099</v>
      </c>
      <c r="E171" s="365">
        <f t="shared" si="9"/>
        <v>9000000</v>
      </c>
    </row>
    <row r="172" spans="1:5" x14ac:dyDescent="0.25">
      <c r="A172" s="364">
        <v>1900000</v>
      </c>
      <c r="B172" s="369">
        <f t="shared" si="6"/>
        <v>1354718.8093569633</v>
      </c>
      <c r="C172" s="350">
        <f t="shared" si="8"/>
        <v>1879735.488376505</v>
      </c>
      <c r="D172" s="350">
        <f t="shared" si="7"/>
        <v>3234454.297733468</v>
      </c>
      <c r="E172" s="365">
        <f t="shared" si="9"/>
        <v>9500000</v>
      </c>
    </row>
    <row r="173" spans="1:5" x14ac:dyDescent="0.25">
      <c r="A173" s="364">
        <v>2000000</v>
      </c>
      <c r="B173" s="369">
        <f t="shared" si="6"/>
        <v>1354718.8093569633</v>
      </c>
      <c r="C173" s="350">
        <f t="shared" si="8"/>
        <v>1978668.9351331631</v>
      </c>
      <c r="D173" s="350">
        <f t="shared" si="7"/>
        <v>3333387.7444901261</v>
      </c>
      <c r="E173" s="365">
        <f t="shared" si="9"/>
        <v>10000000</v>
      </c>
    </row>
    <row r="174" spans="1:5" x14ac:dyDescent="0.25">
      <c r="A174" s="364">
        <v>2100000</v>
      </c>
      <c r="B174" s="369">
        <f t="shared" si="6"/>
        <v>1354718.8093569633</v>
      </c>
      <c r="C174" s="350">
        <f t="shared" si="8"/>
        <v>2077602.3818898215</v>
      </c>
      <c r="D174" s="350">
        <f t="shared" si="7"/>
        <v>3432321.1912467848</v>
      </c>
      <c r="E174" s="365">
        <f t="shared" si="9"/>
        <v>10500000</v>
      </c>
    </row>
    <row r="175" spans="1:5" x14ac:dyDescent="0.25">
      <c r="A175" s="364">
        <v>2200000</v>
      </c>
      <c r="B175" s="369">
        <f t="shared" si="6"/>
        <v>1354718.8093569633</v>
      </c>
      <c r="C175" s="350">
        <f t="shared" si="8"/>
        <v>2176535.8286464796</v>
      </c>
      <c r="D175" s="350">
        <f t="shared" si="7"/>
        <v>3531254.6380034429</v>
      </c>
      <c r="E175" s="365">
        <f t="shared" si="9"/>
        <v>11000000</v>
      </c>
    </row>
    <row r="176" spans="1:5" x14ac:dyDescent="0.25">
      <c r="A176" s="364">
        <v>2300000</v>
      </c>
      <c r="B176" s="369">
        <f t="shared" si="6"/>
        <v>1354718.8093569633</v>
      </c>
      <c r="C176" s="350">
        <f t="shared" si="8"/>
        <v>2275469.2754031378</v>
      </c>
      <c r="D176" s="350">
        <f t="shared" si="7"/>
        <v>3630188.084760101</v>
      </c>
      <c r="E176" s="365">
        <f t="shared" si="9"/>
        <v>11500000</v>
      </c>
    </row>
    <row r="177" spans="1:5" x14ac:dyDescent="0.25">
      <c r="A177" s="364">
        <v>2400000</v>
      </c>
      <c r="B177" s="369">
        <f t="shared" si="6"/>
        <v>1354718.8093569633</v>
      </c>
      <c r="C177" s="350">
        <f t="shared" si="8"/>
        <v>2374402.7221597959</v>
      </c>
      <c r="D177" s="350">
        <f t="shared" si="7"/>
        <v>3729121.5315167592</v>
      </c>
      <c r="E177" s="365">
        <f t="shared" si="9"/>
        <v>12000000</v>
      </c>
    </row>
    <row r="178" spans="1:5" x14ac:dyDescent="0.25">
      <c r="A178" s="364">
        <v>2500000</v>
      </c>
      <c r="B178" s="369">
        <f t="shared" si="6"/>
        <v>1354718.8093569633</v>
      </c>
      <c r="C178" s="350">
        <f t="shared" si="8"/>
        <v>2473336.1689164541</v>
      </c>
      <c r="D178" s="350">
        <f t="shared" si="7"/>
        <v>3828054.9782734173</v>
      </c>
      <c r="E178" s="365">
        <f t="shared" si="9"/>
        <v>12500000</v>
      </c>
    </row>
    <row r="179" spans="1:5" ht="13" thickBot="1" x14ac:dyDescent="0.3">
      <c r="A179" s="366">
        <v>2600000</v>
      </c>
      <c r="B179" s="381">
        <f t="shared" si="6"/>
        <v>1354718.8093569633</v>
      </c>
      <c r="C179" s="350">
        <f t="shared" si="8"/>
        <v>2572269.6156731122</v>
      </c>
      <c r="D179" s="350">
        <f t="shared" si="7"/>
        <v>3926988.4250300755</v>
      </c>
      <c r="E179" s="365">
        <f t="shared" si="9"/>
        <v>13000000</v>
      </c>
    </row>
    <row r="180" spans="1:5" ht="13.5" thickBot="1" x14ac:dyDescent="0.35">
      <c r="A180" s="368" t="s">
        <v>563</v>
      </c>
      <c r="B180" s="382">
        <f>(($F$130+$F$132+$F$134)/(F87-((F131+F133+F135)/F101)))</f>
        <v>337779.05397536489</v>
      </c>
      <c r="C180" s="378" t="s">
        <v>564</v>
      </c>
      <c r="D180" s="379"/>
      <c r="E180" s="380"/>
    </row>
  </sheetData>
  <sheetProtection selectLockedCells="1" selectUnlockedCells="1"/>
  <mergeCells count="3">
    <mergeCell ref="A140:E140"/>
    <mergeCell ref="B159:C159"/>
    <mergeCell ref="A161:E16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zoomScale="90" zoomScaleNormal="90" workbookViewId="0">
      <selection activeCell="B24" sqref="B24"/>
    </sheetView>
  </sheetViews>
  <sheetFormatPr baseColWidth="10" defaultColWidth="11.453125" defaultRowHeight="12.5" x14ac:dyDescent="0.25"/>
  <cols>
    <col min="1" max="1" width="45.453125" style="15" customWidth="1"/>
    <col min="2" max="7" width="14.81640625" style="15" customWidth="1"/>
    <col min="8" max="8" width="17.453125" style="15" customWidth="1"/>
    <col min="9" max="16384" width="11.453125" style="15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2" spans="1:7" ht="13" x14ac:dyDescent="0.3">
      <c r="A2" s="1"/>
      <c r="B2"/>
      <c r="C2"/>
      <c r="D2"/>
      <c r="E2" s="100"/>
    </row>
    <row r="3" spans="1:7" ht="15.5" x14ac:dyDescent="0.35">
      <c r="A3" s="54" t="s">
        <v>168</v>
      </c>
      <c r="B3" s="55"/>
      <c r="C3" s="55"/>
      <c r="D3" s="55"/>
      <c r="E3" s="55"/>
      <c r="F3" s="55"/>
      <c r="G3" s="56"/>
    </row>
    <row r="4" spans="1:7" ht="13" x14ac:dyDescent="0.3">
      <c r="A4" s="57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ht="13" x14ac:dyDescent="0.3">
      <c r="A5" s="101" t="s">
        <v>169</v>
      </c>
      <c r="B5" s="102"/>
      <c r="C5" s="102"/>
      <c r="D5" s="102"/>
      <c r="E5" s="102"/>
      <c r="F5" s="102"/>
      <c r="G5" s="103"/>
    </row>
    <row r="6" spans="1:7" ht="13" x14ac:dyDescent="0.3">
      <c r="A6" s="101" t="s">
        <v>170</v>
      </c>
      <c r="B6" s="62">
        <f>+C6*0.8</f>
        <v>190752</v>
      </c>
      <c r="C6" s="62">
        <f>+'E-Costos'!B88*0.02</f>
        <v>238440</v>
      </c>
      <c r="D6" s="62">
        <f>+'E-Costos'!C88*0.02</f>
        <v>274100</v>
      </c>
      <c r="E6" s="62">
        <f>+'E-Costos'!D88*0.02</f>
        <v>274100</v>
      </c>
      <c r="F6" s="62">
        <f>+'E-Costos'!E88*0.02</f>
        <v>274100</v>
      </c>
      <c r="G6" s="62">
        <f>+'E-Costos'!F88*0.02</f>
        <v>274100</v>
      </c>
    </row>
    <row r="7" spans="1:7" ht="13" x14ac:dyDescent="0.3">
      <c r="A7" s="101" t="s">
        <v>171</v>
      </c>
      <c r="B7" s="62">
        <v>0</v>
      </c>
      <c r="C7" s="62">
        <f>+'E-Costos'!$C$88*0.0821917808219178</f>
        <v>1126438.3561643835</v>
      </c>
      <c r="D7" s="62">
        <f>+'E-Costos'!$C$88*0.0821917808219178</f>
        <v>1126438.3561643835</v>
      </c>
      <c r="E7" s="62">
        <f>+'E-Costos'!$C$88*0.0821917808219178</f>
        <v>1126438.3561643835</v>
      </c>
      <c r="F7" s="62">
        <f>+'E-Costos'!$C$88*0.0821917808219178</f>
        <v>1126438.3561643835</v>
      </c>
      <c r="G7" s="62">
        <f>+'E-Costos'!$C$88*0.0821917808219178</f>
        <v>1126438.3561643835</v>
      </c>
    </row>
    <row r="8" spans="1:7" x14ac:dyDescent="0.25">
      <c r="A8" s="104"/>
      <c r="B8" s="82"/>
      <c r="C8" s="82"/>
      <c r="D8" s="82"/>
      <c r="E8" s="82"/>
      <c r="F8" s="82"/>
      <c r="G8" s="83"/>
    </row>
    <row r="9" spans="1:7" ht="13" x14ac:dyDescent="0.3">
      <c r="A9" s="101" t="s">
        <v>172</v>
      </c>
      <c r="B9" s="92">
        <f t="shared" ref="B9:G9" si="0">+SUM(B10:B13)</f>
        <v>354543.9005410652</v>
      </c>
      <c r="C9" s="92">
        <f t="shared" si="0"/>
        <v>519473.13921389123</v>
      </c>
      <c r="D9" s="92">
        <f t="shared" si="0"/>
        <v>544332.89169904892</v>
      </c>
      <c r="E9" s="92">
        <f t="shared" si="0"/>
        <v>544321.82816751103</v>
      </c>
      <c r="F9" s="92">
        <f t="shared" si="0"/>
        <v>544186.36980922648</v>
      </c>
      <c r="G9" s="92">
        <f t="shared" si="0"/>
        <v>544186.01145817793</v>
      </c>
    </row>
    <row r="10" spans="1:7" x14ac:dyDescent="0.25">
      <c r="A10" s="104" t="s">
        <v>173</v>
      </c>
      <c r="B10" s="62">
        <f>+Datos!$H$36*Datos!B102</f>
        <v>135907.20000000001</v>
      </c>
      <c r="C10" s="62">
        <f>+Datos!$H$36*Datos!$B$103</f>
        <v>137057.18400000001</v>
      </c>
      <c r="D10" s="62">
        <f>+Datos!$H$36*Datos!$B$103</f>
        <v>137057.18400000001</v>
      </c>
      <c r="E10" s="62">
        <f>+Datos!$H$36*Datos!$B$103</f>
        <v>137057.18400000001</v>
      </c>
      <c r="F10" s="62">
        <f>+Datos!$H$36*Datos!$B$103</f>
        <v>137057.18400000001</v>
      </c>
      <c r="G10" s="62">
        <f>+Datos!$H$36*Datos!$B$103</f>
        <v>137057.18400000001</v>
      </c>
    </row>
    <row r="11" spans="1:7" x14ac:dyDescent="0.25">
      <c r="A11" s="104" t="s">
        <v>174</v>
      </c>
      <c r="B11" s="62">
        <f>+C11*0.9</f>
        <v>218636.70054106519</v>
      </c>
      <c r="C11" s="62">
        <f>+'E-Costos'!B12+'E-Costos'!B30+'E-Costos'!B54+'E-Costos'!B71</f>
        <v>242929.66726785022</v>
      </c>
      <c r="D11" s="62">
        <f>+'E-Costos'!C12+'E-Costos'!C30+'E-Costos'!C54+'E-Costos'!C71</f>
        <v>267127.08420279139</v>
      </c>
      <c r="E11" s="62">
        <f>+'E-Costos'!D12+'E-Costos'!D30+'E-Costos'!D54+'E-Costos'!D71</f>
        <v>267127.08420279139</v>
      </c>
      <c r="F11" s="62">
        <f>+'E-Costos'!E12+'E-Costos'!E30+'E-Costos'!E54+'E-Costos'!E71</f>
        <v>267127.08420279139</v>
      </c>
      <c r="G11" s="62">
        <f>+'E-Costos'!F12+'E-Costos'!F30+'E-Costos'!F54+'E-Costos'!F71</f>
        <v>267127.08420279139</v>
      </c>
    </row>
    <row r="12" spans="1:7" x14ac:dyDescent="0.25">
      <c r="A12" s="104" t="s">
        <v>175</v>
      </c>
      <c r="B12" s="62">
        <v>0</v>
      </c>
      <c r="C12" s="62">
        <f>+'E-Costos'!B35</f>
        <v>15544.103491820802</v>
      </c>
      <c r="D12" s="62">
        <f>+'E-Costos'!C35</f>
        <v>15222.927246095949</v>
      </c>
      <c r="E12" s="62">
        <f>+'E-Costos'!D35</f>
        <v>15222.927246095949</v>
      </c>
      <c r="F12" s="62">
        <f>+'E-Costos'!E35</f>
        <v>15212.524252800071</v>
      </c>
      <c r="G12" s="62">
        <f>+'E-Costos'!F35</f>
        <v>15212.524252800071</v>
      </c>
    </row>
    <row r="13" spans="1:7" x14ac:dyDescent="0.25">
      <c r="A13" s="104" t="s">
        <v>176</v>
      </c>
      <c r="B13" s="62">
        <v>0</v>
      </c>
      <c r="C13" s="62">
        <f>+'E-Costos'!B106</f>
        <v>123942.18445422017</v>
      </c>
      <c r="D13" s="62">
        <f>+'E-Costos'!C106</f>
        <v>124925.69625016151</v>
      </c>
      <c r="E13" s="62">
        <f>+'E-Costos'!D106</f>
        <v>124914.6327186237</v>
      </c>
      <c r="F13" s="62">
        <f>+'E-Costos'!E106</f>
        <v>124789.57735363502</v>
      </c>
      <c r="G13" s="62">
        <f>+'E-Costos'!F106</f>
        <v>124789.21900258648</v>
      </c>
    </row>
    <row r="14" spans="1:7" x14ac:dyDescent="0.25">
      <c r="A14" s="104"/>
      <c r="B14" s="82"/>
      <c r="C14" s="82"/>
      <c r="D14" s="82"/>
      <c r="E14" s="82"/>
      <c r="F14" s="82"/>
      <c r="G14" s="83"/>
    </row>
    <row r="15" spans="1:7" ht="13" x14ac:dyDescent="0.3">
      <c r="A15" s="101" t="s">
        <v>177</v>
      </c>
      <c r="B15" s="62">
        <f t="shared" ref="B15:G15" si="1">+SUM(B6:B9)</f>
        <v>545295.90054106526</v>
      </c>
      <c r="C15" s="62">
        <f t="shared" si="1"/>
        <v>1884351.4953782747</v>
      </c>
      <c r="D15" s="62">
        <f t="shared" si="1"/>
        <v>1944871.2478634324</v>
      </c>
      <c r="E15" s="62">
        <f t="shared" si="1"/>
        <v>1944860.1843318944</v>
      </c>
      <c r="F15" s="62">
        <f t="shared" si="1"/>
        <v>1944724.7259736098</v>
      </c>
      <c r="G15" s="62">
        <f t="shared" si="1"/>
        <v>1944724.3676225613</v>
      </c>
    </row>
    <row r="16" spans="1:7" ht="13" x14ac:dyDescent="0.3">
      <c r="A16" s="101" t="s">
        <v>178</v>
      </c>
      <c r="B16" s="82">
        <f t="shared" ref="B16:G16" si="2">+SUM(B17:B20)</f>
        <v>0</v>
      </c>
      <c r="C16" s="82">
        <f t="shared" si="2"/>
        <v>450079.71936676931</v>
      </c>
      <c r="D16" s="82">
        <f t="shared" si="2"/>
        <v>461391.77089264366</v>
      </c>
      <c r="E16" s="82">
        <f t="shared" si="2"/>
        <v>461323.13283159456</v>
      </c>
      <c r="F16" s="82">
        <f t="shared" si="2"/>
        <v>461192.38273097767</v>
      </c>
      <c r="G16" s="82">
        <f t="shared" si="2"/>
        <v>461197.56915950152</v>
      </c>
    </row>
    <row r="17" spans="1:7" x14ac:dyDescent="0.25">
      <c r="A17" s="104" t="s">
        <v>179</v>
      </c>
      <c r="B17" s="62">
        <v>0</v>
      </c>
      <c r="C17" s="62">
        <f>+'E-Costos'!B28</f>
        <v>1946.8254828349893</v>
      </c>
      <c r="D17" s="62">
        <f>+'E-Costos'!C28</f>
        <v>1693.5463995883797</v>
      </c>
      <c r="E17" s="62">
        <f>+'E-Costos'!D28</f>
        <v>1693.5463995883797</v>
      </c>
      <c r="F17" s="62">
        <f>+'E-Costos'!E28</f>
        <v>1683.8239759473729</v>
      </c>
      <c r="G17" s="62">
        <f>+'E-Costos'!F28</f>
        <v>1683.8239759473729</v>
      </c>
    </row>
    <row r="18" spans="1:7" x14ac:dyDescent="0.25">
      <c r="A18" s="104" t="s">
        <v>180</v>
      </c>
      <c r="B18" s="62">
        <v>0</v>
      </c>
      <c r="C18" s="326">
        <f>+('E-Costos'!B10-'E-Costos'!B28)/Datos!$B$81</f>
        <v>21.552395750798624</v>
      </c>
      <c r="D18" s="326">
        <f>+('E-Costos'!C10-'E-Costos'!C28)/Datos!$B$81</f>
        <v>21.561636140555887</v>
      </c>
      <c r="E18" s="326">
        <f>+('E-Costos'!D10-'E-Costos'!D28)/Datos!$B$81</f>
        <v>21.561636140555887</v>
      </c>
      <c r="F18" s="326">
        <f>+('E-Costos'!E10-'E-Costos'!E28)/Datos!$B$81</f>
        <v>21.437853667868588</v>
      </c>
      <c r="G18" s="326">
        <f>+('E-Costos'!F10-'E-Costos'!F28)/Datos!$B$81</f>
        <v>21.437853667868588</v>
      </c>
    </row>
    <row r="19" spans="1:7" x14ac:dyDescent="0.25">
      <c r="A19" s="104" t="s">
        <v>181</v>
      </c>
      <c r="B19" s="62">
        <v>0</v>
      </c>
      <c r="C19" s="62">
        <f>+'E-Costos'!B123*'E-InvAT'!C7</f>
        <v>394145.45537663117</v>
      </c>
      <c r="D19" s="62">
        <f>+'E-Costos'!C123*'E-InvAT'!D7</f>
        <v>405528.17556277808</v>
      </c>
      <c r="E19" s="62">
        <f>+'E-Costos'!D123*'E-InvAT'!E7</f>
        <v>405480.35420114186</v>
      </c>
      <c r="F19" s="62">
        <f>+'E-Costos'!E123*'E-InvAT'!F7</f>
        <v>405669.38075545128</v>
      </c>
      <c r="G19" s="62">
        <f>+'E-Costos'!F123*'E-InvAT'!G7</f>
        <v>405675.37646118994</v>
      </c>
    </row>
    <row r="20" spans="1:7" x14ac:dyDescent="0.25">
      <c r="A20" s="104" t="s">
        <v>182</v>
      </c>
      <c r="B20" s="325"/>
      <c r="C20" s="325">
        <f>('E-Inv AF y Am'!D56 - $C$17 -$C$18)*30/365</f>
        <v>53965.886111552332</v>
      </c>
      <c r="D20" s="325">
        <f>('E-Inv AF y Am'!D56 - $D$17 -$D$18 + $C$17 + $C$18)*30/365</f>
        <v>54148.487294136648</v>
      </c>
      <c r="E20" s="336">
        <f>('E-Inv AF y Am'!D56-$E$17-$E$18+$D$17+$D$18)*30/365</f>
        <v>54127.670594723757</v>
      </c>
      <c r="F20" s="325">
        <f>('E-Inv AF y Am'!E56 - $F$17 -$F$18 + $E$17 + $E$18)/365*30</f>
        <v>53817.740145911186</v>
      </c>
      <c r="G20" s="325">
        <f>('E-Inv AF y Am'!E56 - $G$17 -$G$18 + $F$17 + $F$18)/365*30</f>
        <v>53816.93086869637</v>
      </c>
    </row>
    <row r="21" spans="1:7" x14ac:dyDescent="0.25">
      <c r="A21" s="104"/>
      <c r="B21" s="82"/>
      <c r="C21" s="82"/>
      <c r="D21" s="82"/>
      <c r="E21" s="82"/>
      <c r="F21" s="82"/>
      <c r="G21" s="83"/>
    </row>
    <row r="22" spans="1:7" ht="13" x14ac:dyDescent="0.3">
      <c r="A22" s="101" t="s">
        <v>183</v>
      </c>
      <c r="B22" s="62">
        <f t="shared" ref="B22:G22" si="3">+B15-B16</f>
        <v>545295.90054106526</v>
      </c>
      <c r="C22" s="62">
        <f t="shared" si="3"/>
        <v>1434271.7760115054</v>
      </c>
      <c r="D22" s="62">
        <f t="shared" si="3"/>
        <v>1483479.4769707888</v>
      </c>
      <c r="E22" s="62">
        <f t="shared" si="3"/>
        <v>1483537.0515002999</v>
      </c>
      <c r="F22" s="62">
        <f t="shared" si="3"/>
        <v>1483532.3432426322</v>
      </c>
      <c r="G22" s="62">
        <f t="shared" si="3"/>
        <v>1483526.7984630598</v>
      </c>
    </row>
    <row r="23" spans="1:7" x14ac:dyDescent="0.25">
      <c r="A23" s="104"/>
      <c r="B23" s="82"/>
      <c r="C23" s="82"/>
      <c r="D23" s="82"/>
      <c r="E23" s="82"/>
      <c r="F23" s="82"/>
      <c r="G23" s="83"/>
    </row>
    <row r="24" spans="1:7" ht="13" x14ac:dyDescent="0.3">
      <c r="A24" s="101" t="s">
        <v>184</v>
      </c>
      <c r="B24" s="62">
        <f>+B15</f>
        <v>545295.90054106526</v>
      </c>
      <c r="C24" s="62">
        <f>+C15-B15</f>
        <v>1339055.5948372094</v>
      </c>
      <c r="D24" s="62">
        <f>+D15-C15</f>
        <v>60519.752485157689</v>
      </c>
      <c r="E24" s="62">
        <f>+E15-D15</f>
        <v>-11.063531538005918</v>
      </c>
      <c r="F24" s="62">
        <f>+F15-E15</f>
        <v>-135.45835828455165</v>
      </c>
      <c r="G24" s="62">
        <f>+G15-F15</f>
        <v>-0.35835104854777455</v>
      </c>
    </row>
    <row r="25" spans="1:7" ht="13" x14ac:dyDescent="0.3">
      <c r="A25" s="101" t="s">
        <v>185</v>
      </c>
      <c r="B25" s="62">
        <f>+B22</f>
        <v>545295.90054106526</v>
      </c>
      <c r="C25" s="62">
        <f>+C22-B22</f>
        <v>888975.87547044014</v>
      </c>
      <c r="D25" s="62">
        <f>+D22-C22</f>
        <v>49207.700959283393</v>
      </c>
      <c r="E25" s="62">
        <f>+E22-D22</f>
        <v>57.574529511155561</v>
      </c>
      <c r="F25" s="62">
        <f>+F22-E22</f>
        <v>-4.7082576677203178</v>
      </c>
      <c r="G25" s="62">
        <f>+G22-F22</f>
        <v>-5.5447795724030584</v>
      </c>
    </row>
    <row r="26" spans="1:7" x14ac:dyDescent="0.25">
      <c r="A26" s="104"/>
      <c r="B26" s="82"/>
      <c r="C26" s="82"/>
      <c r="D26" s="82"/>
      <c r="E26" s="82"/>
      <c r="F26" s="82"/>
      <c r="G26" s="83"/>
    </row>
    <row r="27" spans="1:7" ht="13" x14ac:dyDescent="0.3">
      <c r="A27" s="101" t="s">
        <v>186</v>
      </c>
      <c r="B27" s="82"/>
      <c r="C27" s="82"/>
      <c r="D27" s="82"/>
      <c r="E27" s="82"/>
      <c r="F27" s="82"/>
      <c r="G27" s="83"/>
    </row>
    <row r="28" spans="1:7" x14ac:dyDescent="0.25">
      <c r="A28" s="104" t="s">
        <v>187</v>
      </c>
      <c r="B28" s="62"/>
      <c r="C28" s="62"/>
      <c r="D28" s="62"/>
      <c r="E28" s="62"/>
      <c r="F28" s="62"/>
      <c r="G28" s="63"/>
    </row>
    <row r="29" spans="1:7" x14ac:dyDescent="0.25">
      <c r="A29" s="104" t="s">
        <v>188</v>
      </c>
      <c r="B29" s="62"/>
      <c r="C29" s="62"/>
      <c r="D29" s="62"/>
      <c r="E29" s="62"/>
      <c r="F29" s="62"/>
      <c r="G29" s="63"/>
    </row>
    <row r="30" spans="1:7" x14ac:dyDescent="0.25">
      <c r="A30" s="104" t="s">
        <v>189</v>
      </c>
      <c r="B30" s="62">
        <f t="shared" ref="B30:G33" si="4">+B10*0.21</f>
        <v>28540.512000000002</v>
      </c>
      <c r="C30" s="62">
        <f t="shared" si="4"/>
        <v>28782.00864</v>
      </c>
      <c r="D30" s="62">
        <f t="shared" si="4"/>
        <v>28782.00864</v>
      </c>
      <c r="E30" s="62">
        <f t="shared" si="4"/>
        <v>28782.00864</v>
      </c>
      <c r="F30" s="62">
        <f t="shared" si="4"/>
        <v>28782.00864</v>
      </c>
      <c r="G30" s="62">
        <f t="shared" si="4"/>
        <v>28782.00864</v>
      </c>
    </row>
    <row r="31" spans="1:7" x14ac:dyDescent="0.25">
      <c r="A31" s="104" t="s">
        <v>190</v>
      </c>
      <c r="B31" s="62">
        <f t="shared" si="4"/>
        <v>45913.707113623692</v>
      </c>
      <c r="C31" s="62">
        <f t="shared" si="4"/>
        <v>51015.230126248542</v>
      </c>
      <c r="D31" s="62">
        <f t="shared" si="4"/>
        <v>56096.687682586191</v>
      </c>
      <c r="E31" s="62">
        <f t="shared" si="4"/>
        <v>56096.687682586191</v>
      </c>
      <c r="F31" s="62">
        <f t="shared" si="4"/>
        <v>56096.687682586191</v>
      </c>
      <c r="G31" s="62">
        <f t="shared" si="4"/>
        <v>56096.687682586191</v>
      </c>
    </row>
    <row r="32" spans="1:7" x14ac:dyDescent="0.25">
      <c r="A32" s="104" t="s">
        <v>191</v>
      </c>
      <c r="B32" s="62">
        <f t="shared" si="4"/>
        <v>0</v>
      </c>
      <c r="C32" s="62">
        <f t="shared" si="4"/>
        <v>3264.2617332823684</v>
      </c>
      <c r="D32" s="62">
        <f t="shared" si="4"/>
        <v>3196.814721680149</v>
      </c>
      <c r="E32" s="62">
        <f t="shared" si="4"/>
        <v>3196.814721680149</v>
      </c>
      <c r="F32" s="62">
        <f t="shared" si="4"/>
        <v>3194.6300930880147</v>
      </c>
      <c r="G32" s="62">
        <f t="shared" si="4"/>
        <v>3194.6300930880147</v>
      </c>
    </row>
    <row r="33" spans="1:7" x14ac:dyDescent="0.25">
      <c r="A33" s="104" t="s">
        <v>192</v>
      </c>
      <c r="B33" s="62">
        <f t="shared" si="4"/>
        <v>0</v>
      </c>
      <c r="C33" s="62">
        <f t="shared" si="4"/>
        <v>26027.858735386235</v>
      </c>
      <c r="D33" s="62">
        <f t="shared" si="4"/>
        <v>26234.396212533917</v>
      </c>
      <c r="E33" s="62">
        <f t="shared" si="4"/>
        <v>26232.072870910975</v>
      </c>
      <c r="F33" s="62">
        <f t="shared" si="4"/>
        <v>26205.811244263354</v>
      </c>
      <c r="G33" s="62">
        <f t="shared" si="4"/>
        <v>26205.735990543162</v>
      </c>
    </row>
    <row r="34" spans="1:7" ht="13" x14ac:dyDescent="0.3">
      <c r="A34" s="101" t="s">
        <v>193</v>
      </c>
      <c r="B34" s="62">
        <f t="shared" ref="B34:G34" si="5">+SUM(B30:B33)</f>
        <v>74454.219113623694</v>
      </c>
      <c r="C34" s="62">
        <f t="shared" si="5"/>
        <v>109089.35923491715</v>
      </c>
      <c r="D34" s="62">
        <f t="shared" si="5"/>
        <v>114309.90725680024</v>
      </c>
      <c r="E34" s="62">
        <f t="shared" si="5"/>
        <v>114307.5839151773</v>
      </c>
      <c r="F34" s="62">
        <f t="shared" si="5"/>
        <v>114279.13765993755</v>
      </c>
      <c r="G34" s="62">
        <f t="shared" si="5"/>
        <v>114279.06240621736</v>
      </c>
    </row>
    <row r="35" spans="1:7" x14ac:dyDescent="0.25">
      <c r="A35" s="104"/>
      <c r="B35" s="65"/>
      <c r="C35" s="65"/>
      <c r="D35" s="65"/>
      <c r="E35" s="65"/>
      <c r="F35" s="65"/>
      <c r="G35" s="66"/>
    </row>
    <row r="36" spans="1:7" ht="13" x14ac:dyDescent="0.3">
      <c r="A36" s="105" t="s">
        <v>194</v>
      </c>
      <c r="B36" s="145">
        <f t="shared" ref="B36:G36" si="6">+B25+B34</f>
        <v>619750.11965468898</v>
      </c>
      <c r="C36" s="145">
        <f t="shared" si="6"/>
        <v>998065.23470535735</v>
      </c>
      <c r="D36" s="145">
        <f t="shared" si="6"/>
        <v>163517.60821608364</v>
      </c>
      <c r="E36" s="145">
        <f t="shared" si="6"/>
        <v>114365.15844468845</v>
      </c>
      <c r="F36" s="145">
        <f t="shared" si="6"/>
        <v>114274.42940226983</v>
      </c>
      <c r="G36" s="145">
        <f t="shared" si="6"/>
        <v>114273.51762664496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zoomScale="90" zoomScaleNormal="90" workbookViewId="0">
      <selection activeCell="B7" sqref="B7"/>
    </sheetView>
  </sheetViews>
  <sheetFormatPr baseColWidth="10" defaultColWidth="11.453125" defaultRowHeight="12.5" x14ac:dyDescent="0.25"/>
  <cols>
    <col min="1" max="1" width="28" style="15" customWidth="1"/>
    <col min="2" max="2" width="13.81640625" style="15" customWidth="1"/>
    <col min="3" max="3" width="16" style="15" bestFit="1" customWidth="1"/>
    <col min="4" max="4" width="14.81640625" style="15" bestFit="1" customWidth="1"/>
    <col min="5" max="8" width="13.81640625" style="15" customWidth="1"/>
    <col min="9" max="9" width="16" style="15" bestFit="1" customWidth="1"/>
    <col min="10" max="10" width="17.453125" style="15" customWidth="1"/>
    <col min="11" max="16384" width="11.453125" style="15"/>
  </cols>
  <sheetData>
    <row r="1" spans="1:9" ht="13" x14ac:dyDescent="0.3">
      <c r="A1" s="1" t="s">
        <v>0</v>
      </c>
      <c r="B1"/>
      <c r="C1"/>
      <c r="D1"/>
      <c r="G1" s="2">
        <f>InfoInicial!E1</f>
        <v>8</v>
      </c>
    </row>
    <row r="3" spans="1:9" ht="15.5" x14ac:dyDescent="0.35">
      <c r="A3" s="54" t="s">
        <v>195</v>
      </c>
      <c r="B3" s="55"/>
      <c r="C3" s="55"/>
      <c r="D3" s="55"/>
      <c r="E3" s="55"/>
      <c r="F3" s="55"/>
      <c r="G3" s="55"/>
      <c r="H3" s="55"/>
      <c r="I3" s="56"/>
    </row>
    <row r="4" spans="1:9" ht="26" x14ac:dyDescent="0.3">
      <c r="A4" s="57" t="s">
        <v>94</v>
      </c>
      <c r="B4" s="106" t="s">
        <v>196</v>
      </c>
      <c r="C4" s="106" t="s">
        <v>197</v>
      </c>
      <c r="D4" s="20" t="s">
        <v>54</v>
      </c>
      <c r="E4" s="20" t="s">
        <v>95</v>
      </c>
      <c r="F4" s="20" t="s">
        <v>96</v>
      </c>
      <c r="G4" s="20" t="s">
        <v>97</v>
      </c>
      <c r="H4" s="107" t="s">
        <v>98</v>
      </c>
      <c r="I4" s="21" t="s">
        <v>198</v>
      </c>
    </row>
    <row r="5" spans="1:9" ht="13" x14ac:dyDescent="0.3">
      <c r="A5" s="101" t="s">
        <v>199</v>
      </c>
      <c r="B5" s="102"/>
      <c r="C5" s="102"/>
      <c r="D5" s="102"/>
      <c r="E5" s="102"/>
      <c r="F5" s="102"/>
      <c r="G5" s="102"/>
      <c r="H5" s="108"/>
      <c r="I5" s="103"/>
    </row>
    <row r="6" spans="1:9" x14ac:dyDescent="0.25">
      <c r="A6" s="109" t="s">
        <v>200</v>
      </c>
      <c r="B6" s="62"/>
      <c r="C6" s="62">
        <f>+'E-Inv AF y Am'!B20+'E-Inv AF y Am'!D20</f>
        <v>12286268.58</v>
      </c>
      <c r="D6" s="62"/>
      <c r="E6" s="62"/>
      <c r="F6" s="62"/>
      <c r="G6" s="62"/>
      <c r="H6" s="110"/>
      <c r="I6" s="63">
        <f>+SUM(B6:H6)</f>
        <v>12286268.58</v>
      </c>
    </row>
    <row r="7" spans="1:9" x14ac:dyDescent="0.25">
      <c r="A7" s="109" t="s">
        <v>201</v>
      </c>
      <c r="B7" s="62">
        <f>+'E-Inv AF y Am'!B31</f>
        <v>81022.822444733945</v>
      </c>
      <c r="C7" s="62"/>
      <c r="D7" s="62">
        <f>+'E-Inv AF y Am'!C31</f>
        <v>87468.89206762785</v>
      </c>
      <c r="E7" s="62"/>
      <c r="F7" s="62"/>
      <c r="G7" s="62"/>
      <c r="H7" s="110"/>
      <c r="I7" s="63">
        <f t="shared" ref="I7:I18" si="0">+SUM(B7:H7)</f>
        <v>168491.7145123618</v>
      </c>
    </row>
    <row r="8" spans="1:9" ht="13" x14ac:dyDescent="0.3">
      <c r="A8" s="101" t="s">
        <v>202</v>
      </c>
      <c r="B8" s="90">
        <f>+SUM(B6:B7)</f>
        <v>81022.822444733945</v>
      </c>
      <c r="C8" s="90">
        <f>+SUM(C6:C7)</f>
        <v>12286268.58</v>
      </c>
      <c r="D8" s="90">
        <f>+SUM(D6:D7)</f>
        <v>87468.89206762785</v>
      </c>
      <c r="E8" s="62"/>
      <c r="F8" s="62"/>
      <c r="G8" s="62"/>
      <c r="H8" s="110"/>
      <c r="I8" s="63">
        <f t="shared" si="0"/>
        <v>12454760.294512361</v>
      </c>
    </row>
    <row r="9" spans="1:9" x14ac:dyDescent="0.25">
      <c r="A9" s="109"/>
      <c r="B9" s="82"/>
      <c r="C9" s="82"/>
      <c r="D9" s="82"/>
      <c r="E9" s="82"/>
      <c r="F9" s="82"/>
      <c r="G9" s="82"/>
      <c r="H9" s="111"/>
      <c r="I9" s="63"/>
    </row>
    <row r="10" spans="1:9" ht="13" x14ac:dyDescent="0.3">
      <c r="A10" s="101" t="s">
        <v>203</v>
      </c>
      <c r="B10" s="62"/>
      <c r="C10" s="62"/>
      <c r="D10" s="62"/>
      <c r="E10" s="62"/>
      <c r="F10" s="62"/>
      <c r="G10" s="62"/>
      <c r="H10" s="110"/>
      <c r="I10" s="63"/>
    </row>
    <row r="11" spans="1:9" x14ac:dyDescent="0.25">
      <c r="A11" s="109" t="s">
        <v>204</v>
      </c>
      <c r="B11" s="62"/>
      <c r="C11" s="62">
        <f>+'E-InvAT'!B6</f>
        <v>190752</v>
      </c>
      <c r="D11" s="62">
        <f>+'E-InvAT'!C6-'E-InvAT'!B6</f>
        <v>47688</v>
      </c>
      <c r="E11" s="62">
        <f>+'E-InvAT'!D6-'E-InvAT'!C6</f>
        <v>35660</v>
      </c>
      <c r="F11" s="62">
        <f>+'E-InvAT'!E6-'E-InvAT'!D6</f>
        <v>0</v>
      </c>
      <c r="G11" s="62">
        <f>+'E-InvAT'!F6-'E-InvAT'!E6</f>
        <v>0</v>
      </c>
      <c r="H11" s="62">
        <f>+'E-InvAT'!G6-'E-InvAT'!F6</f>
        <v>0</v>
      </c>
      <c r="I11" s="63">
        <f t="shared" si="0"/>
        <v>274100</v>
      </c>
    </row>
    <row r="12" spans="1:9" x14ac:dyDescent="0.25">
      <c r="A12" s="109" t="s">
        <v>205</v>
      </c>
      <c r="B12" s="62"/>
      <c r="C12" s="62"/>
      <c r="D12" s="62">
        <f>+'E-InvAT'!C7-'E-InvAT'!C19-'E-InvAT'!C20</f>
        <v>678327.01467619999</v>
      </c>
      <c r="E12" s="62">
        <f>+'E-InvAT'!D7-'E-InvAT'!D19-'E-InvAT'!D20-('E-InvAT'!C7-'E-InvAT'!C19-'E-InvAT'!C20)</f>
        <v>-11565.321368731209</v>
      </c>
      <c r="F12" s="62">
        <f>+'E-InvAT'!E7-'E-InvAT'!E19-'E-InvAT'!E20-('E-InvAT'!D7-'E-InvAT'!D19-'E-InvAT'!D20)</f>
        <v>68.638061049045064</v>
      </c>
      <c r="G12" s="62">
        <f>+'E-InvAT'!F7-'E-InvAT'!F19-'E-InvAT'!F20-('E-InvAT'!E7-'E-InvAT'!E19-'E-InvAT'!E20)</f>
        <v>120.90389450313523</v>
      </c>
      <c r="H12" s="62">
        <f>+'E-InvAT'!G7-'E-InvAT'!G19-'E-InvAT'!G20-('E-InvAT'!F7-'E-InvAT'!F19-'E-InvAT'!F20)</f>
        <v>-5.1864285238552839</v>
      </c>
      <c r="I12" s="63">
        <f t="shared" si="0"/>
        <v>666946.04883449711</v>
      </c>
    </row>
    <row r="13" spans="1:9" x14ac:dyDescent="0.25">
      <c r="A13" s="109" t="s">
        <v>206</v>
      </c>
      <c r="B13" s="62"/>
      <c r="C13" s="62"/>
      <c r="D13" s="62"/>
      <c r="E13" s="62"/>
      <c r="F13" s="62"/>
      <c r="G13" s="62"/>
      <c r="H13" s="110"/>
      <c r="I13" s="63"/>
    </row>
    <row r="14" spans="1:9" x14ac:dyDescent="0.25">
      <c r="A14" s="109" t="s">
        <v>207</v>
      </c>
      <c r="B14" s="62"/>
      <c r="C14" s="62">
        <f>+'E-InvAT'!B10</f>
        <v>135907.20000000001</v>
      </c>
      <c r="D14" s="62">
        <f>+'E-InvAT'!C10-'E-InvAT'!B10</f>
        <v>1149.9839999999967</v>
      </c>
      <c r="E14" s="62">
        <f>+'E-InvAT'!D10-'E-InvAT'!C10</f>
        <v>0</v>
      </c>
      <c r="F14" s="62">
        <f>+'E-InvAT'!E10-'E-InvAT'!D10</f>
        <v>0</v>
      </c>
      <c r="G14" s="62">
        <f>+'E-InvAT'!F10-'E-InvAT'!E10</f>
        <v>0</v>
      </c>
      <c r="H14" s="62">
        <f>+'E-InvAT'!G10-'E-InvAT'!F10</f>
        <v>0</v>
      </c>
      <c r="I14" s="63">
        <f t="shared" si="0"/>
        <v>137057.18400000001</v>
      </c>
    </row>
    <row r="15" spans="1:9" x14ac:dyDescent="0.25">
      <c r="A15" s="109" t="s">
        <v>208</v>
      </c>
      <c r="B15" s="62"/>
      <c r="C15" s="62">
        <f>+'E-InvAT'!B11</f>
        <v>218636.70054106519</v>
      </c>
      <c r="D15" s="62">
        <f>+'E-InvAT'!C11-'E-InvAT'!B11</f>
        <v>24292.966726785031</v>
      </c>
      <c r="E15" s="62">
        <f>+'E-InvAT'!D11-'E-InvAT'!C11</f>
        <v>24197.416934941168</v>
      </c>
      <c r="F15" s="62">
        <f>+'E-InvAT'!E11-'E-InvAT'!D11</f>
        <v>0</v>
      </c>
      <c r="G15" s="62">
        <f>+'E-InvAT'!F11-'E-InvAT'!E11</f>
        <v>0</v>
      </c>
      <c r="H15" s="62">
        <f>+'E-InvAT'!G11-'E-InvAT'!F11</f>
        <v>0</v>
      </c>
      <c r="I15" s="63">
        <f t="shared" si="0"/>
        <v>267127.08420279139</v>
      </c>
    </row>
    <row r="16" spans="1:9" x14ac:dyDescent="0.25">
      <c r="A16" s="109" t="s">
        <v>209</v>
      </c>
      <c r="B16" s="62"/>
      <c r="C16" s="62">
        <f>+'E-InvAT'!B12</f>
        <v>0</v>
      </c>
      <c r="D16" s="62">
        <f>+'E-InvAT'!C12-'E-InvAT'!B12</f>
        <v>15544.103491820802</v>
      </c>
      <c r="E16" s="62">
        <f>+'E-InvAT'!D12-'E-InvAT'!C12</f>
        <v>-321.17624572485329</v>
      </c>
      <c r="F16" s="62">
        <f>+'E-InvAT'!E12-'E-InvAT'!D12</f>
        <v>0</v>
      </c>
      <c r="G16" s="62">
        <f>+'E-InvAT'!F12-'E-InvAT'!E12</f>
        <v>-10.402993295878332</v>
      </c>
      <c r="H16" s="62">
        <f>+'E-InvAT'!G12-'E-InvAT'!F12</f>
        <v>0</v>
      </c>
      <c r="I16" s="63">
        <f t="shared" si="0"/>
        <v>15212.524252800071</v>
      </c>
    </row>
    <row r="17" spans="1:10" x14ac:dyDescent="0.25">
      <c r="A17" s="109" t="s">
        <v>210</v>
      </c>
      <c r="B17" s="62"/>
      <c r="C17" s="62">
        <f>+'E-InvAT'!B13</f>
        <v>0</v>
      </c>
      <c r="D17" s="62">
        <f>+('E-InvAT'!C13-'E-InvAT'!C18)-('E-InvAT'!B13-'E-InvAT'!B18)</f>
        <v>123920.63205846937</v>
      </c>
      <c r="E17" s="62">
        <f>+('E-InvAT'!D13-'E-InvAT'!D18)-('E-InvAT'!C13-'E-InvAT'!C18)</f>
        <v>983.50255555157491</v>
      </c>
      <c r="F17" s="62">
        <f>+('E-InvAT'!E13-'E-InvAT'!E18)-('E-InvAT'!D13-'E-InvAT'!D18)</f>
        <v>-11.063531537802191</v>
      </c>
      <c r="G17" s="62">
        <f>+('E-InvAT'!F13-'E-InvAT'!F18)-('E-InvAT'!E13-'E-InvAT'!E18)</f>
        <v>-124.93158251600107</v>
      </c>
      <c r="H17" s="62">
        <f>+('E-InvAT'!G13-'E-InvAT'!G18)-('E-InvAT'!F13-'E-InvAT'!F18)</f>
        <v>-0.35835104853322264</v>
      </c>
      <c r="I17" s="63">
        <f t="shared" si="0"/>
        <v>124767.78114891861</v>
      </c>
    </row>
    <row r="18" spans="1:10" ht="13" x14ac:dyDescent="0.3">
      <c r="A18" s="101" t="s">
        <v>211</v>
      </c>
      <c r="B18" s="62"/>
      <c r="C18" s="90">
        <f t="shared" ref="C18:H18" si="1">+SUM(C11:C17)</f>
        <v>545295.90054106526</v>
      </c>
      <c r="D18" s="90">
        <f t="shared" si="1"/>
        <v>890922.7009532752</v>
      </c>
      <c r="E18" s="90">
        <f t="shared" si="1"/>
        <v>48954.421876036678</v>
      </c>
      <c r="F18" s="90">
        <f t="shared" si="1"/>
        <v>57.574529511242872</v>
      </c>
      <c r="G18" s="90">
        <f t="shared" si="1"/>
        <v>-14.43068130874417</v>
      </c>
      <c r="H18" s="90">
        <f t="shared" si="1"/>
        <v>-5.5447795723885065</v>
      </c>
      <c r="I18" s="63">
        <f t="shared" si="0"/>
        <v>1485210.6224390073</v>
      </c>
    </row>
    <row r="19" spans="1:10" x14ac:dyDescent="0.25">
      <c r="A19" s="109"/>
      <c r="B19" s="82"/>
      <c r="C19" s="82"/>
      <c r="D19" s="82"/>
      <c r="E19" s="82"/>
      <c r="F19" s="82"/>
      <c r="G19" s="82"/>
      <c r="H19" s="111"/>
      <c r="I19" s="83"/>
    </row>
    <row r="20" spans="1:10" ht="13" x14ac:dyDescent="0.3">
      <c r="A20" s="101" t="s">
        <v>212</v>
      </c>
      <c r="B20" s="82"/>
      <c r="C20" s="82"/>
      <c r="D20" s="82"/>
      <c r="E20" s="82"/>
      <c r="F20" s="82"/>
      <c r="G20" s="82"/>
      <c r="H20" s="111"/>
      <c r="I20" s="83"/>
    </row>
    <row r="21" spans="1:10" x14ac:dyDescent="0.25">
      <c r="A21" s="109" t="s">
        <v>213</v>
      </c>
      <c r="B21" s="62">
        <f t="shared" ref="B21:H21" si="2">+B8*0.21</f>
        <v>17014.792713394127</v>
      </c>
      <c r="C21" s="62">
        <f t="shared" si="2"/>
        <v>2580116.4018000001</v>
      </c>
      <c r="D21" s="62">
        <f t="shared" si="2"/>
        <v>18368.467334201847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3">
        <f>+SUM(B21:H21)</f>
        <v>2615499.6618475961</v>
      </c>
    </row>
    <row r="22" spans="1:10" x14ac:dyDescent="0.25">
      <c r="A22" s="109" t="s">
        <v>214</v>
      </c>
      <c r="B22" s="62"/>
      <c r="C22" s="62">
        <f>+'E-InvAT'!B34</f>
        <v>74454.219113623694</v>
      </c>
      <c r="D22" s="62">
        <f>+'E-InvAT'!C34</f>
        <v>109089.35923491715</v>
      </c>
      <c r="E22" s="62">
        <f>+'E-InvAT'!D34</f>
        <v>114309.90725680024</v>
      </c>
      <c r="F22" s="62">
        <f>+'E-InvAT'!E34</f>
        <v>114307.5839151773</v>
      </c>
      <c r="G22" s="62">
        <f>+'E-InvAT'!F34</f>
        <v>114279.13765993755</v>
      </c>
      <c r="H22" s="62">
        <f>+'E-InvAT'!G34</f>
        <v>114279.06240621736</v>
      </c>
      <c r="I22" s="63">
        <f>+SUM(B22:H22)</f>
        <v>640719.26958667336</v>
      </c>
    </row>
    <row r="23" spans="1:10" ht="13" x14ac:dyDescent="0.3">
      <c r="A23" s="101" t="s">
        <v>215</v>
      </c>
      <c r="B23" s="62">
        <f t="shared" ref="B23:H23" si="3">+B21+B22</f>
        <v>17014.792713394127</v>
      </c>
      <c r="C23" s="62">
        <f t="shared" si="3"/>
        <v>2654570.6209136238</v>
      </c>
      <c r="D23" s="62">
        <f t="shared" si="3"/>
        <v>127457.826569119</v>
      </c>
      <c r="E23" s="62">
        <f t="shared" si="3"/>
        <v>114309.90725680024</v>
      </c>
      <c r="F23" s="62">
        <f t="shared" si="3"/>
        <v>114307.5839151773</v>
      </c>
      <c r="G23" s="62">
        <f t="shared" si="3"/>
        <v>114279.13765993755</v>
      </c>
      <c r="H23" s="62">
        <f t="shared" si="3"/>
        <v>114279.06240621736</v>
      </c>
      <c r="I23" s="63">
        <f>+SUM(B23:H23)</f>
        <v>3256218.9314342691</v>
      </c>
    </row>
    <row r="24" spans="1:10" ht="13" x14ac:dyDescent="0.3">
      <c r="A24" s="101"/>
      <c r="B24" s="82"/>
      <c r="C24" s="82"/>
      <c r="D24" s="82"/>
      <c r="E24" s="82"/>
      <c r="F24" s="82"/>
      <c r="G24" s="82"/>
      <c r="H24" s="111"/>
      <c r="I24" s="83"/>
    </row>
    <row r="25" spans="1:10" ht="13" x14ac:dyDescent="0.3">
      <c r="A25" s="105" t="s">
        <v>216</v>
      </c>
      <c r="B25" s="145">
        <f>+B8+B18+B23</f>
        <v>98037.615158128072</v>
      </c>
      <c r="C25" s="145">
        <f t="shared" ref="C25:H25" si="4">+C8+C18+C23</f>
        <v>15486135.10145469</v>
      </c>
      <c r="D25" s="145">
        <f t="shared" si="4"/>
        <v>1105849.4195900219</v>
      </c>
      <c r="E25" s="145">
        <f t="shared" si="4"/>
        <v>163264.32913283692</v>
      </c>
      <c r="F25" s="145">
        <f t="shared" si="4"/>
        <v>114365.15844468854</v>
      </c>
      <c r="G25" s="145">
        <f t="shared" si="4"/>
        <v>114264.7069786288</v>
      </c>
      <c r="H25" s="145">
        <f t="shared" si="4"/>
        <v>114273.51762664497</v>
      </c>
      <c r="I25" s="91">
        <f>+SUM(B25:H25)</f>
        <v>17196189.848385639</v>
      </c>
      <c r="J25" s="327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0"/>
  <sheetViews>
    <sheetView topLeftCell="A10" zoomScale="90" zoomScaleNormal="90" workbookViewId="0">
      <selection activeCell="I23" sqref="I23"/>
    </sheetView>
  </sheetViews>
  <sheetFormatPr baseColWidth="10" defaultColWidth="11.453125" defaultRowHeight="12.5" x14ac:dyDescent="0.25"/>
  <cols>
    <col min="1" max="1" width="28" style="15" customWidth="1"/>
    <col min="2" max="2" width="40.26953125" style="15" bestFit="1" customWidth="1"/>
    <col min="3" max="3" width="14.81640625" style="15" bestFit="1" customWidth="1"/>
    <col min="4" max="4" width="13.81640625" style="15" customWidth="1"/>
    <col min="5" max="5" width="14.81640625" style="15" bestFit="1" customWidth="1"/>
    <col min="6" max="7" width="13.81640625" style="15" customWidth="1"/>
    <col min="8" max="8" width="17.453125" style="15" customWidth="1"/>
    <col min="9" max="16384" width="11.453125" style="15"/>
  </cols>
  <sheetData>
    <row r="1" spans="1:7" ht="13" x14ac:dyDescent="0.3">
      <c r="A1" s="1" t="s">
        <v>0</v>
      </c>
      <c r="B1"/>
      <c r="C1"/>
      <c r="D1"/>
      <c r="G1" s="2">
        <f>InfoInicial!E1</f>
        <v>8</v>
      </c>
    </row>
    <row r="2" spans="1:7" ht="15.5" x14ac:dyDescent="0.35">
      <c r="A2" s="113" t="s">
        <v>217</v>
      </c>
      <c r="B2" s="55"/>
      <c r="C2" s="55"/>
      <c r="D2" s="55"/>
      <c r="E2" s="55"/>
      <c r="F2" s="55"/>
      <c r="G2" s="56"/>
    </row>
    <row r="3" spans="1:7" ht="15.5" x14ac:dyDescent="0.35">
      <c r="A3" s="114"/>
      <c r="B3" s="115" t="s">
        <v>218</v>
      </c>
      <c r="C3" s="115"/>
      <c r="D3" s="115"/>
      <c r="E3" s="115"/>
      <c r="F3" s="115"/>
      <c r="G3" s="116"/>
    </row>
    <row r="4" spans="1:7" ht="13" x14ac:dyDescent="0.3">
      <c r="A4" s="117" t="s">
        <v>94</v>
      </c>
      <c r="B4" s="106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ht="13" x14ac:dyDescent="0.3">
      <c r="A5" s="118" t="s">
        <v>219</v>
      </c>
      <c r="B5" s="119"/>
      <c r="C5" s="102"/>
      <c r="D5" s="102"/>
      <c r="E5" s="102"/>
      <c r="F5" s="102"/>
      <c r="G5" s="103"/>
    </row>
    <row r="6" spans="1:7" x14ac:dyDescent="0.25">
      <c r="A6" s="120" t="s">
        <v>220</v>
      </c>
      <c r="B6" s="121"/>
      <c r="C6" s="62">
        <f>+'E-Costos'!B7*0.21</f>
        <v>302845.568256</v>
      </c>
      <c r="D6" s="62">
        <f>+'E-Costos'!C7*0.21</f>
        <v>330982.12224000006</v>
      </c>
      <c r="E6" s="62">
        <f>+'E-Costos'!D7*0.21</f>
        <v>330982.12224000006</v>
      </c>
      <c r="F6" s="62">
        <f>+'E-Costos'!E7*0.21</f>
        <v>330982.12224000006</v>
      </c>
      <c r="G6" s="62">
        <f>+'E-Costos'!F7*0.21</f>
        <v>330982.12224000006</v>
      </c>
    </row>
    <row r="7" spans="1:7" x14ac:dyDescent="0.25">
      <c r="A7" s="120" t="s">
        <v>104</v>
      </c>
      <c r="B7" s="121"/>
      <c r="C7" s="62">
        <f>+('E-Costos'!B12+'E-Costos'!B30+'E-Costos'!B54+'E-Costos'!B71)*0.21</f>
        <v>51015.230126248542</v>
      </c>
      <c r="D7" s="62">
        <f>+('E-Costos'!C12+'E-Costos'!C30+'E-Costos'!C54+'E-Costos'!C71)*0.21</f>
        <v>56096.687682586191</v>
      </c>
      <c r="E7" s="62">
        <f>+('E-Costos'!D12+'E-Costos'!D30+'E-Costos'!D54+'E-Costos'!D71)*0.21</f>
        <v>56096.687682586191</v>
      </c>
      <c r="F7" s="62">
        <f>+('E-Costos'!E12+'E-Costos'!E30+'E-Costos'!E54+'E-Costos'!E71)*0.21</f>
        <v>56096.687682586191</v>
      </c>
      <c r="G7" s="62">
        <f>+('E-Costos'!F12+'E-Costos'!F30+'E-Costos'!F54+'E-Costos'!F71)*0.21</f>
        <v>56096.687682586191</v>
      </c>
    </row>
    <row r="8" spans="1:7" x14ac:dyDescent="0.25">
      <c r="A8" s="120" t="s">
        <v>105</v>
      </c>
      <c r="B8" s="121"/>
      <c r="C8" s="62">
        <f>+('E-Costos'!B13+'E-Costos'!B55+'E-Costos'!B72)*0.21</f>
        <v>160524</v>
      </c>
      <c r="D8" s="62">
        <f>+('E-Costos'!C13+'E-Costos'!C55+'E-Costos'!C72)*0.21</f>
        <v>176400</v>
      </c>
      <c r="E8" s="62">
        <f>+('E-Costos'!D13+'E-Costos'!D55+'E-Costos'!D72)*0.21</f>
        <v>176400</v>
      </c>
      <c r="F8" s="62">
        <f>+('E-Costos'!E13+'E-Costos'!E55+'E-Costos'!E72)*0.21</f>
        <v>176400</v>
      </c>
      <c r="G8" s="62">
        <f>+('E-Costos'!F13+'E-Costos'!F55+'E-Costos'!F72)*0.21</f>
        <v>176400</v>
      </c>
    </row>
    <row r="9" spans="1:7" x14ac:dyDescent="0.25">
      <c r="A9" s="120" t="s">
        <v>106</v>
      </c>
      <c r="B9" s="121"/>
      <c r="C9" s="62">
        <f>+('E-Costos'!B14+'E-Costos'!B56+'E-Costos'!B73)*0.21</f>
        <v>4788</v>
      </c>
      <c r="D9" s="62">
        <f>+('E-Costos'!C14+'E-Costos'!C56+'E-Costos'!C73)*0.21</f>
        <v>5985</v>
      </c>
      <c r="E9" s="62">
        <f>+('E-Costos'!D14+'E-Costos'!D56+'E-Costos'!D73)*0.21</f>
        <v>5985</v>
      </c>
      <c r="F9" s="62">
        <f>+('E-Costos'!E14+'E-Costos'!E56+'E-Costos'!E73)*0.21</f>
        <v>5985</v>
      </c>
      <c r="G9" s="62">
        <f>+('E-Costos'!F14+'E-Costos'!F56+'E-Costos'!F73)*0.21</f>
        <v>5985</v>
      </c>
    </row>
    <row r="10" spans="1:7" x14ac:dyDescent="0.25">
      <c r="A10" s="120" t="s">
        <v>221</v>
      </c>
      <c r="B10" s="121"/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120" t="s">
        <v>130</v>
      </c>
      <c r="B11" s="121"/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13" x14ac:dyDescent="0.3">
      <c r="A12" s="122" t="s">
        <v>89</v>
      </c>
      <c r="B12" s="121"/>
      <c r="C12" s="90">
        <f>+SUM(C6:C11)</f>
        <v>519172.79838224855</v>
      </c>
      <c r="D12" s="90">
        <f>+SUM(D6:D11)</f>
        <v>569463.8099225862</v>
      </c>
      <c r="E12" s="90">
        <f>+SUM(E6:E11)</f>
        <v>569463.8099225862</v>
      </c>
      <c r="F12" s="90">
        <f>+SUM(F6:F11)</f>
        <v>569463.8099225862</v>
      </c>
      <c r="G12" s="90">
        <f>+SUM(G6:G11)</f>
        <v>569463.8099225862</v>
      </c>
    </row>
    <row r="13" spans="1:7" x14ac:dyDescent="0.25">
      <c r="A13" s="120" t="s">
        <v>222</v>
      </c>
      <c r="B13" s="121"/>
      <c r="D13" s="62"/>
      <c r="E13" s="62"/>
      <c r="F13" s="62"/>
      <c r="G13" s="63"/>
    </row>
    <row r="14" spans="1:7" x14ac:dyDescent="0.25">
      <c r="A14" s="120" t="s">
        <v>223</v>
      </c>
      <c r="B14" s="123"/>
      <c r="C14" s="325">
        <f>+'E-Costos'!G25-'E-Costos'!G26</f>
        <v>67094.545592080351</v>
      </c>
      <c r="D14" s="82"/>
      <c r="E14" s="82"/>
      <c r="F14" s="82"/>
      <c r="G14" s="83"/>
    </row>
    <row r="15" spans="1:7" x14ac:dyDescent="0.25">
      <c r="A15" s="120" t="s">
        <v>224</v>
      </c>
      <c r="B15" s="121"/>
      <c r="C15" s="62">
        <f>+'E-InvAT'!C12*0.21</f>
        <v>3264.2617332823684</v>
      </c>
      <c r="D15" s="62">
        <f>+'E-InvAT'!D12*0.21</f>
        <v>3196.814721680149</v>
      </c>
      <c r="E15" s="62">
        <f>+'E-InvAT'!E12*0.21</f>
        <v>3196.814721680149</v>
      </c>
      <c r="F15" s="62">
        <f>+'E-InvAT'!F12*0.21</f>
        <v>3194.6300930880147</v>
      </c>
      <c r="G15" s="62">
        <f>+'E-InvAT'!G12*0.21</f>
        <v>3194.6300930880147</v>
      </c>
    </row>
    <row r="16" spans="1:7" x14ac:dyDescent="0.25">
      <c r="A16" s="120" t="s">
        <v>225</v>
      </c>
      <c r="B16" s="121"/>
      <c r="C16" s="62">
        <f>+'E-InvAT'!C13*0.21</f>
        <v>26027.858735386235</v>
      </c>
      <c r="D16" s="62">
        <f>+'E-InvAT'!D13*0.21</f>
        <v>26234.396212533917</v>
      </c>
      <c r="E16" s="62">
        <f>+'E-InvAT'!E13*0.21</f>
        <v>26232.072870910975</v>
      </c>
      <c r="F16" s="62">
        <f>+'E-InvAT'!F13*0.21</f>
        <v>26205.811244263354</v>
      </c>
      <c r="G16" s="62">
        <f>+'E-InvAT'!G13*0.21</f>
        <v>26205.735990543162</v>
      </c>
    </row>
    <row r="17" spans="1:7" ht="13" x14ac:dyDescent="0.3">
      <c r="A17" s="122" t="s">
        <v>226</v>
      </c>
      <c r="B17" s="121"/>
      <c r="C17" s="90">
        <f>+C12-SUM(C14:C16)</f>
        <v>422786.13232149958</v>
      </c>
      <c r="D17" s="90">
        <f>+D12-SUM(D13:D16)</f>
        <v>540032.59898837213</v>
      </c>
      <c r="E17" s="90">
        <f>+E12-SUM(E13:E16)</f>
        <v>540034.92232999508</v>
      </c>
      <c r="F17" s="90">
        <f>+F12-SUM(F13:F16)</f>
        <v>540063.36858523486</v>
      </c>
      <c r="G17" s="90">
        <f>+G12-SUM(G13:G16)</f>
        <v>540063.44383895502</v>
      </c>
    </row>
    <row r="18" spans="1:7" ht="13" x14ac:dyDescent="0.3">
      <c r="A18" s="122" t="s">
        <v>227</v>
      </c>
      <c r="B18" s="121"/>
      <c r="C18" s="90">
        <f>+SUM('E-Costos'!B54:B57)</f>
        <v>54110.681580000004</v>
      </c>
      <c r="D18" s="90">
        <f>+SUM('E-Costos'!C54:C57)</f>
        <v>54110.681580000004</v>
      </c>
      <c r="E18" s="90">
        <f>+SUM('E-Costos'!D54:D57)</f>
        <v>54110.681580000004</v>
      </c>
      <c r="F18" s="90">
        <f>+SUM('E-Costos'!E54:E57)</f>
        <v>54110.681580000004</v>
      </c>
      <c r="G18" s="90">
        <f>+SUM('E-Costos'!F54:F57)</f>
        <v>54110.681580000004</v>
      </c>
    </row>
    <row r="19" spans="1:7" ht="13" x14ac:dyDescent="0.3">
      <c r="A19" s="122" t="s">
        <v>228</v>
      </c>
      <c r="B19" s="121"/>
      <c r="C19" s="90">
        <f>+SUM('E-Costos'!B71:B74)</f>
        <v>54110.681580000004</v>
      </c>
      <c r="D19" s="90">
        <f>+SUM('E-Costos'!C71:C74)</f>
        <v>54110.681580000004</v>
      </c>
      <c r="E19" s="90">
        <f>+SUM('E-Costos'!D71:D74)</f>
        <v>54110.681580000004</v>
      </c>
      <c r="F19" s="90">
        <f>+SUM('E-Costos'!E71:E74)</f>
        <v>54110.681580000004</v>
      </c>
      <c r="G19" s="90">
        <f>+SUM('E-Costos'!F71:F74)</f>
        <v>54110.681580000004</v>
      </c>
    </row>
    <row r="20" spans="1:7" ht="13" x14ac:dyDescent="0.3">
      <c r="A20" s="122"/>
      <c r="B20" s="123"/>
      <c r="C20" s="82"/>
      <c r="D20" s="82"/>
      <c r="E20" s="82"/>
      <c r="F20" s="82"/>
      <c r="G20" s="83"/>
    </row>
    <row r="21" spans="1:7" x14ac:dyDescent="0.25">
      <c r="A21" s="120" t="s">
        <v>229</v>
      </c>
      <c r="B21" s="121"/>
      <c r="C21" s="62">
        <f>+SUM(C17:C19)</f>
        <v>531007.49548149959</v>
      </c>
      <c r="D21" s="62">
        <f>+SUM(D17:D19)</f>
        <v>648253.96214837208</v>
      </c>
      <c r="E21" s="62">
        <f>+SUM(E17:E19)</f>
        <v>648256.28548999503</v>
      </c>
      <c r="F21" s="62">
        <f>+SUM(F17:F19)</f>
        <v>648284.73174523481</v>
      </c>
      <c r="G21" s="62">
        <f>+SUM(G17:G19)</f>
        <v>648284.80699895497</v>
      </c>
    </row>
    <row r="22" spans="1:7" x14ac:dyDescent="0.25">
      <c r="A22" s="120" t="s">
        <v>230</v>
      </c>
      <c r="B22" s="121"/>
      <c r="C22" s="62">
        <f>+'E-Costos'!B88*0.21</f>
        <v>2503620</v>
      </c>
      <c r="D22" s="62">
        <f>+'E-Costos'!C88*0.21</f>
        <v>2878050</v>
      </c>
      <c r="E22" s="62">
        <f>+'E-Costos'!D88*0.21</f>
        <v>2878050</v>
      </c>
      <c r="F22" s="62">
        <f>+'E-Costos'!E88*0.21</f>
        <v>2878050</v>
      </c>
      <c r="G22" s="62">
        <f>+'E-Costos'!F88*0.21</f>
        <v>2878050</v>
      </c>
    </row>
    <row r="23" spans="1:7" ht="13" x14ac:dyDescent="0.3">
      <c r="A23" s="122" t="s">
        <v>231</v>
      </c>
      <c r="B23" s="121"/>
      <c r="C23" s="90">
        <f>+C22-C21</f>
        <v>1972612.5045185005</v>
      </c>
      <c r="D23" s="90">
        <f>+D22-D21</f>
        <v>2229796.0378516279</v>
      </c>
      <c r="E23" s="90">
        <f>+E22-E21</f>
        <v>2229793.714510005</v>
      </c>
      <c r="F23" s="90">
        <f>+F22-F21</f>
        <v>2229765.2682547653</v>
      </c>
      <c r="G23" s="90">
        <f>+G22-G21</f>
        <v>2229765.1930010449</v>
      </c>
    </row>
    <row r="24" spans="1:7" x14ac:dyDescent="0.25">
      <c r="A24" s="120"/>
      <c r="B24" s="123"/>
      <c r="C24" s="82"/>
      <c r="D24" s="82"/>
      <c r="E24" s="82"/>
      <c r="F24" s="82"/>
      <c r="G24" s="83"/>
    </row>
    <row r="25" spans="1:7" ht="13" x14ac:dyDescent="0.3">
      <c r="A25" s="124" t="s">
        <v>232</v>
      </c>
      <c r="B25" s="121"/>
      <c r="C25" s="62">
        <f>+B27</f>
        <v>2671585.4136270178</v>
      </c>
      <c r="D25" s="62">
        <f>+C27</f>
        <v>826430.73567763623</v>
      </c>
      <c r="E25" s="62">
        <f>+D27</f>
        <v>0</v>
      </c>
      <c r="F25" s="62">
        <f>+E27</f>
        <v>0</v>
      </c>
      <c r="G25" s="62">
        <f>+F27</f>
        <v>0</v>
      </c>
    </row>
    <row r="26" spans="1:7" ht="13" x14ac:dyDescent="0.3">
      <c r="A26" s="124" t="s">
        <v>233</v>
      </c>
      <c r="B26" s="121">
        <f>+'E-Cal Inv.'!B23+'E-Cal Inv.'!C23</f>
        <v>2671585.4136270178</v>
      </c>
      <c r="C26" s="62">
        <f>+'E-Cal Inv.'!D23</f>
        <v>127457.826569119</v>
      </c>
      <c r="D26" s="62">
        <f>+'E-Cal Inv.'!E23</f>
        <v>114309.90725680024</v>
      </c>
      <c r="E26" s="62">
        <f>+'E-Cal Inv.'!F23</f>
        <v>114307.5839151773</v>
      </c>
      <c r="F26" s="62">
        <f>+'E-Cal Inv.'!G23</f>
        <v>114279.13765993755</v>
      </c>
      <c r="G26" s="62">
        <f>+'E-Cal Inv.'!H23</f>
        <v>114279.06240621736</v>
      </c>
    </row>
    <row r="27" spans="1:7" ht="13" x14ac:dyDescent="0.3">
      <c r="A27" s="122" t="s">
        <v>234</v>
      </c>
      <c r="B27" s="121">
        <f>+B26-B23</f>
        <v>2671585.4136270178</v>
      </c>
      <c r="C27" s="121">
        <f>IF(C25+C26-C23&gt;0,C25+C26-C23,0)</f>
        <v>826430.73567763623</v>
      </c>
      <c r="D27" s="121">
        <f>IF(D25+D26-D23&gt;0,D25+D26-D23,0)</f>
        <v>0</v>
      </c>
      <c r="E27" s="121">
        <f>IF(E25+E26-E23&gt;0,E25+E26-E23,0)</f>
        <v>0</v>
      </c>
      <c r="F27" s="121">
        <f>IF(F25+F26-F23&gt;0,F25+F26-F23,0)</f>
        <v>0</v>
      </c>
      <c r="G27" s="121">
        <f>IF(G25+G26-G23&gt;0,G25+G26-G23,0)</f>
        <v>0</v>
      </c>
    </row>
    <row r="28" spans="1:7" ht="13" x14ac:dyDescent="0.3">
      <c r="A28" s="122" t="s">
        <v>235</v>
      </c>
      <c r="B28" s="121"/>
      <c r="C28" s="121">
        <f>IF(C25+C26&gt;C23,C23,IF(C23-C25-C26&gt;0,C25+C26,0))</f>
        <v>1972612.5045185005</v>
      </c>
      <c r="D28" s="121">
        <f>IF(D25+D26&gt;D23,D23,IF(D23-D25-D26&gt;0,D25+D26,0))</f>
        <v>940740.64293443644</v>
      </c>
      <c r="E28" s="121">
        <f>IF(E25+E26&gt;E23,E23,IF(E23-E25-E26&gt;0,E25+E26,0))</f>
        <v>114307.5839151773</v>
      </c>
      <c r="F28" s="121">
        <f>IF(F25+F26&gt;F23,F23,IF(F23-F25-F26&gt;0,F25+F26,0))</f>
        <v>114279.13765993755</v>
      </c>
      <c r="G28" s="121">
        <f>IF(G25+G26&gt;G23,G23,IF(G23-G25-G26&gt;0,G25+G26,0))</f>
        <v>114279.06240621736</v>
      </c>
    </row>
    <row r="29" spans="1:7" x14ac:dyDescent="0.25">
      <c r="A29" s="120"/>
      <c r="B29" s="123"/>
      <c r="C29" s="82"/>
      <c r="D29" s="82"/>
      <c r="E29" s="82"/>
      <c r="F29" s="82"/>
      <c r="G29" s="83"/>
    </row>
    <row r="30" spans="1:7" ht="13" x14ac:dyDescent="0.3">
      <c r="A30" s="125" t="s">
        <v>236</v>
      </c>
      <c r="B30" s="328">
        <f t="shared" ref="B30:G30" si="0">IF(B23-B27-B28&gt;0,B23-B27-B28,0)</f>
        <v>0</v>
      </c>
      <c r="C30" s="328">
        <f t="shared" si="0"/>
        <v>0</v>
      </c>
      <c r="D30" s="328">
        <f t="shared" si="0"/>
        <v>1289055.3949171915</v>
      </c>
      <c r="E30" s="328">
        <f t="shared" si="0"/>
        <v>2115486.1305948277</v>
      </c>
      <c r="F30" s="328">
        <f t="shared" si="0"/>
        <v>2115486.1305948277</v>
      </c>
      <c r="G30" s="328">
        <f t="shared" si="0"/>
        <v>2115486.1305948277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zoomScale="90" zoomScaleNormal="90" workbookViewId="0">
      <selection activeCell="C9" sqref="C9"/>
    </sheetView>
  </sheetViews>
  <sheetFormatPr baseColWidth="10" defaultColWidth="11.453125" defaultRowHeight="12.5" x14ac:dyDescent="0.25"/>
  <cols>
    <col min="1" max="1" width="7.81640625" style="15" customWidth="1"/>
    <col min="2" max="2" width="16" style="15" bestFit="1" customWidth="1"/>
    <col min="3" max="3" width="33.26953125" style="15" bestFit="1" customWidth="1"/>
    <col min="4" max="4" width="16" style="15" bestFit="1" customWidth="1"/>
    <col min="5" max="5" width="14.81640625" style="15" customWidth="1"/>
    <col min="6" max="8" width="16" style="15" bestFit="1" customWidth="1"/>
    <col min="9" max="10" width="14.81640625" style="15" customWidth="1"/>
    <col min="11" max="11" width="16" style="15" bestFit="1" customWidth="1"/>
    <col min="12" max="12" width="16.7265625" style="15" bestFit="1" customWidth="1"/>
    <col min="13" max="13" width="16.81640625" style="15" bestFit="1" customWidth="1"/>
    <col min="14" max="14" width="17.453125" style="15" customWidth="1"/>
    <col min="15" max="16384" width="11.453125" style="15"/>
  </cols>
  <sheetData>
    <row r="1" spans="1:13" ht="13" x14ac:dyDescent="0.3">
      <c r="A1" s="1" t="s">
        <v>0</v>
      </c>
      <c r="B1"/>
      <c r="C1"/>
      <c r="D1"/>
      <c r="G1" s="15">
        <f>InfoInicial!E1</f>
        <v>8</v>
      </c>
      <c r="H1" s="2"/>
    </row>
    <row r="2" spans="1:13" ht="15.5" x14ac:dyDescent="0.35">
      <c r="A2" s="113" t="s">
        <v>237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39" x14ac:dyDescent="0.3">
      <c r="A3" s="117" t="s">
        <v>238</v>
      </c>
      <c r="B3" s="106" t="s">
        <v>239</v>
      </c>
      <c r="C3" s="106" t="s">
        <v>240</v>
      </c>
      <c r="D3" s="106" t="s">
        <v>241</v>
      </c>
      <c r="E3" s="106" t="s">
        <v>5</v>
      </c>
      <c r="F3" s="106" t="s">
        <v>242</v>
      </c>
      <c r="G3" s="106" t="s">
        <v>243</v>
      </c>
      <c r="H3" s="106" t="s">
        <v>244</v>
      </c>
      <c r="I3" s="106" t="s">
        <v>102</v>
      </c>
      <c r="J3" s="106" t="s">
        <v>245</v>
      </c>
      <c r="K3" s="106" t="s">
        <v>246</v>
      </c>
      <c r="L3" s="127" t="s">
        <v>247</v>
      </c>
      <c r="M3" s="128" t="s">
        <v>248</v>
      </c>
    </row>
    <row r="4" spans="1:13" ht="13" x14ac:dyDescent="0.3">
      <c r="A4" s="129">
        <v>0</v>
      </c>
      <c r="B4" s="130">
        <f>+'E-Cal Inv.'!B8+'E-Cal Inv.'!C8</f>
        <v>12367291.402444733</v>
      </c>
      <c r="C4" s="60">
        <f>+'E-Cal Inv.'!C18</f>
        <v>545295.90054106526</v>
      </c>
      <c r="D4" s="60">
        <f>+'E-Cal Inv.'!B23+'E-Cal Inv.'!C23</f>
        <v>2671585.4136270178</v>
      </c>
      <c r="E4" s="60">
        <v>0</v>
      </c>
      <c r="F4" s="60">
        <v>0</v>
      </c>
      <c r="G4" s="60">
        <f t="shared" ref="G4:G9" si="0">+SUM(B4:F4)</f>
        <v>15584172.716612816</v>
      </c>
      <c r="H4" s="60">
        <v>0</v>
      </c>
      <c r="I4" s="354">
        <v>0</v>
      </c>
      <c r="J4" s="60">
        <v>0</v>
      </c>
      <c r="K4" s="60">
        <f t="shared" ref="K4:K9" si="1">+SUM(H4:J4)</f>
        <v>0</v>
      </c>
      <c r="L4" s="131">
        <f>+K4-G4</f>
        <v>-15584172.716612816</v>
      </c>
      <c r="M4" s="61">
        <f>+L4</f>
        <v>-15584172.716612816</v>
      </c>
    </row>
    <row r="5" spans="1:13" ht="13" x14ac:dyDescent="0.3">
      <c r="A5" s="132">
        <v>1</v>
      </c>
      <c r="B5" s="121">
        <f>+'E-Cal Inv.'!D8</f>
        <v>87468.89206762785</v>
      </c>
      <c r="C5" s="62">
        <f>+'E-Cal Inv.'!D18</f>
        <v>890922.7009532752</v>
      </c>
      <c r="D5" s="62">
        <f>+'E-Cal Inv.'!D23</f>
        <v>127457.826569119</v>
      </c>
      <c r="E5" s="62">
        <f>+'E-Costos'!B119</f>
        <v>713086.71359988686</v>
      </c>
      <c r="F5" s="62">
        <f>+'E-Costos'!B120</f>
        <v>2246223.1478396435</v>
      </c>
      <c r="G5" s="60">
        <f t="shared" si="0"/>
        <v>4065159.2810295522</v>
      </c>
      <c r="H5" s="62">
        <f>+'E-Costos'!B118</f>
        <v>7130867.1359988684</v>
      </c>
      <c r="I5" s="355">
        <f>+'E-Inv AF y Am'!D56</f>
        <v>658553.3255691391</v>
      </c>
      <c r="J5" s="62">
        <f>+'E-IVA '!C28</f>
        <v>1972612.5045185005</v>
      </c>
      <c r="K5" s="60">
        <f t="shared" si="1"/>
        <v>9762032.9660865068</v>
      </c>
      <c r="L5" s="131">
        <f t="shared" ref="L5:L11" si="2">+K5-G5</f>
        <v>5696873.6850569546</v>
      </c>
      <c r="M5" s="63">
        <f>+M4+L5</f>
        <v>-9887299.0315558612</v>
      </c>
    </row>
    <row r="6" spans="1:13" ht="13" x14ac:dyDescent="0.3">
      <c r="A6" s="132">
        <v>2</v>
      </c>
      <c r="B6" s="121">
        <f>+'E-Cal Inv.'!E8</f>
        <v>0</v>
      </c>
      <c r="C6" s="62">
        <f>+'E-Cal Inv.'!E18</f>
        <v>48954.421876036678</v>
      </c>
      <c r="D6" s="62">
        <f>+'E-Cal Inv.'!E23</f>
        <v>114309.90725680024</v>
      </c>
      <c r="E6" s="62">
        <f>+'E-Costos'!C119</f>
        <v>843406.1770963762</v>
      </c>
      <c r="F6" s="62">
        <f>+'E-Costos'!C120</f>
        <v>2656729.457853585</v>
      </c>
      <c r="G6" s="60">
        <f t="shared" si="0"/>
        <v>3663399.964082798</v>
      </c>
      <c r="H6" s="62">
        <f>+'E-Costos'!C118</f>
        <v>8434061.770963762</v>
      </c>
      <c r="I6" s="355">
        <f>+'E-Inv AF y Am'!D56</f>
        <v>658553.3255691391</v>
      </c>
      <c r="J6" s="62">
        <f>+'E-IVA '!D28</f>
        <v>940740.64293443644</v>
      </c>
      <c r="K6" s="60">
        <f t="shared" si="1"/>
        <v>10033355.739467338</v>
      </c>
      <c r="L6" s="131">
        <f t="shared" si="2"/>
        <v>6369955.7753845397</v>
      </c>
      <c r="M6" s="63">
        <f>+M5+L6</f>
        <v>-3517343.2561713215</v>
      </c>
    </row>
    <row r="7" spans="1:13" ht="13" x14ac:dyDescent="0.3">
      <c r="A7" s="132">
        <v>3</v>
      </c>
      <c r="B7" s="121">
        <f>+'E-Cal Inv.'!F8</f>
        <v>0</v>
      </c>
      <c r="C7" s="62">
        <f>+'E-Cal Inv.'!F18</f>
        <v>57.574529511242872</v>
      </c>
      <c r="D7" s="62">
        <f>+'E-Cal Inv.'!F23</f>
        <v>114307.5839151773</v>
      </c>
      <c r="E7" s="62">
        <f>+'E-Costos'!D119</f>
        <v>843306.71956362843</v>
      </c>
      <c r="F7" s="62">
        <f>+'E-Costos'!D120</f>
        <v>2656416.1666254289</v>
      </c>
      <c r="G7" s="60">
        <f t="shared" si="0"/>
        <v>3614088.0446337461</v>
      </c>
      <c r="H7" s="62">
        <f>+'E-Costos'!D118</f>
        <v>8433067.1956362836</v>
      </c>
      <c r="I7" s="355">
        <f>+'E-Inv AF y Am'!D56</f>
        <v>658553.3255691391</v>
      </c>
      <c r="J7" s="62">
        <f>+'E-IVA '!E28</f>
        <v>114307.5839151773</v>
      </c>
      <c r="K7" s="60">
        <f t="shared" si="1"/>
        <v>9205928.1051206011</v>
      </c>
      <c r="L7" s="131">
        <f t="shared" si="2"/>
        <v>5591840.060486855</v>
      </c>
      <c r="M7" s="63">
        <f>+M6+L7</f>
        <v>2074496.8043155335</v>
      </c>
    </row>
    <row r="8" spans="1:13" ht="13" x14ac:dyDescent="0.3">
      <c r="A8" s="132">
        <v>4</v>
      </c>
      <c r="B8" s="121">
        <f>+'E-Cal Inv.'!G8</f>
        <v>0</v>
      </c>
      <c r="C8" s="62">
        <f>+'E-Cal Inv.'!G18</f>
        <v>-14.43068130874417</v>
      </c>
      <c r="D8" s="62">
        <f>+'E-Cal Inv.'!G23</f>
        <v>114279.13765993755</v>
      </c>
      <c r="E8" s="62">
        <f>+'E-Costos'!E119</f>
        <v>843699.85171361663</v>
      </c>
      <c r="F8" s="62">
        <f>+'E-Costos'!E120</f>
        <v>2657654.5328978919</v>
      </c>
      <c r="G8" s="60">
        <f t="shared" si="0"/>
        <v>3615619.0915901372</v>
      </c>
      <c r="H8" s="62">
        <f>+'E-Costos'!E118</f>
        <v>8436998.5171361659</v>
      </c>
      <c r="I8" s="355">
        <f>+'E-Inv AF y Am'!E56</f>
        <v>654772.65890247247</v>
      </c>
      <c r="J8" s="62">
        <f>+'E-IVA '!F28</f>
        <v>114279.13765993755</v>
      </c>
      <c r="K8" s="60">
        <f t="shared" si="1"/>
        <v>9206050.3136985749</v>
      </c>
      <c r="L8" s="131">
        <f t="shared" si="2"/>
        <v>5590431.2221084377</v>
      </c>
      <c r="M8" s="63">
        <f>+M7+L8</f>
        <v>7664928.0264239712</v>
      </c>
    </row>
    <row r="9" spans="1:13" ht="13" x14ac:dyDescent="0.3">
      <c r="A9" s="132">
        <v>5</v>
      </c>
      <c r="B9" s="121">
        <f>-'E-Inv AF y Am'!G56</f>
        <v>-9169555</v>
      </c>
      <c r="C9" s="62">
        <f>-'E-Cal Inv.'!I18+'E-Cal Inv.'!H18</f>
        <v>-1485216.1672185797</v>
      </c>
      <c r="D9" s="62">
        <f>+'E-Cal Inv.'!H23</f>
        <v>114279.06240621736</v>
      </c>
      <c r="E9" s="62">
        <f>+'E-Costos'!F119</f>
        <v>843712.32141501049</v>
      </c>
      <c r="F9" s="62">
        <f>+'E-Costos'!F120</f>
        <v>2657693.8124572826</v>
      </c>
      <c r="G9" s="60">
        <f t="shared" si="0"/>
        <v>-7039085.9709400684</v>
      </c>
      <c r="H9" s="62">
        <f>+'E-Costos'!F118</f>
        <v>8437123.2141501047</v>
      </c>
      <c r="I9" s="355">
        <f>+'E-Inv AF y Am'!E56</f>
        <v>654772.65890247247</v>
      </c>
      <c r="J9" s="62">
        <f>+'E-IVA '!G28</f>
        <v>114279.06240621736</v>
      </c>
      <c r="K9" s="60">
        <f t="shared" si="1"/>
        <v>9206174.9354587942</v>
      </c>
      <c r="L9" s="131">
        <f t="shared" si="2"/>
        <v>16245260.906398863</v>
      </c>
      <c r="M9" s="63">
        <f>+M8+L9</f>
        <v>23910188.932822835</v>
      </c>
    </row>
    <row r="10" spans="1:13" ht="13" x14ac:dyDescent="0.3">
      <c r="A10" s="132"/>
      <c r="B10" s="123"/>
      <c r="C10" s="82"/>
      <c r="D10" s="82"/>
      <c r="E10" s="82"/>
      <c r="F10" s="82"/>
      <c r="G10" s="82"/>
      <c r="H10" s="82"/>
      <c r="I10" s="356"/>
      <c r="J10" s="82"/>
      <c r="K10" s="82"/>
      <c r="L10" s="111"/>
      <c r="M10" s="83"/>
    </row>
    <row r="11" spans="1:13" ht="13.5" thickBot="1" x14ac:dyDescent="0.35">
      <c r="A11" s="133" t="s">
        <v>249</v>
      </c>
      <c r="B11" s="126">
        <f>+SUM(B4:B9)</f>
        <v>3285205.2945123613</v>
      </c>
      <c r="C11" s="126">
        <f t="shared" ref="C11:K11" si="3">+SUM(C4:C9)</f>
        <v>0</v>
      </c>
      <c r="D11" s="126">
        <f t="shared" si="3"/>
        <v>3256218.9314342691</v>
      </c>
      <c r="E11" s="126">
        <f t="shared" si="3"/>
        <v>4087211.7833885183</v>
      </c>
      <c r="F11" s="126">
        <f t="shared" si="3"/>
        <v>12874717.117673831</v>
      </c>
      <c r="G11" s="126">
        <f t="shared" si="3"/>
        <v>23503353.127008982</v>
      </c>
      <c r="H11" s="126">
        <f>+SUM(H4:H9)</f>
        <v>40872117.833885178</v>
      </c>
      <c r="I11" s="357">
        <f t="shared" si="3"/>
        <v>3285205.2945123622</v>
      </c>
      <c r="J11" s="126">
        <f t="shared" si="3"/>
        <v>3256218.9314342691</v>
      </c>
      <c r="K11" s="126">
        <f t="shared" si="3"/>
        <v>47413542.059831813</v>
      </c>
      <c r="L11" s="126">
        <f t="shared" si="2"/>
        <v>23910188.932822831</v>
      </c>
      <c r="M11" s="69"/>
    </row>
    <row r="12" spans="1:13" ht="13" thickTop="1" x14ac:dyDescent="0.25"/>
    <row r="13" spans="1:13" x14ac:dyDescent="0.25">
      <c r="C13" s="134" t="s">
        <v>250</v>
      </c>
      <c r="D13" s="135">
        <f>+L11</f>
        <v>23910188.932822831</v>
      </c>
    </row>
    <row r="14" spans="1:13" ht="13" x14ac:dyDescent="0.3">
      <c r="A14" s="72"/>
      <c r="C14" s="134" t="s">
        <v>251</v>
      </c>
      <c r="D14" s="136"/>
      <c r="E14" s="15" t="s">
        <v>252</v>
      </c>
    </row>
    <row r="15" spans="1:13" x14ac:dyDescent="0.25">
      <c r="C15" s="134" t="s">
        <v>253</v>
      </c>
      <c r="D15" s="137">
        <f>+IRR(L4:L9)</f>
        <v>0.34100004280507856</v>
      </c>
    </row>
    <row r="16" spans="1:13" ht="13" x14ac:dyDescent="0.25">
      <c r="L16" s="521" t="s">
        <v>254</v>
      </c>
      <c r="M16" s="521"/>
    </row>
    <row r="17" spans="3:13" ht="13" x14ac:dyDescent="0.25">
      <c r="J17" s="138"/>
      <c r="L17" s="521" t="s">
        <v>255</v>
      </c>
      <c r="M17" s="521"/>
    </row>
    <row r="18" spans="3:13" ht="13" x14ac:dyDescent="0.3">
      <c r="C18" s="358">
        <f>+B11-I11</f>
        <v>0</v>
      </c>
      <c r="L18" s="139" t="s">
        <v>102</v>
      </c>
      <c r="M18" s="140" t="str">
        <f>IF(B11=I11,"OK","MAL")</f>
        <v>OK</v>
      </c>
    </row>
    <row r="19" spans="3:13" ht="13" x14ac:dyDescent="0.3">
      <c r="L19" s="139" t="s">
        <v>256</v>
      </c>
      <c r="M19" s="140" t="str">
        <f>IF(D11=J11,"OK","MAL")</f>
        <v>OK</v>
      </c>
    </row>
    <row r="20" spans="3:13" ht="13" x14ac:dyDescent="0.3">
      <c r="L20" s="139" t="s">
        <v>257</v>
      </c>
      <c r="M20" s="140" t="str">
        <f>IF(C11=0,"OK","MAL")</f>
        <v>OK</v>
      </c>
    </row>
    <row r="21" spans="3:13" ht="13" x14ac:dyDescent="0.3">
      <c r="L21" s="139" t="s">
        <v>258</v>
      </c>
      <c r="M21" s="140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1"/>
  <sheetViews>
    <sheetView workbookViewId="0">
      <selection activeCell="J95" sqref="J95"/>
    </sheetView>
  </sheetViews>
  <sheetFormatPr baseColWidth="10" defaultRowHeight="12.5" x14ac:dyDescent="0.25"/>
  <cols>
    <col min="1" max="1" width="18.1796875" customWidth="1"/>
    <col min="3" max="3" width="15.26953125" customWidth="1"/>
    <col min="5" max="5" width="12.81640625" bestFit="1" customWidth="1"/>
    <col min="9" max="9" width="23" bestFit="1" customWidth="1"/>
    <col min="10" max="10" width="24.54296875" bestFit="1" customWidth="1"/>
  </cols>
  <sheetData>
    <row r="1" spans="1:8" ht="13" x14ac:dyDescent="0.3">
      <c r="E1" s="3"/>
      <c r="F1" s="3" t="s">
        <v>45</v>
      </c>
      <c r="G1" s="11">
        <v>30</v>
      </c>
    </row>
    <row r="2" spans="1:8" ht="13" x14ac:dyDescent="0.3">
      <c r="A2" s="393" t="s">
        <v>565</v>
      </c>
      <c r="E2" s="3"/>
      <c r="F2" s="3" t="s">
        <v>46</v>
      </c>
      <c r="G2" s="383">
        <v>0.5</v>
      </c>
    </row>
    <row r="3" spans="1:8" ht="13" x14ac:dyDescent="0.3">
      <c r="A3" t="s">
        <v>587</v>
      </c>
      <c r="B3" s="394">
        <f>+Tabla16[AÑO 2 A 5]/11.5</f>
        <v>6554.782608695652</v>
      </c>
      <c r="E3" s="3"/>
      <c r="F3" s="3" t="s">
        <v>47</v>
      </c>
      <c r="G3" s="383">
        <v>0.28000000000000003</v>
      </c>
      <c r="H3" s="422" t="s">
        <v>41</v>
      </c>
    </row>
    <row r="4" spans="1:8" x14ac:dyDescent="0.25">
      <c r="A4" t="s">
        <v>566</v>
      </c>
      <c r="B4" s="394">
        <f>+Datos!J137</f>
        <v>23.000442816490335</v>
      </c>
    </row>
    <row r="5" spans="1:8" x14ac:dyDescent="0.25">
      <c r="A5" s="395" t="s">
        <v>567</v>
      </c>
      <c r="B5" s="396">
        <f>+B3*B4</f>
        <v>150762.90256582969</v>
      </c>
    </row>
    <row r="6" spans="1:8" x14ac:dyDescent="0.25">
      <c r="A6" s="100"/>
      <c r="B6" s="397"/>
    </row>
    <row r="7" spans="1:8" x14ac:dyDescent="0.25">
      <c r="A7" t="s">
        <v>568</v>
      </c>
      <c r="B7" s="394">
        <f>+B5*G2</f>
        <v>75381.451282914844</v>
      </c>
    </row>
    <row r="8" spans="1:8" x14ac:dyDescent="0.25">
      <c r="A8" t="s">
        <v>569</v>
      </c>
      <c r="B8" s="394">
        <f>+B7*G3*G1/365</f>
        <v>1734.8060021273557</v>
      </c>
    </row>
    <row r="9" spans="1:8" x14ac:dyDescent="0.25">
      <c r="A9" t="s">
        <v>570</v>
      </c>
      <c r="B9" s="394">
        <v>12</v>
      </c>
    </row>
    <row r="10" spans="1:8" x14ac:dyDescent="0.25">
      <c r="A10" s="395" t="s">
        <v>571</v>
      </c>
      <c r="B10" s="396">
        <f>+B8*B9</f>
        <v>20817.672025528267</v>
      </c>
      <c r="D10" s="394"/>
    </row>
    <row r="11" spans="1:8" ht="13" thickBot="1" x14ac:dyDescent="0.3"/>
    <row r="12" spans="1:8" ht="13.5" thickBot="1" x14ac:dyDescent="0.35">
      <c r="A12" s="398" t="s">
        <v>572</v>
      </c>
      <c r="B12" s="399">
        <f>+B10/[2]InfoInicial!$B$41</f>
        <v>86740.30010636778</v>
      </c>
      <c r="C12" s="400"/>
    </row>
    <row r="15" spans="1:8" ht="13" x14ac:dyDescent="0.3">
      <c r="A15" s="12" t="s">
        <v>573</v>
      </c>
      <c r="C15" t="s">
        <v>574</v>
      </c>
    </row>
    <row r="16" spans="1:8" ht="13" x14ac:dyDescent="0.3">
      <c r="A16" s="12" t="s">
        <v>575</v>
      </c>
      <c r="C16" t="s">
        <v>603</v>
      </c>
    </row>
    <row r="17" spans="1:10" ht="13" x14ac:dyDescent="0.3">
      <c r="A17" s="12" t="s">
        <v>576</v>
      </c>
      <c r="C17" t="s">
        <v>577</v>
      </c>
    </row>
    <row r="18" spans="1:10" ht="13" x14ac:dyDescent="0.3">
      <c r="A18" s="12" t="s">
        <v>604</v>
      </c>
      <c r="C18" s="401">
        <v>0.35</v>
      </c>
      <c r="D18" t="s">
        <v>41</v>
      </c>
    </row>
    <row r="19" spans="1:10" ht="13" x14ac:dyDescent="0.3">
      <c r="A19" s="12" t="s">
        <v>578</v>
      </c>
      <c r="C19">
        <v>60</v>
      </c>
      <c r="D19" t="s">
        <v>579</v>
      </c>
    </row>
    <row r="20" spans="1:10" ht="13" x14ac:dyDescent="0.3">
      <c r="A20" s="12" t="s">
        <v>580</v>
      </c>
      <c r="C20" s="401">
        <v>1E-3</v>
      </c>
      <c r="D20" t="s">
        <v>41</v>
      </c>
    </row>
    <row r="21" spans="1:10" ht="13" x14ac:dyDescent="0.3">
      <c r="A21" s="12" t="s">
        <v>581</v>
      </c>
      <c r="C21" s="401">
        <v>0.03</v>
      </c>
    </row>
    <row r="22" spans="1:10" ht="13" x14ac:dyDescent="0.3">
      <c r="A22" s="12" t="s">
        <v>582</v>
      </c>
      <c r="C22" s="402">
        <v>0.2</v>
      </c>
      <c r="D22" t="s">
        <v>583</v>
      </c>
    </row>
    <row r="23" spans="1:10" ht="13" x14ac:dyDescent="0.3">
      <c r="A23" s="12"/>
      <c r="C23" s="402"/>
    </row>
    <row r="24" spans="1:10" ht="13" x14ac:dyDescent="0.3">
      <c r="A24" s="12" t="s">
        <v>584</v>
      </c>
      <c r="C24" t="s">
        <v>585</v>
      </c>
    </row>
    <row r="25" spans="1:10" ht="13" x14ac:dyDescent="0.3">
      <c r="A25" s="12" t="s">
        <v>586</v>
      </c>
      <c r="C25" t="s">
        <v>587</v>
      </c>
    </row>
    <row r="26" spans="1:10" ht="13" thickBot="1" x14ac:dyDescent="0.3">
      <c r="C26" s="403"/>
    </row>
    <row r="27" spans="1:10" ht="16" thickTop="1" x14ac:dyDescent="0.35">
      <c r="A27" s="149" t="s">
        <v>588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ht="12.75" customHeight="1" x14ac:dyDescent="0.3">
      <c r="A28" s="152" t="s">
        <v>269</v>
      </c>
      <c r="B28" s="153" t="s">
        <v>270</v>
      </c>
      <c r="C28" s="153" t="s">
        <v>271</v>
      </c>
      <c r="D28" s="153" t="s">
        <v>272</v>
      </c>
      <c r="E28" s="153" t="s">
        <v>271</v>
      </c>
      <c r="F28" s="153" t="s">
        <v>273</v>
      </c>
      <c r="G28" s="153" t="s">
        <v>272</v>
      </c>
      <c r="H28" s="153"/>
      <c r="I28" s="522" t="s">
        <v>589</v>
      </c>
      <c r="J28" s="524" t="s">
        <v>590</v>
      </c>
    </row>
    <row r="29" spans="1:10" ht="13" x14ac:dyDescent="0.3">
      <c r="A29" s="152"/>
      <c r="B29" s="153"/>
      <c r="C29" s="153" t="s">
        <v>591</v>
      </c>
      <c r="D29" s="153" t="s">
        <v>591</v>
      </c>
      <c r="E29" s="404" t="s">
        <v>275</v>
      </c>
      <c r="F29" s="153" t="s">
        <v>275</v>
      </c>
      <c r="G29" s="153" t="s">
        <v>275</v>
      </c>
      <c r="H29" s="153" t="s">
        <v>277</v>
      </c>
      <c r="I29" s="523"/>
      <c r="J29" s="525"/>
    </row>
    <row r="30" spans="1:10" x14ac:dyDescent="0.25">
      <c r="A30" s="444" t="s">
        <v>592</v>
      </c>
      <c r="B30" s="445">
        <f>+'F-Cred'!D5</f>
        <v>1578720</v>
      </c>
      <c r="C30" s="445">
        <v>0</v>
      </c>
      <c r="D30" s="446"/>
      <c r="E30" s="447">
        <v>0</v>
      </c>
      <c r="F30" s="448"/>
      <c r="G30" s="446"/>
      <c r="H30" s="449"/>
      <c r="I30" s="487">
        <f>+B30*C21</f>
        <v>47361.599999999999</v>
      </c>
      <c r="J30" s="450"/>
    </row>
    <row r="31" spans="1:10" x14ac:dyDescent="0.25">
      <c r="A31" s="444" t="s">
        <v>596</v>
      </c>
      <c r="B31" s="447">
        <f>+B30-C31</f>
        <v>1552408</v>
      </c>
      <c r="C31" s="447">
        <f>+$B$30/60</f>
        <v>26312</v>
      </c>
      <c r="D31" s="447">
        <f>+B30*$C$18/12</f>
        <v>46046</v>
      </c>
      <c r="E31" s="446"/>
      <c r="F31" s="448"/>
      <c r="G31" s="446"/>
      <c r="H31" s="449"/>
      <c r="I31" s="487">
        <f t="shared" ref="I31:I39" si="0">+B30*$C$20</f>
        <v>1578.72</v>
      </c>
      <c r="J31" s="450"/>
    </row>
    <row r="32" spans="1:10" x14ac:dyDescent="0.25">
      <c r="A32" s="444" t="s">
        <v>597</v>
      </c>
      <c r="B32" s="447">
        <f t="shared" ref="B32:B33" si="1">+B31-C32</f>
        <v>1526096</v>
      </c>
      <c r="C32" s="447">
        <f t="shared" ref="C32:C39" si="2">+$B$30/60</f>
        <v>26312</v>
      </c>
      <c r="D32" s="447">
        <f>+B31*$C$18/12</f>
        <v>45278.566666666658</v>
      </c>
      <c r="E32" s="446"/>
      <c r="F32" s="448"/>
      <c r="G32" s="446"/>
      <c r="H32" s="449"/>
      <c r="I32" s="487">
        <f t="shared" si="0"/>
        <v>1552.4080000000001</v>
      </c>
      <c r="J32" s="450"/>
    </row>
    <row r="33" spans="1:10" x14ac:dyDescent="0.25">
      <c r="A33" s="451" t="s">
        <v>593</v>
      </c>
      <c r="B33" s="447">
        <f t="shared" si="1"/>
        <v>1499784</v>
      </c>
      <c r="C33" s="447">
        <f t="shared" si="2"/>
        <v>26312</v>
      </c>
      <c r="D33" s="447">
        <f>+B32*$C$18/12</f>
        <v>44511.133333333331</v>
      </c>
      <c r="E33" s="447">
        <f>+SUM(C31:C33)</f>
        <v>78936</v>
      </c>
      <c r="F33" s="447">
        <f>+B33</f>
        <v>1499784</v>
      </c>
      <c r="G33" s="447">
        <f>+SUM(D31:D33)</f>
        <v>135835.69999999998</v>
      </c>
      <c r="H33" s="452"/>
      <c r="I33" s="487">
        <f t="shared" si="0"/>
        <v>1526.096</v>
      </c>
      <c r="J33" s="485">
        <f>+SUM(I30:I33)</f>
        <v>52018.824000000001</v>
      </c>
    </row>
    <row r="34" spans="1:10" x14ac:dyDescent="0.25">
      <c r="A34" s="451" t="s">
        <v>598</v>
      </c>
      <c r="B34" s="447">
        <f t="shared" ref="B34:B38" si="3">+B33-C34</f>
        <v>1473472</v>
      </c>
      <c r="C34" s="447">
        <f t="shared" si="2"/>
        <v>26312</v>
      </c>
      <c r="D34" s="447">
        <f t="shared" ref="D34:D39" si="4">+B33*$C$18/12</f>
        <v>43743.700000000004</v>
      </c>
      <c r="E34" s="447"/>
      <c r="F34" s="454"/>
      <c r="G34" s="447"/>
      <c r="H34" s="452"/>
      <c r="I34" s="447">
        <f t="shared" si="0"/>
        <v>1499.7840000000001</v>
      </c>
      <c r="J34" s="453"/>
    </row>
    <row r="35" spans="1:10" x14ac:dyDescent="0.25">
      <c r="A35" s="444" t="s">
        <v>599</v>
      </c>
      <c r="B35" s="447">
        <f t="shared" si="3"/>
        <v>1447160</v>
      </c>
      <c r="C35" s="447">
        <f t="shared" si="2"/>
        <v>26312</v>
      </c>
      <c r="D35" s="447">
        <f t="shared" si="4"/>
        <v>42976.266666666663</v>
      </c>
      <c r="E35" s="447"/>
      <c r="F35" s="454"/>
      <c r="G35" s="447"/>
      <c r="H35" s="452"/>
      <c r="I35" s="447">
        <f t="shared" si="0"/>
        <v>1473.472</v>
      </c>
      <c r="J35" s="453"/>
    </row>
    <row r="36" spans="1:10" x14ac:dyDescent="0.25">
      <c r="A36" s="451" t="s">
        <v>600</v>
      </c>
      <c r="B36" s="447">
        <f t="shared" si="3"/>
        <v>1420848</v>
      </c>
      <c r="C36" s="447">
        <f t="shared" si="2"/>
        <v>26312</v>
      </c>
      <c r="D36" s="447">
        <f t="shared" si="4"/>
        <v>42208.833333333328</v>
      </c>
      <c r="E36" s="447"/>
      <c r="F36" s="454"/>
      <c r="G36" s="447"/>
      <c r="H36" s="452"/>
      <c r="I36" s="447">
        <f t="shared" si="0"/>
        <v>1447.16</v>
      </c>
      <c r="J36" s="453"/>
    </row>
    <row r="37" spans="1:10" x14ac:dyDescent="0.25">
      <c r="A37" s="451" t="s">
        <v>601</v>
      </c>
      <c r="B37" s="447">
        <f t="shared" si="3"/>
        <v>1394536</v>
      </c>
      <c r="C37" s="447">
        <f t="shared" si="2"/>
        <v>26312</v>
      </c>
      <c r="D37" s="447">
        <f t="shared" si="4"/>
        <v>41441.4</v>
      </c>
      <c r="E37" s="447"/>
      <c r="F37" s="454"/>
      <c r="G37" s="447"/>
      <c r="H37" s="452"/>
      <c r="I37" s="447">
        <f t="shared" si="0"/>
        <v>1420.848</v>
      </c>
      <c r="J37" s="453"/>
    </row>
    <row r="38" spans="1:10" x14ac:dyDescent="0.25">
      <c r="A38" s="444" t="s">
        <v>602</v>
      </c>
      <c r="B38" s="447">
        <f t="shared" si="3"/>
        <v>1368224</v>
      </c>
      <c r="C38" s="447">
        <f t="shared" si="2"/>
        <v>26312</v>
      </c>
      <c r="D38" s="447">
        <f t="shared" si="4"/>
        <v>40673.966666666667</v>
      </c>
      <c r="E38" s="447"/>
      <c r="F38" s="454"/>
      <c r="G38" s="447"/>
      <c r="H38" s="452"/>
      <c r="I38" s="447">
        <f t="shared" si="0"/>
        <v>1394.5360000000001</v>
      </c>
      <c r="J38" s="453"/>
    </row>
    <row r="39" spans="1:10" ht="13" thickBot="1" x14ac:dyDescent="0.3">
      <c r="A39" s="451" t="s">
        <v>594</v>
      </c>
      <c r="B39" s="447">
        <f>+B38-C39</f>
        <v>1341912</v>
      </c>
      <c r="C39" s="447">
        <f t="shared" si="2"/>
        <v>26312</v>
      </c>
      <c r="D39" s="447">
        <f t="shared" si="4"/>
        <v>39906.533333333333</v>
      </c>
      <c r="E39" s="447">
        <f>+SUM(C34:C39)</f>
        <v>157872</v>
      </c>
      <c r="F39" s="447">
        <f>+B39</f>
        <v>1341912</v>
      </c>
      <c r="G39" s="447">
        <f>+SUM(D34:D39)</f>
        <v>250950.7</v>
      </c>
      <c r="H39" s="452"/>
      <c r="I39" s="447">
        <f t="shared" si="0"/>
        <v>1368.2239999999999</v>
      </c>
      <c r="J39" s="486">
        <f>+SUM(I34:I39)</f>
        <v>8604.0239999999994</v>
      </c>
    </row>
    <row r="40" spans="1:10" ht="14" thickTop="1" thickBot="1" x14ac:dyDescent="0.35">
      <c r="A40" s="405" t="s">
        <v>279</v>
      </c>
      <c r="B40" s="406"/>
      <c r="C40" s="406"/>
      <c r="D40" s="407">
        <f>+SUM(D30:D39)</f>
        <v>386786.4</v>
      </c>
      <c r="E40" s="406">
        <v>0</v>
      </c>
      <c r="F40" s="408"/>
      <c r="G40" s="407">
        <f>+SUM(G30:G39)</f>
        <v>386786.4</v>
      </c>
      <c r="H40" s="409"/>
      <c r="I40" s="407">
        <f>+SUM(I30:I39)</f>
        <v>60622.848000000005</v>
      </c>
      <c r="J40" s="410">
        <f>+SUM(J30:J39)</f>
        <v>60622.847999999998</v>
      </c>
    </row>
    <row r="41" spans="1:10" ht="13" thickTop="1" x14ac:dyDescent="0.25">
      <c r="A41" s="411">
        <v>36892</v>
      </c>
      <c r="B41" s="455">
        <f>+B39</f>
        <v>1341912</v>
      </c>
      <c r="C41" s="455">
        <v>0</v>
      </c>
      <c r="D41" s="456"/>
      <c r="E41" s="455"/>
      <c r="F41" s="457"/>
      <c r="G41" s="455"/>
      <c r="H41" s="458"/>
      <c r="I41" s="459"/>
      <c r="J41" s="460"/>
    </row>
    <row r="42" spans="1:10" x14ac:dyDescent="0.25">
      <c r="A42" s="411">
        <v>36922</v>
      </c>
      <c r="B42" s="447">
        <f>+B41-C42</f>
        <v>1315600</v>
      </c>
      <c r="C42" s="447">
        <f>+$B$30/60</f>
        <v>26312</v>
      </c>
      <c r="D42" s="447">
        <f>+B41*$C$18/12</f>
        <v>39139.1</v>
      </c>
      <c r="E42" s="447"/>
      <c r="F42" s="461"/>
      <c r="G42" s="447"/>
      <c r="H42" s="462"/>
      <c r="I42" s="463"/>
      <c r="J42" s="453"/>
    </row>
    <row r="43" spans="1:10" x14ac:dyDescent="0.25">
      <c r="A43" s="411">
        <v>36950</v>
      </c>
      <c r="B43" s="447">
        <f t="shared" ref="B43:B91" si="5">+B42-C43</f>
        <v>1289288</v>
      </c>
      <c r="C43" s="447">
        <f t="shared" ref="C43:C92" si="6">+$B$30/60</f>
        <v>26312</v>
      </c>
      <c r="D43" s="447">
        <f t="shared" ref="D43:D92" si="7">+B42*$C$18/12</f>
        <v>38371.666666666664</v>
      </c>
      <c r="E43" s="447"/>
      <c r="F43" s="454"/>
      <c r="G43" s="447"/>
      <c r="H43" s="452"/>
      <c r="I43" s="447"/>
      <c r="J43" s="453"/>
    </row>
    <row r="44" spans="1:10" x14ac:dyDescent="0.25">
      <c r="A44" s="411">
        <v>36981</v>
      </c>
      <c r="B44" s="447">
        <f t="shared" si="5"/>
        <v>1262976</v>
      </c>
      <c r="C44" s="447">
        <f t="shared" si="6"/>
        <v>26312</v>
      </c>
      <c r="D44" s="447">
        <f t="shared" si="7"/>
        <v>37604.23333333333</v>
      </c>
      <c r="E44" s="447"/>
      <c r="F44" s="454"/>
      <c r="G44" s="447"/>
      <c r="H44" s="452"/>
      <c r="I44" s="447"/>
      <c r="J44" s="453"/>
    </row>
    <row r="45" spans="1:10" x14ac:dyDescent="0.25">
      <c r="A45" s="411">
        <v>37011</v>
      </c>
      <c r="B45" s="447">
        <f t="shared" si="5"/>
        <v>1236664</v>
      </c>
      <c r="C45" s="447">
        <f t="shared" si="6"/>
        <v>26312</v>
      </c>
      <c r="D45" s="447">
        <f t="shared" si="7"/>
        <v>36836.799999999996</v>
      </c>
      <c r="E45" s="447"/>
      <c r="F45" s="454"/>
      <c r="G45" s="447"/>
      <c r="H45" s="452"/>
      <c r="I45" s="447"/>
      <c r="J45" s="453"/>
    </row>
    <row r="46" spans="1:10" x14ac:dyDescent="0.25">
      <c r="A46" s="411">
        <v>37042</v>
      </c>
      <c r="B46" s="447">
        <f t="shared" si="5"/>
        <v>1210352</v>
      </c>
      <c r="C46" s="447">
        <f t="shared" si="6"/>
        <v>26312</v>
      </c>
      <c r="D46" s="447">
        <f t="shared" si="7"/>
        <v>36069.366666666661</v>
      </c>
      <c r="E46" s="447"/>
      <c r="F46" s="454"/>
      <c r="G46" s="447"/>
      <c r="H46" s="452"/>
      <c r="I46" s="447"/>
      <c r="J46" s="453"/>
    </row>
    <row r="47" spans="1:10" x14ac:dyDescent="0.25">
      <c r="A47" s="411">
        <v>37072</v>
      </c>
      <c r="B47" s="447">
        <f t="shared" si="5"/>
        <v>1184040</v>
      </c>
      <c r="C47" s="447">
        <f t="shared" si="6"/>
        <v>26312</v>
      </c>
      <c r="D47" s="447">
        <f t="shared" si="7"/>
        <v>35301.933333333327</v>
      </c>
      <c r="E47" s="447">
        <f>+SUM(C42:C47)</f>
        <v>157872</v>
      </c>
      <c r="F47" s="447">
        <f>+B47</f>
        <v>1184040</v>
      </c>
      <c r="G47" s="447">
        <f>+SUM(D42:D47)</f>
        <v>223323.09999999998</v>
      </c>
      <c r="H47" s="452"/>
      <c r="I47" s="447"/>
      <c r="J47" s="453"/>
    </row>
    <row r="48" spans="1:10" x14ac:dyDescent="0.25">
      <c r="A48" s="411">
        <v>37103</v>
      </c>
      <c r="B48" s="447">
        <f t="shared" si="5"/>
        <v>1157728</v>
      </c>
      <c r="C48" s="447">
        <f t="shared" si="6"/>
        <v>26312</v>
      </c>
      <c r="D48" s="447">
        <f t="shared" si="7"/>
        <v>34534.5</v>
      </c>
      <c r="E48" s="447"/>
      <c r="F48" s="454"/>
      <c r="G48" s="447"/>
      <c r="H48" s="452"/>
      <c r="I48" s="447"/>
      <c r="J48" s="453"/>
    </row>
    <row r="49" spans="1:10" x14ac:dyDescent="0.25">
      <c r="A49" s="411">
        <v>37134</v>
      </c>
      <c r="B49" s="447">
        <f t="shared" si="5"/>
        <v>1131416</v>
      </c>
      <c r="C49" s="447">
        <f t="shared" si="6"/>
        <v>26312</v>
      </c>
      <c r="D49" s="447">
        <f t="shared" si="7"/>
        <v>33767.066666666666</v>
      </c>
      <c r="E49" s="447"/>
      <c r="F49" s="454"/>
      <c r="G49" s="447"/>
      <c r="H49" s="452"/>
      <c r="I49" s="447"/>
      <c r="J49" s="453"/>
    </row>
    <row r="50" spans="1:10" x14ac:dyDescent="0.25">
      <c r="A50" s="411">
        <v>37164</v>
      </c>
      <c r="B50" s="447">
        <f t="shared" si="5"/>
        <v>1105104</v>
      </c>
      <c r="C50" s="447">
        <f t="shared" si="6"/>
        <v>26312</v>
      </c>
      <c r="D50" s="447">
        <f t="shared" si="7"/>
        <v>32999.633333333331</v>
      </c>
      <c r="E50" s="447"/>
      <c r="F50" s="454"/>
      <c r="G50" s="447"/>
      <c r="H50" s="452"/>
      <c r="I50" s="447"/>
      <c r="J50" s="453"/>
    </row>
    <row r="51" spans="1:10" x14ac:dyDescent="0.25">
      <c r="A51" s="411">
        <v>37195</v>
      </c>
      <c r="B51" s="447">
        <f t="shared" si="5"/>
        <v>1078792</v>
      </c>
      <c r="C51" s="447">
        <f t="shared" si="6"/>
        <v>26312</v>
      </c>
      <c r="D51" s="447">
        <f t="shared" si="7"/>
        <v>32232.199999999997</v>
      </c>
      <c r="E51" s="447"/>
      <c r="F51" s="454"/>
      <c r="G51" s="447"/>
      <c r="H51" s="452"/>
      <c r="I51" s="447"/>
      <c r="J51" s="453"/>
    </row>
    <row r="52" spans="1:10" x14ac:dyDescent="0.25">
      <c r="A52" s="411">
        <v>37225</v>
      </c>
      <c r="B52" s="447">
        <f t="shared" si="5"/>
        <v>1052480</v>
      </c>
      <c r="C52" s="447">
        <f t="shared" si="6"/>
        <v>26312</v>
      </c>
      <c r="D52" s="447">
        <f t="shared" si="7"/>
        <v>31464.766666666663</v>
      </c>
      <c r="E52" s="447"/>
      <c r="F52" s="454"/>
      <c r="G52" s="447"/>
      <c r="H52" s="452"/>
      <c r="I52" s="447"/>
      <c r="J52" s="453"/>
    </row>
    <row r="53" spans="1:10" x14ac:dyDescent="0.25">
      <c r="A53" s="411">
        <v>37256</v>
      </c>
      <c r="B53" s="447">
        <f t="shared" si="5"/>
        <v>1026168</v>
      </c>
      <c r="C53" s="447">
        <f t="shared" si="6"/>
        <v>26312</v>
      </c>
      <c r="D53" s="447">
        <f t="shared" si="7"/>
        <v>30697.333333333332</v>
      </c>
      <c r="E53" s="447">
        <f>+SUM(C48:C53)</f>
        <v>157872</v>
      </c>
      <c r="F53" s="447">
        <f>+B53</f>
        <v>1026168</v>
      </c>
      <c r="G53" s="447">
        <f>+SUM(D48:D53)</f>
        <v>195695.5</v>
      </c>
      <c r="H53" s="452"/>
      <c r="I53" s="447"/>
      <c r="J53" s="453"/>
    </row>
    <row r="54" spans="1:10" x14ac:dyDescent="0.25">
      <c r="A54" s="411">
        <v>37287</v>
      </c>
      <c r="B54" s="447">
        <f t="shared" si="5"/>
        <v>999856</v>
      </c>
      <c r="C54" s="447">
        <f t="shared" si="6"/>
        <v>26312</v>
      </c>
      <c r="D54" s="447">
        <f t="shared" si="7"/>
        <v>29929.899999999998</v>
      </c>
      <c r="E54" s="447"/>
      <c r="F54" s="454"/>
      <c r="G54" s="447"/>
      <c r="H54" s="452"/>
      <c r="I54" s="447"/>
      <c r="J54" s="453"/>
    </row>
    <row r="55" spans="1:10" x14ac:dyDescent="0.25">
      <c r="A55" s="411">
        <v>37315</v>
      </c>
      <c r="B55" s="447">
        <f t="shared" si="5"/>
        <v>973544</v>
      </c>
      <c r="C55" s="447">
        <f t="shared" si="6"/>
        <v>26312</v>
      </c>
      <c r="D55" s="447">
        <f t="shared" si="7"/>
        <v>29162.466666666664</v>
      </c>
      <c r="E55" s="447"/>
      <c r="F55" s="454"/>
      <c r="G55" s="447"/>
      <c r="H55" s="452"/>
      <c r="I55" s="447"/>
      <c r="J55" s="453"/>
    </row>
    <row r="56" spans="1:10" x14ac:dyDescent="0.25">
      <c r="A56" s="411">
        <v>37346</v>
      </c>
      <c r="B56" s="447">
        <f t="shared" si="5"/>
        <v>947232</v>
      </c>
      <c r="C56" s="447">
        <f t="shared" si="6"/>
        <v>26312</v>
      </c>
      <c r="D56" s="447">
        <f t="shared" si="7"/>
        <v>28395.033333333329</v>
      </c>
      <c r="E56" s="447"/>
      <c r="F56" s="454"/>
      <c r="G56" s="447"/>
      <c r="H56" s="452"/>
      <c r="I56" s="447"/>
      <c r="J56" s="453"/>
    </row>
    <row r="57" spans="1:10" x14ac:dyDescent="0.25">
      <c r="A57" s="411">
        <v>37376</v>
      </c>
      <c r="B57" s="447">
        <f t="shared" si="5"/>
        <v>920920</v>
      </c>
      <c r="C57" s="447">
        <f t="shared" si="6"/>
        <v>26312</v>
      </c>
      <c r="D57" s="447">
        <f t="shared" si="7"/>
        <v>27627.599999999995</v>
      </c>
      <c r="E57" s="447"/>
      <c r="F57" s="454"/>
      <c r="G57" s="447"/>
      <c r="H57" s="452"/>
      <c r="I57" s="447"/>
      <c r="J57" s="453"/>
    </row>
    <row r="58" spans="1:10" x14ac:dyDescent="0.25">
      <c r="A58" s="411">
        <v>37407</v>
      </c>
      <c r="B58" s="447">
        <f t="shared" si="5"/>
        <v>894608</v>
      </c>
      <c r="C58" s="447">
        <f t="shared" si="6"/>
        <v>26312</v>
      </c>
      <c r="D58" s="447">
        <f t="shared" si="7"/>
        <v>26860.166666666668</v>
      </c>
      <c r="E58" s="447"/>
      <c r="F58" s="454"/>
      <c r="G58" s="447"/>
      <c r="H58" s="452"/>
      <c r="I58" s="447"/>
      <c r="J58" s="453"/>
    </row>
    <row r="59" spans="1:10" x14ac:dyDescent="0.25">
      <c r="A59" s="411">
        <v>37437</v>
      </c>
      <c r="B59" s="447">
        <f t="shared" si="5"/>
        <v>868296</v>
      </c>
      <c r="C59" s="447">
        <f t="shared" si="6"/>
        <v>26312</v>
      </c>
      <c r="D59" s="447">
        <f t="shared" si="7"/>
        <v>26092.733333333334</v>
      </c>
      <c r="E59" s="447">
        <f>+SUM(C54:C59)</f>
        <v>157872</v>
      </c>
      <c r="F59" s="447">
        <f>+B59</f>
        <v>868296</v>
      </c>
      <c r="G59" s="447">
        <f>+SUM(D54:D59)</f>
        <v>168067.9</v>
      </c>
      <c r="H59" s="452"/>
      <c r="I59" s="447"/>
      <c r="J59" s="453"/>
    </row>
    <row r="60" spans="1:10" x14ac:dyDescent="0.25">
      <c r="A60" s="411">
        <v>37468</v>
      </c>
      <c r="B60" s="447">
        <f t="shared" si="5"/>
        <v>841984</v>
      </c>
      <c r="C60" s="447">
        <f t="shared" si="6"/>
        <v>26312</v>
      </c>
      <c r="D60" s="447">
        <f t="shared" si="7"/>
        <v>25325.3</v>
      </c>
      <c r="E60" s="447"/>
      <c r="F60" s="454"/>
      <c r="G60" s="447"/>
      <c r="H60" s="452"/>
      <c r="I60" s="447"/>
      <c r="J60" s="453"/>
    </row>
    <row r="61" spans="1:10" x14ac:dyDescent="0.25">
      <c r="A61" s="411">
        <v>37499</v>
      </c>
      <c r="B61" s="447">
        <f t="shared" si="5"/>
        <v>815672</v>
      </c>
      <c r="C61" s="447">
        <f t="shared" si="6"/>
        <v>26312</v>
      </c>
      <c r="D61" s="447">
        <f t="shared" si="7"/>
        <v>24557.866666666665</v>
      </c>
      <c r="E61" s="447"/>
      <c r="F61" s="454"/>
      <c r="G61" s="447"/>
      <c r="H61" s="452"/>
      <c r="I61" s="447"/>
      <c r="J61" s="453"/>
    </row>
    <row r="62" spans="1:10" x14ac:dyDescent="0.25">
      <c r="A62" s="411">
        <v>37529</v>
      </c>
      <c r="B62" s="447">
        <f t="shared" si="5"/>
        <v>789360</v>
      </c>
      <c r="C62" s="447">
        <f t="shared" si="6"/>
        <v>26312</v>
      </c>
      <c r="D62" s="447">
        <f t="shared" si="7"/>
        <v>23790.433333333331</v>
      </c>
      <c r="E62" s="447"/>
      <c r="F62" s="454"/>
      <c r="G62" s="447"/>
      <c r="H62" s="452"/>
      <c r="I62" s="447"/>
      <c r="J62" s="453"/>
    </row>
    <row r="63" spans="1:10" x14ac:dyDescent="0.25">
      <c r="A63" s="411">
        <v>37560</v>
      </c>
      <c r="B63" s="447">
        <f t="shared" si="5"/>
        <v>763048</v>
      </c>
      <c r="C63" s="447">
        <f t="shared" si="6"/>
        <v>26312</v>
      </c>
      <c r="D63" s="447">
        <f t="shared" si="7"/>
        <v>23023</v>
      </c>
      <c r="E63" s="447"/>
      <c r="F63" s="454"/>
      <c r="G63" s="447"/>
      <c r="H63" s="452"/>
      <c r="I63" s="447"/>
      <c r="J63" s="453"/>
    </row>
    <row r="64" spans="1:10" x14ac:dyDescent="0.25">
      <c r="A64" s="411">
        <v>37590</v>
      </c>
      <c r="B64" s="447">
        <f t="shared" si="5"/>
        <v>736736</v>
      </c>
      <c r="C64" s="447">
        <f t="shared" si="6"/>
        <v>26312</v>
      </c>
      <c r="D64" s="447">
        <f t="shared" si="7"/>
        <v>22255.566666666666</v>
      </c>
      <c r="E64" s="447"/>
      <c r="F64" s="454"/>
      <c r="G64" s="447"/>
      <c r="H64" s="452"/>
      <c r="I64" s="447"/>
      <c r="J64" s="453"/>
    </row>
    <row r="65" spans="1:10" x14ac:dyDescent="0.25">
      <c r="A65" s="411">
        <v>37621</v>
      </c>
      <c r="B65" s="447">
        <f t="shared" si="5"/>
        <v>710424</v>
      </c>
      <c r="C65" s="447">
        <f t="shared" si="6"/>
        <v>26312</v>
      </c>
      <c r="D65" s="447">
        <f t="shared" si="7"/>
        <v>21488.133333333331</v>
      </c>
      <c r="E65" s="447">
        <f>+SUM(C60:C65)</f>
        <v>157872</v>
      </c>
      <c r="F65" s="447">
        <f>+B65</f>
        <v>710424</v>
      </c>
      <c r="G65" s="447">
        <f>+SUM(D60:D65)</f>
        <v>140440.29999999999</v>
      </c>
      <c r="H65" s="452"/>
      <c r="I65" s="447"/>
      <c r="J65" s="453"/>
    </row>
    <row r="66" spans="1:10" x14ac:dyDescent="0.25">
      <c r="A66" s="411">
        <v>37652</v>
      </c>
      <c r="B66" s="447">
        <f t="shared" si="5"/>
        <v>684112</v>
      </c>
      <c r="C66" s="447">
        <f t="shared" si="6"/>
        <v>26312</v>
      </c>
      <c r="D66" s="447">
        <f t="shared" si="7"/>
        <v>20720.7</v>
      </c>
      <c r="E66" s="447"/>
      <c r="F66" s="454"/>
      <c r="G66" s="447"/>
      <c r="H66" s="452"/>
      <c r="I66" s="447"/>
      <c r="J66" s="453"/>
    </row>
    <row r="67" spans="1:10" x14ac:dyDescent="0.25">
      <c r="A67" s="411">
        <v>37680</v>
      </c>
      <c r="B67" s="447">
        <f t="shared" si="5"/>
        <v>657800</v>
      </c>
      <c r="C67" s="447">
        <f t="shared" si="6"/>
        <v>26312</v>
      </c>
      <c r="D67" s="447">
        <f t="shared" si="7"/>
        <v>19953.266666666666</v>
      </c>
      <c r="E67" s="447"/>
      <c r="F67" s="454"/>
      <c r="G67" s="447"/>
      <c r="H67" s="452"/>
      <c r="I67" s="447"/>
      <c r="J67" s="453"/>
    </row>
    <row r="68" spans="1:10" x14ac:dyDescent="0.25">
      <c r="A68" s="411">
        <v>37711</v>
      </c>
      <c r="B68" s="447">
        <f t="shared" si="5"/>
        <v>631488</v>
      </c>
      <c r="C68" s="447">
        <f t="shared" si="6"/>
        <v>26312</v>
      </c>
      <c r="D68" s="447">
        <f t="shared" si="7"/>
        <v>19185.833333333332</v>
      </c>
      <c r="E68" s="447"/>
      <c r="F68" s="454"/>
      <c r="G68" s="447"/>
      <c r="H68" s="452"/>
      <c r="I68" s="447"/>
      <c r="J68" s="453"/>
    </row>
    <row r="69" spans="1:10" x14ac:dyDescent="0.25">
      <c r="A69" s="411">
        <v>37741</v>
      </c>
      <c r="B69" s="447">
        <f t="shared" si="5"/>
        <v>605176</v>
      </c>
      <c r="C69" s="447">
        <f t="shared" si="6"/>
        <v>26312</v>
      </c>
      <c r="D69" s="447">
        <f t="shared" si="7"/>
        <v>18418.399999999998</v>
      </c>
      <c r="E69" s="447"/>
      <c r="F69" s="454"/>
      <c r="G69" s="447"/>
      <c r="H69" s="452"/>
      <c r="I69" s="447"/>
      <c r="J69" s="453"/>
    </row>
    <row r="70" spans="1:10" x14ac:dyDescent="0.25">
      <c r="A70" s="411">
        <v>37772</v>
      </c>
      <c r="B70" s="447">
        <f t="shared" si="5"/>
        <v>578864</v>
      </c>
      <c r="C70" s="447">
        <f t="shared" si="6"/>
        <v>26312</v>
      </c>
      <c r="D70" s="447">
        <f t="shared" si="7"/>
        <v>17650.966666666664</v>
      </c>
      <c r="E70" s="447"/>
      <c r="F70" s="454"/>
      <c r="G70" s="447"/>
      <c r="H70" s="452"/>
      <c r="I70" s="447"/>
      <c r="J70" s="453"/>
    </row>
    <row r="71" spans="1:10" x14ac:dyDescent="0.25">
      <c r="A71" s="411">
        <v>37802</v>
      </c>
      <c r="B71" s="447">
        <f t="shared" si="5"/>
        <v>552552</v>
      </c>
      <c r="C71" s="447">
        <f t="shared" si="6"/>
        <v>26312</v>
      </c>
      <c r="D71" s="447">
        <f t="shared" si="7"/>
        <v>16883.533333333333</v>
      </c>
      <c r="E71" s="447">
        <f>+SUM(C66:C71)</f>
        <v>157872</v>
      </c>
      <c r="F71" s="447">
        <f>+B71</f>
        <v>552552</v>
      </c>
      <c r="G71" s="447">
        <f>+SUM(D66:D71)</f>
        <v>112812.69999999998</v>
      </c>
      <c r="H71" s="452"/>
      <c r="I71" s="447"/>
      <c r="J71" s="453"/>
    </row>
    <row r="72" spans="1:10" x14ac:dyDescent="0.25">
      <c r="A72" s="411">
        <v>37833</v>
      </c>
      <c r="B72" s="447">
        <f t="shared" si="5"/>
        <v>526240</v>
      </c>
      <c r="C72" s="447">
        <f t="shared" si="6"/>
        <v>26312</v>
      </c>
      <c r="D72" s="447">
        <f t="shared" si="7"/>
        <v>16116.099999999999</v>
      </c>
      <c r="E72" s="447"/>
      <c r="F72" s="454"/>
      <c r="G72" s="447"/>
      <c r="H72" s="452"/>
      <c r="I72" s="447"/>
      <c r="J72" s="453"/>
    </row>
    <row r="73" spans="1:10" x14ac:dyDescent="0.25">
      <c r="A73" s="411">
        <v>37864</v>
      </c>
      <c r="B73" s="447">
        <f t="shared" si="5"/>
        <v>499928</v>
      </c>
      <c r="C73" s="447">
        <f t="shared" si="6"/>
        <v>26312</v>
      </c>
      <c r="D73" s="447">
        <f t="shared" si="7"/>
        <v>15348.666666666666</v>
      </c>
      <c r="E73" s="447"/>
      <c r="F73" s="454"/>
      <c r="G73" s="447"/>
      <c r="H73" s="452"/>
      <c r="I73" s="447"/>
      <c r="J73" s="453"/>
    </row>
    <row r="74" spans="1:10" x14ac:dyDescent="0.25">
      <c r="A74" s="411">
        <v>37894</v>
      </c>
      <c r="B74" s="447">
        <f t="shared" si="5"/>
        <v>473616</v>
      </c>
      <c r="C74" s="447">
        <f t="shared" si="6"/>
        <v>26312</v>
      </c>
      <c r="D74" s="447">
        <f t="shared" si="7"/>
        <v>14581.233333333332</v>
      </c>
      <c r="E74" s="447"/>
      <c r="F74" s="454"/>
      <c r="G74" s="447"/>
      <c r="H74" s="452"/>
      <c r="I74" s="447"/>
      <c r="J74" s="453"/>
    </row>
    <row r="75" spans="1:10" x14ac:dyDescent="0.25">
      <c r="A75" s="411">
        <v>37925</v>
      </c>
      <c r="B75" s="447">
        <f t="shared" si="5"/>
        <v>447304</v>
      </c>
      <c r="C75" s="447">
        <f t="shared" si="6"/>
        <v>26312</v>
      </c>
      <c r="D75" s="447">
        <f t="shared" si="7"/>
        <v>13813.799999999997</v>
      </c>
      <c r="E75" s="447"/>
      <c r="F75" s="454"/>
      <c r="G75" s="447"/>
      <c r="H75" s="452"/>
      <c r="I75" s="447"/>
      <c r="J75" s="453"/>
    </row>
    <row r="76" spans="1:10" x14ac:dyDescent="0.25">
      <c r="A76" s="411">
        <v>37955</v>
      </c>
      <c r="B76" s="447">
        <f t="shared" si="5"/>
        <v>420992</v>
      </c>
      <c r="C76" s="447">
        <f t="shared" si="6"/>
        <v>26312</v>
      </c>
      <c r="D76" s="447">
        <f t="shared" si="7"/>
        <v>13046.366666666667</v>
      </c>
      <c r="E76" s="447"/>
      <c r="F76" s="454"/>
      <c r="G76" s="447"/>
      <c r="H76" s="452"/>
      <c r="I76" s="447"/>
      <c r="J76" s="453"/>
    </row>
    <row r="77" spans="1:10" x14ac:dyDescent="0.25">
      <c r="A77" s="411">
        <v>37986</v>
      </c>
      <c r="B77" s="447">
        <f t="shared" si="5"/>
        <v>394680</v>
      </c>
      <c r="C77" s="447">
        <f t="shared" si="6"/>
        <v>26312</v>
      </c>
      <c r="D77" s="447">
        <f t="shared" si="7"/>
        <v>12278.933333333332</v>
      </c>
      <c r="E77" s="447">
        <f>+SUM(C72:C77)</f>
        <v>157872</v>
      </c>
      <c r="F77" s="447">
        <f>+B77</f>
        <v>394680</v>
      </c>
      <c r="G77" s="447">
        <f>+SUM(D72:D77)</f>
        <v>85185.099999999991</v>
      </c>
      <c r="H77" s="452"/>
      <c r="I77" s="447"/>
      <c r="J77" s="453"/>
    </row>
    <row r="78" spans="1:10" x14ac:dyDescent="0.25">
      <c r="A78" s="411">
        <v>38017</v>
      </c>
      <c r="B78" s="447">
        <f t="shared" si="5"/>
        <v>368368</v>
      </c>
      <c r="C78" s="447">
        <f t="shared" si="6"/>
        <v>26312</v>
      </c>
      <c r="D78" s="447">
        <f t="shared" si="7"/>
        <v>11511.5</v>
      </c>
      <c r="E78" s="447"/>
      <c r="F78" s="454"/>
      <c r="G78" s="447"/>
      <c r="H78" s="452"/>
      <c r="I78" s="447"/>
      <c r="J78" s="453"/>
    </row>
    <row r="79" spans="1:10" x14ac:dyDescent="0.25">
      <c r="A79" s="411">
        <v>38046</v>
      </c>
      <c r="B79" s="447">
        <f t="shared" si="5"/>
        <v>342056</v>
      </c>
      <c r="C79" s="447">
        <f t="shared" si="6"/>
        <v>26312</v>
      </c>
      <c r="D79" s="447">
        <f t="shared" si="7"/>
        <v>10744.066666666666</v>
      </c>
      <c r="E79" s="447"/>
      <c r="F79" s="454"/>
      <c r="G79" s="447"/>
      <c r="H79" s="452"/>
      <c r="I79" s="447"/>
      <c r="J79" s="453"/>
    </row>
    <row r="80" spans="1:10" x14ac:dyDescent="0.25">
      <c r="A80" s="411">
        <v>38077</v>
      </c>
      <c r="B80" s="447">
        <f t="shared" si="5"/>
        <v>315744</v>
      </c>
      <c r="C80" s="447">
        <f t="shared" si="6"/>
        <v>26312</v>
      </c>
      <c r="D80" s="447">
        <f t="shared" si="7"/>
        <v>9976.6333333333332</v>
      </c>
      <c r="E80" s="447"/>
      <c r="F80" s="454"/>
      <c r="G80" s="447"/>
      <c r="H80" s="452"/>
      <c r="I80" s="447"/>
      <c r="J80" s="453"/>
    </row>
    <row r="81" spans="1:10" x14ac:dyDescent="0.25">
      <c r="A81" s="411">
        <v>38107</v>
      </c>
      <c r="B81" s="447">
        <f t="shared" si="5"/>
        <v>289432</v>
      </c>
      <c r="C81" s="447">
        <f t="shared" si="6"/>
        <v>26312</v>
      </c>
      <c r="D81" s="447">
        <f t="shared" si="7"/>
        <v>9209.1999999999989</v>
      </c>
      <c r="E81" s="447"/>
      <c r="F81" s="454"/>
      <c r="G81" s="447"/>
      <c r="H81" s="452"/>
      <c r="I81" s="447"/>
      <c r="J81" s="453"/>
    </row>
    <row r="82" spans="1:10" x14ac:dyDescent="0.25">
      <c r="A82" s="411">
        <v>38138</v>
      </c>
      <c r="B82" s="447">
        <f t="shared" si="5"/>
        <v>263120</v>
      </c>
      <c r="C82" s="447">
        <f t="shared" si="6"/>
        <v>26312</v>
      </c>
      <c r="D82" s="447">
        <f t="shared" si="7"/>
        <v>8441.7666666666664</v>
      </c>
      <c r="E82" s="447"/>
      <c r="F82" s="454"/>
      <c r="G82" s="447"/>
      <c r="H82" s="452"/>
      <c r="I82" s="447"/>
      <c r="J82" s="453"/>
    </row>
    <row r="83" spans="1:10" x14ac:dyDescent="0.25">
      <c r="A83" s="411">
        <v>38168</v>
      </c>
      <c r="B83" s="447">
        <f t="shared" si="5"/>
        <v>236808</v>
      </c>
      <c r="C83" s="447">
        <f t="shared" si="6"/>
        <v>26312</v>
      </c>
      <c r="D83" s="447">
        <f t="shared" si="7"/>
        <v>7674.333333333333</v>
      </c>
      <c r="E83" s="447">
        <f>+SUM(C78:C83)</f>
        <v>157872</v>
      </c>
      <c r="F83" s="447">
        <f>+B83</f>
        <v>236808</v>
      </c>
      <c r="G83" s="447">
        <f>+SUM(D78:D83)</f>
        <v>57557.499999999993</v>
      </c>
      <c r="H83" s="452"/>
      <c r="I83" s="447"/>
      <c r="J83" s="453"/>
    </row>
    <row r="84" spans="1:10" x14ac:dyDescent="0.25">
      <c r="A84" s="411">
        <v>38199</v>
      </c>
      <c r="B84" s="447">
        <f t="shared" si="5"/>
        <v>210496</v>
      </c>
      <c r="C84" s="447">
        <f t="shared" si="6"/>
        <v>26312</v>
      </c>
      <c r="D84" s="447">
        <f t="shared" si="7"/>
        <v>6906.8999999999987</v>
      </c>
      <c r="E84" s="447"/>
      <c r="F84" s="454"/>
      <c r="G84" s="447"/>
      <c r="H84" s="452"/>
      <c r="I84" s="447"/>
      <c r="J84" s="453"/>
    </row>
    <row r="85" spans="1:10" x14ac:dyDescent="0.25">
      <c r="A85" s="411">
        <v>38230</v>
      </c>
      <c r="B85" s="447">
        <f t="shared" si="5"/>
        <v>184184</v>
      </c>
      <c r="C85" s="447">
        <f t="shared" si="6"/>
        <v>26312</v>
      </c>
      <c r="D85" s="447">
        <f t="shared" si="7"/>
        <v>6139.4666666666662</v>
      </c>
      <c r="E85" s="447"/>
      <c r="F85" s="454"/>
      <c r="G85" s="447"/>
      <c r="H85" s="452"/>
      <c r="I85" s="447"/>
      <c r="J85" s="453"/>
    </row>
    <row r="86" spans="1:10" x14ac:dyDescent="0.25">
      <c r="A86" s="411">
        <v>38260</v>
      </c>
      <c r="B86" s="447">
        <f t="shared" si="5"/>
        <v>157872</v>
      </c>
      <c r="C86" s="447">
        <f t="shared" si="6"/>
        <v>26312</v>
      </c>
      <c r="D86" s="447">
        <f t="shared" si="7"/>
        <v>5372.0333333333328</v>
      </c>
      <c r="E86" s="447"/>
      <c r="F86" s="454"/>
      <c r="G86" s="447"/>
      <c r="H86" s="452"/>
      <c r="I86" s="447"/>
      <c r="J86" s="453"/>
    </row>
    <row r="87" spans="1:10" x14ac:dyDescent="0.25">
      <c r="A87" s="411">
        <v>38291</v>
      </c>
      <c r="B87" s="447">
        <f t="shared" si="5"/>
        <v>131560</v>
      </c>
      <c r="C87" s="447">
        <f t="shared" si="6"/>
        <v>26312</v>
      </c>
      <c r="D87" s="447">
        <f t="shared" si="7"/>
        <v>4604.5999999999995</v>
      </c>
      <c r="E87" s="447"/>
      <c r="F87" s="454"/>
      <c r="G87" s="447"/>
      <c r="H87" s="452"/>
      <c r="I87" s="447"/>
      <c r="J87" s="453"/>
    </row>
    <row r="88" spans="1:10" x14ac:dyDescent="0.25">
      <c r="A88" s="411">
        <v>38321</v>
      </c>
      <c r="B88" s="447">
        <f t="shared" si="5"/>
        <v>105248</v>
      </c>
      <c r="C88" s="447">
        <f t="shared" si="6"/>
        <v>26312</v>
      </c>
      <c r="D88" s="447">
        <f t="shared" si="7"/>
        <v>3837.1666666666665</v>
      </c>
      <c r="E88" s="447"/>
      <c r="F88" s="454"/>
      <c r="G88" s="447"/>
      <c r="H88" s="452"/>
      <c r="I88" s="447"/>
      <c r="J88" s="453"/>
    </row>
    <row r="89" spans="1:10" x14ac:dyDescent="0.25">
      <c r="A89" s="411">
        <v>38352</v>
      </c>
      <c r="B89" s="447">
        <f t="shared" si="5"/>
        <v>78936</v>
      </c>
      <c r="C89" s="447">
        <f t="shared" si="6"/>
        <v>26312</v>
      </c>
      <c r="D89" s="447">
        <f t="shared" si="7"/>
        <v>3069.7333333333331</v>
      </c>
      <c r="E89" s="447">
        <f>+SUM(C84:C89)</f>
        <v>157872</v>
      </c>
      <c r="F89" s="447">
        <f>+B89</f>
        <v>78936</v>
      </c>
      <c r="G89" s="447">
        <f>+SUM(D84:D89)</f>
        <v>29929.899999999998</v>
      </c>
      <c r="H89" s="452"/>
      <c r="I89" s="447"/>
      <c r="J89" s="453"/>
    </row>
    <row r="90" spans="1:10" x14ac:dyDescent="0.25">
      <c r="A90" s="411">
        <v>38383</v>
      </c>
      <c r="B90" s="447">
        <f t="shared" si="5"/>
        <v>52624</v>
      </c>
      <c r="C90" s="447">
        <f t="shared" si="6"/>
        <v>26312</v>
      </c>
      <c r="D90" s="447">
        <f t="shared" si="7"/>
        <v>2302.2999999999997</v>
      </c>
      <c r="E90" s="447"/>
      <c r="F90" s="454"/>
      <c r="G90" s="447"/>
      <c r="H90" s="452"/>
      <c r="I90" s="447"/>
      <c r="J90" s="453"/>
    </row>
    <row r="91" spans="1:10" x14ac:dyDescent="0.25">
      <c r="A91" s="411">
        <v>38411</v>
      </c>
      <c r="B91" s="447">
        <f t="shared" si="5"/>
        <v>26312</v>
      </c>
      <c r="C91" s="447">
        <f t="shared" si="6"/>
        <v>26312</v>
      </c>
      <c r="D91" s="447">
        <f t="shared" si="7"/>
        <v>1534.8666666666666</v>
      </c>
      <c r="E91" s="447"/>
      <c r="F91" s="454"/>
      <c r="G91" s="447"/>
      <c r="H91" s="452"/>
      <c r="I91" s="447"/>
      <c r="J91" s="453"/>
    </row>
    <row r="92" spans="1:10" x14ac:dyDescent="0.25">
      <c r="A92" s="411">
        <v>38442</v>
      </c>
      <c r="B92" s="447">
        <v>0</v>
      </c>
      <c r="C92" s="447">
        <f t="shared" si="6"/>
        <v>26312</v>
      </c>
      <c r="D92" s="447">
        <f t="shared" si="7"/>
        <v>767.43333333333328</v>
      </c>
      <c r="E92" s="447">
        <f>+SUM(C90:C92)</f>
        <v>78936</v>
      </c>
      <c r="F92" s="447">
        <f>+B92</f>
        <v>0</v>
      </c>
      <c r="G92" s="447">
        <f>+SUM(D90:D92)</f>
        <v>4604.5999999999995</v>
      </c>
      <c r="H92" s="452"/>
      <c r="I92" s="447"/>
      <c r="J92" s="453"/>
    </row>
    <row r="93" spans="1:10" ht="13" thickBot="1" x14ac:dyDescent="0.3">
      <c r="A93" s="464"/>
      <c r="B93" s="445"/>
      <c r="C93" s="447"/>
      <c r="D93" s="454"/>
      <c r="E93" s="454"/>
      <c r="F93" s="454"/>
      <c r="G93" s="454"/>
      <c r="H93" s="452"/>
      <c r="I93" s="452"/>
      <c r="J93" s="465"/>
    </row>
    <row r="94" spans="1:10" ht="14" thickTop="1" thickBot="1" x14ac:dyDescent="0.35">
      <c r="A94" s="412" t="s">
        <v>280</v>
      </c>
      <c r="B94" s="413"/>
      <c r="C94" s="414">
        <f>+SUM(C30:C93)</f>
        <v>1578720</v>
      </c>
      <c r="D94" s="414">
        <f>+SUM(D40:D93)</f>
        <v>1404403</v>
      </c>
      <c r="E94" s="414">
        <f>+SUM(E30:E93)</f>
        <v>1578720</v>
      </c>
      <c r="F94" s="414">
        <v>0</v>
      </c>
      <c r="G94" s="414">
        <f t="shared" ref="G94:H94" si="8">+SUM(G40:G93)</f>
        <v>1404403</v>
      </c>
      <c r="H94" s="414">
        <f t="shared" si="8"/>
        <v>0</v>
      </c>
      <c r="I94" s="414">
        <f>+SUM(I40:I93)</f>
        <v>60622.848000000005</v>
      </c>
      <c r="J94" s="410">
        <f>+SUM(J40:J93)</f>
        <v>60622.847999999998</v>
      </c>
    </row>
    <row r="95" spans="1:10" ht="13.5" thickTop="1" thickBot="1" x14ac:dyDescent="0.3"/>
    <row r="96" spans="1:10" ht="16" thickTop="1" x14ac:dyDescent="0.35">
      <c r="A96" s="149" t="s">
        <v>595</v>
      </c>
      <c r="B96" s="150"/>
      <c r="C96" s="150"/>
      <c r="D96" s="150"/>
      <c r="E96" s="151"/>
    </row>
    <row r="97" spans="1:5" ht="13" x14ac:dyDescent="0.3">
      <c r="A97" s="152" t="s">
        <v>269</v>
      </c>
      <c r="B97" s="153" t="s">
        <v>270</v>
      </c>
      <c r="C97" s="153" t="s">
        <v>272</v>
      </c>
      <c r="D97" s="153" t="s">
        <v>273</v>
      </c>
      <c r="E97" s="154" t="s">
        <v>272</v>
      </c>
    </row>
    <row r="98" spans="1:5" ht="13" x14ac:dyDescent="0.3">
      <c r="A98" s="415"/>
      <c r="B98" s="466"/>
      <c r="C98" s="466" t="s">
        <v>275</v>
      </c>
      <c r="D98" s="466" t="s">
        <v>276</v>
      </c>
      <c r="E98" s="467" t="s">
        <v>41</v>
      </c>
    </row>
    <row r="99" spans="1:5" x14ac:dyDescent="0.25">
      <c r="A99" s="411">
        <v>37072</v>
      </c>
      <c r="B99" s="416">
        <v>0</v>
      </c>
      <c r="C99" s="417"/>
      <c r="D99" s="418"/>
      <c r="E99" s="419"/>
    </row>
    <row r="100" spans="1:5" x14ac:dyDescent="0.25">
      <c r="A100" s="411">
        <v>37256</v>
      </c>
      <c r="B100" s="447">
        <f>+$B$12</f>
        <v>86740.30010636778</v>
      </c>
      <c r="C100" s="447">
        <f>+B100*$G$3/12</f>
        <v>2023.9403358152485</v>
      </c>
      <c r="D100" s="447">
        <f>+B99+B100</f>
        <v>86740.30010636778</v>
      </c>
      <c r="E100" s="468">
        <f>+C99+C100</f>
        <v>2023.9403358152485</v>
      </c>
    </row>
    <row r="101" spans="1:5" x14ac:dyDescent="0.25">
      <c r="A101" s="411">
        <v>37437</v>
      </c>
      <c r="B101" s="447">
        <f t="shared" ref="B101:B108" si="9">+$B$12</f>
        <v>86740.30010636778</v>
      </c>
      <c r="C101" s="447">
        <f t="shared" ref="C101:C108" si="10">+B101*$G$3/12</f>
        <v>2023.9403358152485</v>
      </c>
      <c r="D101" s="447"/>
      <c r="E101" s="468"/>
    </row>
    <row r="102" spans="1:5" x14ac:dyDescent="0.25">
      <c r="A102" s="411">
        <v>37621</v>
      </c>
      <c r="B102" s="447">
        <f t="shared" si="9"/>
        <v>86740.30010636778</v>
      </c>
      <c r="C102" s="447">
        <f t="shared" si="10"/>
        <v>2023.9403358152485</v>
      </c>
      <c r="D102" s="447">
        <f>+B101+B102</f>
        <v>173480.60021273556</v>
      </c>
      <c r="E102" s="468">
        <f>+C101+C102</f>
        <v>4047.8806716304971</v>
      </c>
    </row>
    <row r="103" spans="1:5" x14ac:dyDescent="0.25">
      <c r="A103" s="411">
        <v>37802</v>
      </c>
      <c r="B103" s="447">
        <f t="shared" si="9"/>
        <v>86740.30010636778</v>
      </c>
      <c r="C103" s="447">
        <f t="shared" si="10"/>
        <v>2023.9403358152485</v>
      </c>
      <c r="D103" s="447"/>
      <c r="E103" s="468"/>
    </row>
    <row r="104" spans="1:5" x14ac:dyDescent="0.25">
      <c r="A104" s="411">
        <v>37986</v>
      </c>
      <c r="B104" s="447">
        <f t="shared" si="9"/>
        <v>86740.30010636778</v>
      </c>
      <c r="C104" s="447">
        <f t="shared" si="10"/>
        <v>2023.9403358152485</v>
      </c>
      <c r="D104" s="447">
        <f>+B103+B104</f>
        <v>173480.60021273556</v>
      </c>
      <c r="E104" s="468">
        <f>+C103+C104</f>
        <v>4047.8806716304971</v>
      </c>
    </row>
    <row r="105" spans="1:5" x14ac:dyDescent="0.25">
      <c r="A105" s="411">
        <v>38168</v>
      </c>
      <c r="B105" s="447">
        <f t="shared" si="9"/>
        <v>86740.30010636778</v>
      </c>
      <c r="C105" s="447">
        <f t="shared" si="10"/>
        <v>2023.9403358152485</v>
      </c>
      <c r="D105" s="447"/>
      <c r="E105" s="468"/>
    </row>
    <row r="106" spans="1:5" x14ac:dyDescent="0.25">
      <c r="A106" s="411">
        <v>38352</v>
      </c>
      <c r="B106" s="447">
        <f t="shared" si="9"/>
        <v>86740.30010636778</v>
      </c>
      <c r="C106" s="447">
        <f t="shared" si="10"/>
        <v>2023.9403358152485</v>
      </c>
      <c r="D106" s="447">
        <f>+B105+B106</f>
        <v>173480.60021273556</v>
      </c>
      <c r="E106" s="468">
        <f>+C105+C106</f>
        <v>4047.8806716304971</v>
      </c>
    </row>
    <row r="107" spans="1:5" x14ac:dyDescent="0.25">
      <c r="A107" s="411">
        <v>38533</v>
      </c>
      <c r="B107" s="447">
        <f t="shared" si="9"/>
        <v>86740.30010636778</v>
      </c>
      <c r="C107" s="447">
        <f t="shared" si="10"/>
        <v>2023.9403358152485</v>
      </c>
      <c r="D107" s="447"/>
      <c r="E107" s="468"/>
    </row>
    <row r="108" spans="1:5" x14ac:dyDescent="0.25">
      <c r="A108" s="411">
        <v>38717</v>
      </c>
      <c r="B108" s="447">
        <f t="shared" si="9"/>
        <v>86740.30010636778</v>
      </c>
      <c r="C108" s="447">
        <f t="shared" si="10"/>
        <v>2023.9403358152485</v>
      </c>
      <c r="D108" s="447">
        <f>+B107+B108</f>
        <v>173480.60021273556</v>
      </c>
      <c r="E108" s="469">
        <f>+C107+C108</f>
        <v>4047.8806716304971</v>
      </c>
    </row>
    <row r="109" spans="1:5" ht="13" thickBot="1" x14ac:dyDescent="0.3">
      <c r="A109" s="470"/>
      <c r="B109" s="446"/>
      <c r="C109" s="446"/>
      <c r="D109" s="448"/>
      <c r="E109" s="471"/>
    </row>
    <row r="110" spans="1:5" ht="14" thickTop="1" thickBot="1" x14ac:dyDescent="0.35">
      <c r="A110" s="412" t="s">
        <v>280</v>
      </c>
      <c r="B110" s="413"/>
      <c r="C110" s="420">
        <f>SUM(C100:C108)</f>
        <v>18215.463022337237</v>
      </c>
      <c r="D110" s="408"/>
      <c r="E110" s="421">
        <f>SUM(E100:E108)</f>
        <v>18215.463022337237</v>
      </c>
    </row>
    <row r="111" spans="1:5" ht="13" thickTop="1" x14ac:dyDescent="0.25"/>
  </sheetData>
  <mergeCells count="2">
    <mergeCell ref="I28:I29"/>
    <mergeCell ref="J28:J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topLeftCell="A7" zoomScale="90" zoomScaleNormal="90" workbookViewId="0">
      <selection activeCell="I14" sqref="I14"/>
    </sheetView>
  </sheetViews>
  <sheetFormatPr baseColWidth="10" defaultColWidth="11.453125" defaultRowHeight="12.5" x14ac:dyDescent="0.25"/>
  <cols>
    <col min="1" max="1" width="27.1796875" style="15" customWidth="1"/>
    <col min="2" max="2" width="16" style="15" bestFit="1" customWidth="1"/>
    <col min="3" max="9" width="15" style="15" customWidth="1"/>
    <col min="10" max="16384" width="11.453125" style="15"/>
  </cols>
  <sheetData>
    <row r="1" spans="1:9" ht="13" x14ac:dyDescent="0.3">
      <c r="A1" s="1" t="s">
        <v>0</v>
      </c>
      <c r="B1"/>
      <c r="C1"/>
      <c r="D1"/>
      <c r="F1" s="141">
        <f>InfoInicial!E1</f>
        <v>8</v>
      </c>
      <c r="G1" s="2"/>
    </row>
    <row r="2" spans="1:9" ht="15.5" x14ac:dyDescent="0.35">
      <c r="A2" s="142" t="s">
        <v>259</v>
      </c>
      <c r="B2" s="87"/>
      <c r="C2" s="87"/>
      <c r="D2" s="87"/>
      <c r="E2" s="87"/>
      <c r="F2" s="87"/>
      <c r="G2" s="88"/>
    </row>
    <row r="3" spans="1:9" ht="13" x14ac:dyDescent="0.3">
      <c r="A3" s="57" t="s">
        <v>94</v>
      </c>
      <c r="B3" s="526" t="s">
        <v>260</v>
      </c>
      <c r="C3" s="526"/>
      <c r="D3" s="526" t="s">
        <v>261</v>
      </c>
      <c r="E3" s="526"/>
      <c r="F3" s="527" t="s">
        <v>262</v>
      </c>
      <c r="G3" s="527"/>
    </row>
    <row r="4" spans="1:9" ht="13" x14ac:dyDescent="0.3">
      <c r="A4" s="57" t="s">
        <v>80</v>
      </c>
      <c r="B4" s="143" t="s">
        <v>263</v>
      </c>
      <c r="C4" s="143" t="s">
        <v>264</v>
      </c>
      <c r="D4" s="143" t="s">
        <v>263</v>
      </c>
      <c r="E4" s="143" t="s">
        <v>264</v>
      </c>
      <c r="F4" s="143" t="s">
        <v>263</v>
      </c>
      <c r="G4" s="144" t="s">
        <v>264</v>
      </c>
    </row>
    <row r="5" spans="1:9" x14ac:dyDescent="0.25">
      <c r="A5" s="28" t="s">
        <v>265</v>
      </c>
      <c r="B5" s="62">
        <f>+'E-Form'!B4+'E-Form'!B5</f>
        <v>12454760.294512361</v>
      </c>
      <c r="C5" s="84">
        <f>+B5/$B$8</f>
        <v>0.74405489563163818</v>
      </c>
      <c r="D5" s="62">
        <f>+'E-Inv AF y Am'!B8*InfoInicial!B37</f>
        <v>1578720</v>
      </c>
      <c r="E5" s="84">
        <f>+D5/$B$8</f>
        <v>9.4313685454800705E-2</v>
      </c>
      <c r="F5" s="423">
        <f>+B5-D5</f>
        <v>10876040.294512361</v>
      </c>
      <c r="G5" s="85">
        <f t="shared" ref="G5:G7" si="0">+F5/$B$8</f>
        <v>0.6497412101768375</v>
      </c>
    </row>
    <row r="6" spans="1:9" x14ac:dyDescent="0.25">
      <c r="A6" s="26" t="s">
        <v>266</v>
      </c>
      <c r="B6" s="62">
        <f>+'E-Form'!C4+'E-Form'!C5+'E-Form'!C6+'E-Form'!C7</f>
        <v>1485230.5978998884</v>
      </c>
      <c r="C6" s="84">
        <f>+B6/B8</f>
        <v>8.8728572158568747E-2</v>
      </c>
      <c r="D6" s="62">
        <f>+'Apertura financiera'!B12</f>
        <v>86740.30010636778</v>
      </c>
      <c r="E6" s="84">
        <f>+D6/$B$8</f>
        <v>5.1819178704817746E-3</v>
      </c>
      <c r="F6" s="423">
        <f>+B6-D6</f>
        <v>1398490.2977935206</v>
      </c>
      <c r="G6" s="85">
        <f t="shared" si="0"/>
        <v>8.3546654288086969E-2</v>
      </c>
    </row>
    <row r="7" spans="1:9" x14ac:dyDescent="0.25">
      <c r="A7" s="26" t="s">
        <v>267</v>
      </c>
      <c r="B7" s="62">
        <f>+'E-Form'!D4+'E-Form'!D5</f>
        <v>2799043.2401961368</v>
      </c>
      <c r="C7" s="84">
        <f>+B7/B8</f>
        <v>0.16721653220979313</v>
      </c>
      <c r="D7" s="62"/>
      <c r="E7" s="94"/>
      <c r="F7" s="423">
        <f>+B7</f>
        <v>2799043.2401961368</v>
      </c>
      <c r="G7" s="85">
        <f t="shared" si="0"/>
        <v>0.16721653220979313</v>
      </c>
    </row>
    <row r="8" spans="1:9" ht="13" x14ac:dyDescent="0.3">
      <c r="A8" s="34" t="s">
        <v>198</v>
      </c>
      <c r="B8" s="145">
        <f>+SUM(B5:B7)</f>
        <v>16739034.132608386</v>
      </c>
      <c r="C8" s="146">
        <f>+SUM(C5:C7)</f>
        <v>1</v>
      </c>
      <c r="D8" s="145">
        <f>SUM(D5:D6)</f>
        <v>1665460.3001063678</v>
      </c>
      <c r="E8" s="146">
        <f>SUM(E5:E6)</f>
        <v>9.9495603325282483E-2</v>
      </c>
      <c r="F8" s="424">
        <f>+B8-D8</f>
        <v>15073573.832502019</v>
      </c>
      <c r="G8" s="147">
        <f>+SUM(G5:G7)</f>
        <v>0.9005043966747176</v>
      </c>
    </row>
    <row r="9" spans="1:9" ht="13" x14ac:dyDescent="0.3">
      <c r="A9" s="72"/>
      <c r="B9" s="53"/>
      <c r="C9" s="148"/>
      <c r="D9" s="53"/>
      <c r="E9" s="53"/>
      <c r="F9" s="53"/>
      <c r="G9" s="53"/>
    </row>
    <row r="10" spans="1:9" ht="15.5" x14ac:dyDescent="0.35">
      <c r="A10" s="149" t="s">
        <v>268</v>
      </c>
      <c r="B10" s="150"/>
      <c r="C10" s="150"/>
      <c r="D10" s="150"/>
      <c r="E10" s="150"/>
      <c r="F10" s="150"/>
      <c r="G10" s="150"/>
      <c r="H10" s="150"/>
      <c r="I10" s="151"/>
    </row>
    <row r="11" spans="1:9" ht="13" x14ac:dyDescent="0.3">
      <c r="A11" s="152" t="s">
        <v>269</v>
      </c>
      <c r="B11" s="153" t="s">
        <v>270</v>
      </c>
      <c r="C11" s="153" t="s">
        <v>271</v>
      </c>
      <c r="D11" s="153" t="s">
        <v>272</v>
      </c>
      <c r="E11" s="153" t="s">
        <v>271</v>
      </c>
      <c r="F11" s="153" t="s">
        <v>273</v>
      </c>
      <c r="G11" s="153" t="s">
        <v>272</v>
      </c>
      <c r="H11" s="153"/>
      <c r="I11" s="154" t="s">
        <v>274</v>
      </c>
    </row>
    <row r="12" spans="1:9" ht="13.5" thickBot="1" x14ac:dyDescent="0.35">
      <c r="A12" s="155"/>
      <c r="B12" s="156"/>
      <c r="C12" s="156" t="s">
        <v>275</v>
      </c>
      <c r="D12" s="156" t="s">
        <v>275</v>
      </c>
      <c r="E12" s="156" t="s">
        <v>41</v>
      </c>
      <c r="F12" s="156" t="s">
        <v>276</v>
      </c>
      <c r="G12" s="156" t="s">
        <v>41</v>
      </c>
      <c r="H12" s="156" t="s">
        <v>277</v>
      </c>
      <c r="I12" s="157" t="s">
        <v>278</v>
      </c>
    </row>
    <row r="13" spans="1:9" ht="13" thickTop="1" x14ac:dyDescent="0.25">
      <c r="A13" s="425" t="s">
        <v>592</v>
      </c>
      <c r="B13" s="426">
        <f>+D5</f>
        <v>1578720</v>
      </c>
      <c r="C13" s="426"/>
      <c r="D13" s="426"/>
      <c r="E13" s="426"/>
      <c r="F13" s="426"/>
      <c r="G13" s="426"/>
      <c r="H13" s="427"/>
      <c r="I13" s="428"/>
    </row>
    <row r="14" spans="1:9" x14ac:dyDescent="0.25">
      <c r="A14" s="429" t="s">
        <v>593</v>
      </c>
      <c r="B14" s="430">
        <f>+'Apertura financiera'!B33</f>
        <v>1499784</v>
      </c>
      <c r="C14" s="430">
        <f>+'Apertura financiera'!E33</f>
        <v>78936</v>
      </c>
      <c r="D14" s="430">
        <f>+'Apertura financiera'!G33</f>
        <v>135835.69999999998</v>
      </c>
      <c r="E14" s="430"/>
      <c r="F14" s="430"/>
      <c r="G14" s="430"/>
      <c r="H14" s="431"/>
      <c r="I14" s="484">
        <f>+'Apertura financiera'!J33</f>
        <v>52018.824000000001</v>
      </c>
    </row>
    <row r="15" spans="1:9" x14ac:dyDescent="0.25">
      <c r="A15" s="429" t="s">
        <v>594</v>
      </c>
      <c r="B15" s="430">
        <f>+'Apertura financiera'!B39</f>
        <v>1341912</v>
      </c>
      <c r="C15" s="430">
        <f>+'Apertura financiera'!E39</f>
        <v>157872</v>
      </c>
      <c r="D15" s="430">
        <f>+'Apertura financiera'!G39</f>
        <v>250950.7</v>
      </c>
      <c r="E15" s="430">
        <f>+C14+C15</f>
        <v>236808</v>
      </c>
      <c r="F15" s="430">
        <f>+(B15+B13)/2</f>
        <v>1460316</v>
      </c>
      <c r="G15" s="430">
        <f>+D14+D15</f>
        <v>386786.4</v>
      </c>
      <c r="H15" s="433">
        <f>+G15/F15</f>
        <v>0.26486486486486488</v>
      </c>
      <c r="I15" s="484">
        <f>+'Apertura financiera'!J39</f>
        <v>8604.0239999999994</v>
      </c>
    </row>
    <row r="16" spans="1:9" x14ac:dyDescent="0.25">
      <c r="A16" s="158"/>
      <c r="B16" s="62"/>
      <c r="C16" s="62"/>
      <c r="D16" s="62"/>
      <c r="E16" s="62"/>
      <c r="F16" s="27"/>
      <c r="G16" s="62"/>
      <c r="H16" s="94"/>
      <c r="I16" s="63"/>
    </row>
    <row r="17" spans="1:9" x14ac:dyDescent="0.25">
      <c r="A17" s="158"/>
      <c r="B17" s="62"/>
      <c r="C17" s="62"/>
      <c r="D17" s="62"/>
      <c r="E17" s="62"/>
      <c r="F17" s="27"/>
      <c r="G17" s="62"/>
      <c r="H17" s="94"/>
      <c r="I17" s="63"/>
    </row>
    <row r="18" spans="1:9" x14ac:dyDescent="0.25">
      <c r="A18" s="158"/>
      <c r="B18" s="62"/>
      <c r="C18" s="62"/>
      <c r="D18" s="62"/>
      <c r="E18" s="62"/>
      <c r="F18" s="27"/>
      <c r="G18" s="62"/>
      <c r="H18" s="94"/>
      <c r="I18" s="63"/>
    </row>
    <row r="19" spans="1:9" x14ac:dyDescent="0.25">
      <c r="A19" s="158"/>
      <c r="B19" s="62"/>
      <c r="C19" s="62"/>
      <c r="D19" s="62"/>
      <c r="E19" s="62"/>
      <c r="F19" s="27"/>
      <c r="G19" s="62"/>
      <c r="H19" s="94"/>
      <c r="I19" s="63"/>
    </row>
    <row r="20" spans="1:9" ht="13" thickBot="1" x14ac:dyDescent="0.3">
      <c r="A20" s="159"/>
      <c r="B20" s="68"/>
      <c r="C20" s="68"/>
      <c r="D20" s="76"/>
      <c r="E20" s="68"/>
      <c r="F20" s="31"/>
      <c r="G20" s="76"/>
      <c r="H20" s="160"/>
      <c r="I20" s="77"/>
    </row>
    <row r="21" spans="1:9" ht="14" thickTop="1" thickBot="1" x14ac:dyDescent="0.35">
      <c r="A21" s="405" t="s">
        <v>279</v>
      </c>
      <c r="B21" s="434"/>
      <c r="C21" s="434"/>
      <c r="D21" s="435">
        <f>+D14+D15</f>
        <v>386786.4</v>
      </c>
      <c r="E21" s="434"/>
      <c r="F21" s="436"/>
      <c r="G21" s="435">
        <f>+G15</f>
        <v>386786.4</v>
      </c>
      <c r="H21" s="437"/>
      <c r="I21" s="438">
        <f>+I14+I15</f>
        <v>60622.847999999998</v>
      </c>
    </row>
    <row r="22" spans="1:9" ht="13" thickTop="1" x14ac:dyDescent="0.25">
      <c r="A22" s="439">
        <v>37072</v>
      </c>
      <c r="B22" s="426">
        <f>+'Apertura financiera'!B47</f>
        <v>1184040</v>
      </c>
      <c r="C22" s="426">
        <f>+'Apertura financiera'!E47</f>
        <v>157872</v>
      </c>
      <c r="D22" s="426">
        <f>+'Apertura financiera'!G47</f>
        <v>223323.09999999998</v>
      </c>
      <c r="E22" s="426"/>
      <c r="F22" s="426"/>
      <c r="G22" s="426"/>
      <c r="H22" s="427"/>
      <c r="I22" s="432"/>
    </row>
    <row r="23" spans="1:9" x14ac:dyDescent="0.25">
      <c r="A23" s="440">
        <v>37256</v>
      </c>
      <c r="B23" s="430">
        <f>+'Apertura financiera'!B53+'Apertura financiera'!B100</f>
        <v>1112908.3001063678</v>
      </c>
      <c r="C23" s="430">
        <f t="shared" ref="C23:C29" si="1">+C22</f>
        <v>157872</v>
      </c>
      <c r="D23" s="488">
        <f>+'Apertura financiera'!C100+'Apertura financiera'!G53</f>
        <v>197719.44033581525</v>
      </c>
      <c r="E23" s="430">
        <f>+C22+C23</f>
        <v>315744</v>
      </c>
      <c r="F23" s="430">
        <f>+((B15+B22)/2+(B23+B22)/2)/2</f>
        <v>1205725.075026592</v>
      </c>
      <c r="G23" s="430">
        <f>+D22+D23</f>
        <v>421042.54033581523</v>
      </c>
      <c r="H23" s="433">
        <f>+G23/F23</f>
        <v>0.34920277354813178</v>
      </c>
      <c r="I23" s="432">
        <f>+'Apertura financiera'!J47+'Apertura financiera'!J53</f>
        <v>0</v>
      </c>
    </row>
    <row r="24" spans="1:9" x14ac:dyDescent="0.25">
      <c r="A24" s="440">
        <v>37437</v>
      </c>
      <c r="B24" s="430">
        <f>+'Apertura financiera'!B101+'Apertura financiera'!B59</f>
        <v>955036.30010636779</v>
      </c>
      <c r="C24" s="430">
        <f t="shared" si="1"/>
        <v>157872</v>
      </c>
      <c r="D24" s="488">
        <f>+'Apertura financiera'!G59+'Apertura financiera'!C100</f>
        <v>170091.84033581524</v>
      </c>
      <c r="E24" s="430"/>
      <c r="F24" s="430"/>
      <c r="G24" s="430"/>
      <c r="H24" s="431"/>
      <c r="I24" s="432"/>
    </row>
    <row r="25" spans="1:9" x14ac:dyDescent="0.25">
      <c r="A25" s="440">
        <v>37621</v>
      </c>
      <c r="B25" s="430">
        <f>+'Apertura financiera'!B65+'Apertura financiera'!B102</f>
        <v>797164.30010636779</v>
      </c>
      <c r="C25" s="430">
        <f t="shared" si="1"/>
        <v>157872</v>
      </c>
      <c r="D25" s="430">
        <f>+'Apertura financiera'!G65+'Apertura financiera'!C102</f>
        <v>142464.24033581524</v>
      </c>
      <c r="E25" s="430">
        <f>+C24+C25</f>
        <v>315744</v>
      </c>
      <c r="F25" s="430">
        <f>+(B25+B23)/2</f>
        <v>955036.30010636779</v>
      </c>
      <c r="G25" s="430">
        <f>+D24+D25</f>
        <v>312556.08067163045</v>
      </c>
      <c r="H25" s="433">
        <f>+G25/F25</f>
        <v>0.32727141432929757</v>
      </c>
      <c r="I25" s="432">
        <f>+'Apertura financiera'!J59+'Apertura financiera'!J65</f>
        <v>0</v>
      </c>
    </row>
    <row r="26" spans="1:9" x14ac:dyDescent="0.25">
      <c r="A26" s="440">
        <v>37802</v>
      </c>
      <c r="B26" s="430">
        <f>+'Apertura financiera'!B103+'Apertura financiera'!B71</f>
        <v>639292.30010636779</v>
      </c>
      <c r="C26" s="430">
        <f t="shared" si="1"/>
        <v>157872</v>
      </c>
      <c r="D26" s="430">
        <f>+'Apertura financiera'!C103+'Apertura financiera'!G71</f>
        <v>114836.64033581523</v>
      </c>
      <c r="E26" s="430"/>
      <c r="F26" s="430"/>
      <c r="G26" s="430"/>
      <c r="H26" s="431"/>
      <c r="I26" s="432"/>
    </row>
    <row r="27" spans="1:9" x14ac:dyDescent="0.25">
      <c r="A27" s="440">
        <v>37986</v>
      </c>
      <c r="B27" s="430">
        <f>+'Apertura financiera'!B104+'Apertura financiera'!B77</f>
        <v>481420.30010636779</v>
      </c>
      <c r="C27" s="430">
        <f t="shared" si="1"/>
        <v>157872</v>
      </c>
      <c r="D27" s="488">
        <f>'Apertura financiera'!G77+'Apertura financiera'!C104</f>
        <v>87209.04033581524</v>
      </c>
      <c r="E27" s="430">
        <f>+C26+C27</f>
        <v>315744</v>
      </c>
      <c r="F27" s="430">
        <f>+(B27+B25)/2</f>
        <v>639292.30010636779</v>
      </c>
      <c r="G27" s="430">
        <f>+D26+D27</f>
        <v>202045.68067163049</v>
      </c>
      <c r="H27" s="433">
        <f>+G27/F27</f>
        <v>0.31604585357592041</v>
      </c>
      <c r="I27" s="432">
        <f>+'Apertura financiera'!J71+'Apertura financiera'!J77</f>
        <v>0</v>
      </c>
    </row>
    <row r="28" spans="1:9" x14ac:dyDescent="0.25">
      <c r="A28" s="440">
        <v>38168</v>
      </c>
      <c r="B28" s="430">
        <f>+'Apertura financiera'!B83+'Apertura financiera'!B105</f>
        <v>323548.30010636779</v>
      </c>
      <c r="C28" s="430">
        <f t="shared" si="1"/>
        <v>157872</v>
      </c>
      <c r="D28" s="488">
        <f>+'Apertura financiera'!G83+'Apertura financiera'!C100</f>
        <v>59581.440335815241</v>
      </c>
      <c r="E28" s="430"/>
      <c r="F28" s="430"/>
      <c r="G28" s="430"/>
      <c r="H28" s="431"/>
      <c r="I28" s="432"/>
    </row>
    <row r="29" spans="1:9" x14ac:dyDescent="0.25">
      <c r="A29" s="440">
        <v>38352</v>
      </c>
      <c r="B29" s="430">
        <f>+'Apertura financiera'!B106+'Apertura financiera'!B89</f>
        <v>165676.30010636779</v>
      </c>
      <c r="C29" s="430">
        <f t="shared" si="1"/>
        <v>157872</v>
      </c>
      <c r="D29" s="488">
        <f>+'Apertura financiera'!G89+'Apertura financiera'!C100</f>
        <v>31953.840335815246</v>
      </c>
      <c r="E29" s="430">
        <f>+C28+C29</f>
        <v>315744</v>
      </c>
      <c r="F29" s="430">
        <f>+(B29+B27)/2</f>
        <v>323548.30010636779</v>
      </c>
      <c r="G29" s="430">
        <f>+D28+D29</f>
        <v>91535.280671630491</v>
      </c>
      <c r="H29" s="433">
        <f>+G29/F29</f>
        <v>0.28291071423196446</v>
      </c>
      <c r="I29" s="432">
        <f>+'Apertura financiera'!J83+'Apertura financiera'!J89</f>
        <v>0</v>
      </c>
    </row>
    <row r="30" spans="1:9" x14ac:dyDescent="0.25">
      <c r="A30" s="440">
        <v>38533</v>
      </c>
      <c r="B30" s="430">
        <f>+'Apertura financiera'!B107</f>
        <v>86740.30010636778</v>
      </c>
      <c r="C30" s="430">
        <f>+'Apertura financiera'!E92</f>
        <v>78936</v>
      </c>
      <c r="D30" s="430">
        <f>+'Apertura financiera'!G92+'Apertura financiera'!C107</f>
        <v>6628.540335815248</v>
      </c>
      <c r="E30" s="430"/>
      <c r="F30" s="430"/>
      <c r="G30" s="430"/>
      <c r="H30" s="431"/>
      <c r="I30" s="432"/>
    </row>
    <row r="31" spans="1:9" x14ac:dyDescent="0.25">
      <c r="A31" s="440">
        <v>38717</v>
      </c>
      <c r="B31" s="430">
        <f>+'Apertura financiera'!B108</f>
        <v>86740.30010636778</v>
      </c>
      <c r="C31" s="430">
        <v>0</v>
      </c>
      <c r="D31" s="430">
        <f>+'Apertura financiera'!C108</f>
        <v>2023.9403358152485</v>
      </c>
      <c r="E31" s="430">
        <f>+C30+C31</f>
        <v>78936</v>
      </c>
      <c r="F31" s="430">
        <f>+(B31+B29)/2</f>
        <v>126208.30010636779</v>
      </c>
      <c r="G31" s="430">
        <f>+D30+D31</f>
        <v>8652.4806716304956</v>
      </c>
      <c r="H31" s="433">
        <f>+G31/F31</f>
        <v>6.855714453279399E-2</v>
      </c>
      <c r="I31" s="432">
        <f>+'Apertura financiera'!J92</f>
        <v>0</v>
      </c>
    </row>
    <row r="32" spans="1:9" x14ac:dyDescent="0.25">
      <c r="A32" s="158"/>
      <c r="B32" s="430"/>
      <c r="C32" s="430"/>
      <c r="D32" s="430"/>
      <c r="E32" s="430"/>
      <c r="F32" s="430"/>
      <c r="G32" s="430"/>
      <c r="H32" s="431"/>
      <c r="I32" s="432"/>
    </row>
    <row r="33" spans="1:9" ht="13.5" thickBot="1" x14ac:dyDescent="0.35">
      <c r="A33" s="80" t="s">
        <v>280</v>
      </c>
      <c r="B33" s="441"/>
      <c r="C33" s="441">
        <f>+SUM(C19:C31)</f>
        <v>1341912</v>
      </c>
      <c r="D33" s="441">
        <f>+SUM(D21:D31)</f>
        <v>1422618.4630223371</v>
      </c>
      <c r="E33" s="441">
        <f>+SUM(E19:E31)</f>
        <v>1341912</v>
      </c>
      <c r="F33" s="441"/>
      <c r="G33" s="441">
        <f>+SUM(G21:G31)</f>
        <v>1422618.4630223371</v>
      </c>
      <c r="H33" s="442"/>
      <c r="I33" s="443">
        <f>+SUM(I21:I32)</f>
        <v>60622.847999999998</v>
      </c>
    </row>
    <row r="34" spans="1:9" ht="13" thickTop="1" x14ac:dyDescent="0.25"/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5"/>
  <sheetViews>
    <sheetView zoomScale="90" zoomScaleNormal="90" workbookViewId="0">
      <selection activeCell="D15" sqref="D15"/>
    </sheetView>
  </sheetViews>
  <sheetFormatPr baseColWidth="10" defaultColWidth="11.453125" defaultRowHeight="12.5" x14ac:dyDescent="0.25"/>
  <cols>
    <col min="1" max="1" width="32" style="161" customWidth="1"/>
    <col min="2" max="7" width="16" style="161" bestFit="1" customWidth="1"/>
    <col min="8" max="8" width="17.453125" style="161" customWidth="1"/>
    <col min="9" max="16384" width="11.453125" style="161"/>
  </cols>
  <sheetData>
    <row r="1" spans="1:7" ht="13" x14ac:dyDescent="0.3">
      <c r="A1" s="1" t="s">
        <v>0</v>
      </c>
      <c r="B1"/>
      <c r="C1"/>
      <c r="D1"/>
      <c r="E1" s="141"/>
      <c r="F1" s="2">
        <f>InfoInicial!E1</f>
        <v>8</v>
      </c>
    </row>
    <row r="2" spans="1:7" ht="15.5" x14ac:dyDescent="0.35">
      <c r="A2" s="162" t="s">
        <v>281</v>
      </c>
      <c r="B2" s="163"/>
      <c r="C2" s="163"/>
      <c r="D2" s="163"/>
      <c r="E2" s="163"/>
      <c r="F2" s="163"/>
      <c r="G2" s="164"/>
    </row>
    <row r="3" spans="1:7" ht="13" x14ac:dyDescent="0.3">
      <c r="A3" s="165" t="s">
        <v>94</v>
      </c>
      <c r="B3" s="166" t="s">
        <v>54</v>
      </c>
      <c r="C3" s="166" t="s">
        <v>95</v>
      </c>
      <c r="D3" s="166" t="s">
        <v>96</v>
      </c>
      <c r="E3" s="166" t="s">
        <v>97</v>
      </c>
      <c r="F3" s="167" t="s">
        <v>98</v>
      </c>
      <c r="G3" s="168" t="s">
        <v>198</v>
      </c>
    </row>
    <row r="4" spans="1:7" x14ac:dyDescent="0.25">
      <c r="A4" s="161" t="s">
        <v>282</v>
      </c>
      <c r="B4" s="62">
        <f>+'E-Costos'!B88</f>
        <v>11922000</v>
      </c>
      <c r="C4" s="62">
        <f>+'E-Costos'!C88</f>
        <v>13705000</v>
      </c>
      <c r="D4" s="62">
        <f>+'E-Costos'!D88</f>
        <v>13705000</v>
      </c>
      <c r="E4" s="62">
        <f>+'E-Costos'!E88</f>
        <v>13705000</v>
      </c>
      <c r="F4" s="62">
        <f>+'E-Costos'!F88</f>
        <v>13705000</v>
      </c>
      <c r="G4" s="63">
        <f>+SUM(B4:F4)</f>
        <v>66742000</v>
      </c>
    </row>
    <row r="5" spans="1:7" x14ac:dyDescent="0.25">
      <c r="A5" s="161" t="s">
        <v>283</v>
      </c>
      <c r="B5" s="62">
        <f>+'E-Costos'!B109</f>
        <v>3145504.6475840327</v>
      </c>
      <c r="C5" s="62">
        <f>+'E-Costos'!C109</f>
        <v>3625310.0126191401</v>
      </c>
      <c r="D5" s="62">
        <f>+'E-Costos'!D109</f>
        <v>3626304.5879466194</v>
      </c>
      <c r="E5" s="62">
        <f>+'E-Costos'!E109</f>
        <v>3622777.79778007</v>
      </c>
      <c r="F5" s="62">
        <f>+'E-Costos'!F109</f>
        <v>3622653.1007661298</v>
      </c>
      <c r="G5" s="63">
        <f>+SUM(B5:F5)</f>
        <v>17642550.146695994</v>
      </c>
    </row>
    <row r="6" spans="1:7" x14ac:dyDescent="0.25">
      <c r="A6" s="161" t="s">
        <v>284</v>
      </c>
      <c r="B6" s="62">
        <f>+B4-B5</f>
        <v>8776495.3524159677</v>
      </c>
      <c r="C6" s="62">
        <f t="shared" ref="C6:G6" si="0">+C4-C5</f>
        <v>10079689.98738086</v>
      </c>
      <c r="D6" s="62">
        <f t="shared" si="0"/>
        <v>10078695.41205338</v>
      </c>
      <c r="E6" s="62">
        <f t="shared" si="0"/>
        <v>10082222.20221993</v>
      </c>
      <c r="F6" s="62">
        <f t="shared" si="0"/>
        <v>10082346.89923387</v>
      </c>
      <c r="G6" s="62">
        <f t="shared" si="0"/>
        <v>49099449.853304006</v>
      </c>
    </row>
    <row r="7" spans="1:7" x14ac:dyDescent="0.25">
      <c r="A7" s="161" t="s">
        <v>120</v>
      </c>
      <c r="B7" s="82"/>
      <c r="C7" s="82"/>
      <c r="D7" s="82"/>
      <c r="E7" s="82"/>
      <c r="F7" s="111"/>
      <c r="G7" s="83"/>
    </row>
    <row r="8" spans="1:7" x14ac:dyDescent="0.25">
      <c r="A8" s="161" t="s">
        <v>285</v>
      </c>
      <c r="B8" s="62">
        <f>+'E-Costos'!B111</f>
        <v>1201594.1082085492</v>
      </c>
      <c r="C8" s="62">
        <f>+'E-Costos'!C111</f>
        <v>1201594.1082085492</v>
      </c>
      <c r="D8" s="62">
        <f>+'E-Costos'!D111</f>
        <v>1201594.1082085492</v>
      </c>
      <c r="E8" s="62">
        <f>+'E-Costos'!E111</f>
        <v>1201391.8425418823</v>
      </c>
      <c r="F8" s="62">
        <f>+'E-Costos'!F111</f>
        <v>1201391.8425418823</v>
      </c>
      <c r="G8" s="63">
        <f t="shared" ref="G8:G14" si="1">+SUM(B8:F8)</f>
        <v>6007566.0097094122</v>
      </c>
    </row>
    <row r="9" spans="1:7" x14ac:dyDescent="0.25">
      <c r="A9" s="161" t="s">
        <v>286</v>
      </c>
      <c r="B9" s="62">
        <f>+'E-Costos'!B112</f>
        <v>444034.10820854892</v>
      </c>
      <c r="C9" s="62">
        <f>+'E-Costos'!C112</f>
        <v>444034.10820854892</v>
      </c>
      <c r="D9" s="62">
        <f>+'E-Costos'!D112</f>
        <v>444034.10820854892</v>
      </c>
      <c r="E9" s="62">
        <f>+'E-Costos'!E112</f>
        <v>443831.84254188219</v>
      </c>
      <c r="F9" s="62">
        <f>+'E-Costos'!F112</f>
        <v>443831.84254188219</v>
      </c>
      <c r="G9" s="63">
        <f>+SUM(B9:F9)</f>
        <v>2219766.0097094113</v>
      </c>
    </row>
    <row r="10" spans="1:7" x14ac:dyDescent="0.25">
      <c r="A10" s="384" t="s">
        <v>287</v>
      </c>
      <c r="B10" s="385">
        <f>+'F-Cred'!$G23+'F-Cred'!$I23+(('F-Cred'!$G$21+'F-Cred'!$I$21)/3)</f>
        <v>570178.95633581525</v>
      </c>
      <c r="C10" s="385">
        <f>+'F-Cred'!$G25+'F-Cred'!$I25+('F-Cred'!$G$21+'F-Cred'!$I$21)/3</f>
        <v>461692.49667163042</v>
      </c>
      <c r="D10" s="385">
        <f>+'F-Cred'!$G27+'F-Cred'!$I27+('F-Cred'!$G$21+'F-Cred'!$I$21)/3</f>
        <v>351182.09667163051</v>
      </c>
      <c r="E10" s="385">
        <f>+'F-Cred'!G29+'F-Cred'!I29</f>
        <v>91535.280671630491</v>
      </c>
      <c r="F10" s="483">
        <f>+'F-Cred'!G31+'F-Cred'!I31</f>
        <v>8652.4806716304956</v>
      </c>
      <c r="G10" s="389">
        <f>+SUM(B10:F10)</f>
        <v>1483241.3110223373</v>
      </c>
    </row>
    <row r="11" spans="1:7" ht="13" x14ac:dyDescent="0.3">
      <c r="A11" s="169" t="s">
        <v>288</v>
      </c>
      <c r="B11" s="62">
        <f>+B6-B8-B9-B10</f>
        <v>6560688.1796630537</v>
      </c>
      <c r="C11" s="62">
        <f t="shared" ref="C11:F11" si="2">+C6-C8-C9-C10</f>
        <v>7972369.2742921319</v>
      </c>
      <c r="D11" s="62">
        <f t="shared" si="2"/>
        <v>8081885.098964653</v>
      </c>
      <c r="E11" s="62">
        <f t="shared" si="2"/>
        <v>8345463.236464534</v>
      </c>
      <c r="F11" s="62">
        <f t="shared" si="2"/>
        <v>8428470.7334784735</v>
      </c>
      <c r="G11" s="63">
        <f t="shared" si="1"/>
        <v>39388876.522862844</v>
      </c>
    </row>
    <row r="12" spans="1:7" x14ac:dyDescent="0.25">
      <c r="A12" s="161" t="s">
        <v>289</v>
      </c>
      <c r="B12" s="62">
        <f>+'E-Costos'!B119</f>
        <v>713086.71359988686</v>
      </c>
      <c r="C12" s="62">
        <f>+'E-Costos'!C119</f>
        <v>843406.1770963762</v>
      </c>
      <c r="D12" s="62">
        <f>+'E-Costos'!D119</f>
        <v>843306.71956362843</v>
      </c>
      <c r="E12" s="62">
        <f>+'E-Costos'!E119</f>
        <v>843699.85171361663</v>
      </c>
      <c r="F12" s="62">
        <f>+'E-Costos'!F119</f>
        <v>843712.32141501049</v>
      </c>
      <c r="G12" s="63">
        <f t="shared" si="1"/>
        <v>4087211.7833885183</v>
      </c>
    </row>
    <row r="13" spans="1:7" x14ac:dyDescent="0.25">
      <c r="A13" s="170" t="s">
        <v>290</v>
      </c>
      <c r="B13" s="62">
        <f>+(B11-B12)*0.35</f>
        <v>2046660.5131221083</v>
      </c>
      <c r="C13" s="62">
        <f t="shared" ref="C13:F13" si="3">+(C11-C12)*0.35</f>
        <v>2495137.0840185145</v>
      </c>
      <c r="D13" s="62">
        <f t="shared" si="3"/>
        <v>2533502.4327903586</v>
      </c>
      <c r="E13" s="62">
        <f t="shared" si="3"/>
        <v>2625617.1846628208</v>
      </c>
      <c r="F13" s="62">
        <f t="shared" si="3"/>
        <v>2654665.4442222118</v>
      </c>
      <c r="G13" s="63">
        <f t="shared" si="1"/>
        <v>12355582.658816013</v>
      </c>
    </row>
    <row r="14" spans="1:7" ht="13.5" thickBot="1" x14ac:dyDescent="0.35">
      <c r="A14" s="171" t="s">
        <v>291</v>
      </c>
      <c r="B14" s="68">
        <f>+B11-B12-B13</f>
        <v>3800940.9529410587</v>
      </c>
      <c r="C14" s="68">
        <f t="shared" ref="C14:F14" si="4">+C11-C12-C13</f>
        <v>4633826.0131772412</v>
      </c>
      <c r="D14" s="68">
        <f t="shared" si="4"/>
        <v>4705075.9466106659</v>
      </c>
      <c r="E14" s="68">
        <f t="shared" si="4"/>
        <v>4876146.2000880968</v>
      </c>
      <c r="F14" s="68">
        <f t="shared" si="4"/>
        <v>4930092.9678412508</v>
      </c>
      <c r="G14" s="69">
        <f t="shared" si="1"/>
        <v>22946082.080658317</v>
      </c>
    </row>
    <row r="15" spans="1:7" ht="13" thickTop="1" x14ac:dyDescent="0.25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P87"/>
  <sheetViews>
    <sheetView zoomScale="90" zoomScaleNormal="90" workbookViewId="0">
      <selection activeCell="B7" sqref="B7"/>
    </sheetView>
  </sheetViews>
  <sheetFormatPr baseColWidth="10" defaultRowHeight="12.5" x14ac:dyDescent="0.25"/>
  <cols>
    <col min="1" max="1" width="54.453125" style="161" customWidth="1"/>
    <col min="2" max="6" width="16" style="161" bestFit="1" customWidth="1"/>
    <col min="7" max="250" width="11.453125" style="161" customWidth="1"/>
  </cols>
  <sheetData>
    <row r="1" spans="1:5" ht="13" x14ac:dyDescent="0.3">
      <c r="A1" s="1" t="s">
        <v>0</v>
      </c>
      <c r="B1"/>
      <c r="C1"/>
      <c r="D1">
        <f>InfoInicial!E1</f>
        <v>8</v>
      </c>
      <c r="E1" s="2"/>
    </row>
    <row r="2" spans="1:5" ht="15.5" x14ac:dyDescent="0.35">
      <c r="A2" s="162" t="s">
        <v>292</v>
      </c>
      <c r="B2" s="163"/>
      <c r="C2" s="163"/>
      <c r="D2" s="164"/>
    </row>
    <row r="3" spans="1:5" ht="13" x14ac:dyDescent="0.3">
      <c r="A3" s="165" t="s">
        <v>94</v>
      </c>
      <c r="B3" s="172" t="s">
        <v>53</v>
      </c>
      <c r="C3" s="172" t="s">
        <v>54</v>
      </c>
      <c r="D3" s="168" t="s">
        <v>198</v>
      </c>
    </row>
    <row r="4" spans="1:5" ht="13" x14ac:dyDescent="0.3">
      <c r="A4" s="169" t="s">
        <v>293</v>
      </c>
      <c r="B4" s="82"/>
      <c r="C4" s="82"/>
      <c r="D4" s="83"/>
    </row>
    <row r="5" spans="1:5" x14ac:dyDescent="0.25">
      <c r="B5" s="62"/>
      <c r="C5" s="62"/>
      <c r="D5" s="63"/>
    </row>
    <row r="6" spans="1:5" x14ac:dyDescent="0.25">
      <c r="A6" s="161" t="s">
        <v>294</v>
      </c>
      <c r="B6" s="62">
        <f>+'E-Inv AF y Am'!B20+'E-Inv AF y Am'!D20</f>
        <v>12286268.58</v>
      </c>
      <c r="C6" s="62">
        <f>+'E-Inv AF y Am'!C20+'E-Inv AF y Am'!E20</f>
        <v>0</v>
      </c>
      <c r="D6" s="389">
        <f>+B6+C6</f>
        <v>12286268.58</v>
      </c>
    </row>
    <row r="7" spans="1:5" x14ac:dyDescent="0.25">
      <c r="A7" s="384" t="s">
        <v>295</v>
      </c>
      <c r="B7" s="385">
        <f>+'E-Inv AF y Am'!B31+'F-Cred'!G21+'F-Cred'!I21</f>
        <v>528432.07044473395</v>
      </c>
      <c r="C7" s="385">
        <f>+'E-Inv AF y Am'!C31</f>
        <v>87468.89206762785</v>
      </c>
      <c r="D7" s="389">
        <f>+B7+C7</f>
        <v>615900.96251236182</v>
      </c>
    </row>
    <row r="8" spans="1:5" ht="13" x14ac:dyDescent="0.3">
      <c r="A8" s="169" t="s">
        <v>296</v>
      </c>
      <c r="B8" s="62">
        <f>+B6+B7</f>
        <v>12814700.650444735</v>
      </c>
      <c r="C8" s="62">
        <f>+C6+C7</f>
        <v>87468.89206762785</v>
      </c>
      <c r="D8" s="389">
        <f t="shared" ref="D8:D14" si="0">+B8+C8</f>
        <v>12902169.542512363</v>
      </c>
    </row>
    <row r="9" spans="1:5" x14ac:dyDescent="0.25">
      <c r="A9" s="170" t="s">
        <v>297</v>
      </c>
      <c r="B9" s="62">
        <f>+B8*0.21</f>
        <v>2691087.1365933944</v>
      </c>
      <c r="C9" s="385">
        <f>+C8*0.21</f>
        <v>18368.467334201847</v>
      </c>
      <c r="D9" s="389">
        <f>+B9+C9</f>
        <v>2709455.6039275965</v>
      </c>
    </row>
    <row r="10" spans="1:5" ht="13" x14ac:dyDescent="0.3">
      <c r="A10" s="169" t="s">
        <v>298</v>
      </c>
      <c r="B10" s="62">
        <f>+B8+B9</f>
        <v>15505787.787038129</v>
      </c>
      <c r="C10" s="62">
        <f>+C8+C9</f>
        <v>105837.3594018297</v>
      </c>
      <c r="D10" s="389">
        <f>+B10+C10</f>
        <v>15611625.146439958</v>
      </c>
    </row>
    <row r="11" spans="1:5" ht="13" x14ac:dyDescent="0.3">
      <c r="A11" s="169" t="s">
        <v>299</v>
      </c>
      <c r="B11" s="82"/>
      <c r="C11" s="82"/>
      <c r="D11" s="83"/>
    </row>
    <row r="12" spans="1:5" x14ac:dyDescent="0.25">
      <c r="A12" s="170" t="s">
        <v>300</v>
      </c>
      <c r="B12" s="62">
        <f>+'E-InvAT'!B6</f>
        <v>190752</v>
      </c>
      <c r="C12" s="62">
        <f>+'E-InvAT'!C6-'E-InvAT'!B6</f>
        <v>47688</v>
      </c>
      <c r="D12" s="63">
        <f t="shared" si="0"/>
        <v>238440</v>
      </c>
    </row>
    <row r="13" spans="1:5" x14ac:dyDescent="0.25">
      <c r="A13" s="161" t="s">
        <v>301</v>
      </c>
      <c r="B13" s="62">
        <f>+'E-InvAT'!B7</f>
        <v>0</v>
      </c>
      <c r="C13" s="62">
        <f>+'E-InvAT'!C7</f>
        <v>1126438.3561643835</v>
      </c>
      <c r="D13" s="63">
        <f t="shared" si="0"/>
        <v>1126438.3561643835</v>
      </c>
    </row>
    <row r="14" spans="1:5" x14ac:dyDescent="0.25">
      <c r="A14" s="161" t="s">
        <v>302</v>
      </c>
      <c r="B14" s="62">
        <f>+'E-InvAT'!B9</f>
        <v>354543.9005410652</v>
      </c>
      <c r="C14" s="62">
        <f>+'E-InvAT'!C9-'E-InvAT'!B9</f>
        <v>164929.23867282603</v>
      </c>
      <c r="D14" s="63">
        <f t="shared" si="0"/>
        <v>519473.13921389123</v>
      </c>
    </row>
    <row r="15" spans="1:5" ht="13" x14ac:dyDescent="0.3">
      <c r="A15" s="169" t="s">
        <v>303</v>
      </c>
      <c r="B15" s="62">
        <f>+SUM(B12:B14)</f>
        <v>545295.90054106526</v>
      </c>
      <c r="C15" s="62">
        <f>+SUM(C12:C14)</f>
        <v>1339055.5948372094</v>
      </c>
      <c r="D15" s="63"/>
    </row>
    <row r="16" spans="1:5" x14ac:dyDescent="0.25">
      <c r="A16" s="161" t="s">
        <v>120</v>
      </c>
      <c r="B16" s="82"/>
      <c r="C16" s="82"/>
      <c r="D16" s="83"/>
    </row>
    <row r="17" spans="1:5" x14ac:dyDescent="0.25">
      <c r="A17" s="161" t="s">
        <v>304</v>
      </c>
      <c r="B17" s="62">
        <f>+'E-InvAT'!B17+'E-InvAT'!B18</f>
        <v>0</v>
      </c>
      <c r="C17" s="62">
        <f>+'E-InvAT'!C17+'E-InvAT'!C18</f>
        <v>1968.377878585788</v>
      </c>
      <c r="D17" s="63">
        <f t="shared" ref="D17" si="1">+B17+C17</f>
        <v>1968.377878585788</v>
      </c>
    </row>
    <row r="18" spans="1:5" x14ac:dyDescent="0.25">
      <c r="A18" s="384" t="s">
        <v>305</v>
      </c>
      <c r="B18" s="385">
        <v>0</v>
      </c>
      <c r="C18" s="385">
        <f>+((('F-Cred'!G21+'F-Cred'!I21)/3)+'E-Inv AF y Am'!D56-'F-2 Estructura'!C17)*0.0821917808219178</f>
        <v>66223.673727990667</v>
      </c>
      <c r="D18" s="63">
        <f t="shared" ref="D18" si="2">+B18+C18</f>
        <v>66223.673727990667</v>
      </c>
    </row>
    <row r="19" spans="1:5" x14ac:dyDescent="0.25">
      <c r="A19" s="384" t="s">
        <v>306</v>
      </c>
      <c r="B19" s="385">
        <v>0</v>
      </c>
      <c r="C19" s="385">
        <f>+('F-CRes'!B14/'F-CRes'!B4)*'E-InvAT'!C7</f>
        <v>359128.1394823697</v>
      </c>
      <c r="D19" s="63">
        <f t="shared" ref="D19" si="3">+B19+C19</f>
        <v>359128.1394823697</v>
      </c>
    </row>
    <row r="20" spans="1:5" ht="13" x14ac:dyDescent="0.3">
      <c r="A20" s="169" t="s">
        <v>307</v>
      </c>
      <c r="B20" s="62">
        <f>+B15-SUM(B17:B19)</f>
        <v>545295.90054106526</v>
      </c>
      <c r="C20" s="62">
        <f>+C15-SUM(C17:C19)</f>
        <v>911735.40374826326</v>
      </c>
      <c r="D20" s="63">
        <f t="shared" ref="D20:D27" si="4">+B20+C20</f>
        <v>1457031.3042893284</v>
      </c>
    </row>
    <row r="21" spans="1:5" x14ac:dyDescent="0.25">
      <c r="A21" s="161" t="s">
        <v>256</v>
      </c>
      <c r="B21" s="62">
        <f>+'E-InvAT'!B34</f>
        <v>74454.219113623694</v>
      </c>
      <c r="C21" s="62">
        <f>+'E-InvAT'!C34</f>
        <v>109089.35923491715</v>
      </c>
      <c r="D21" s="63">
        <f t="shared" si="4"/>
        <v>183543.57834854085</v>
      </c>
    </row>
    <row r="22" spans="1:5" ht="13" x14ac:dyDescent="0.3">
      <c r="A22" s="169" t="s">
        <v>308</v>
      </c>
      <c r="B22" s="62">
        <f>+B15+B21</f>
        <v>619750.11965468898</v>
      </c>
      <c r="C22" s="62">
        <f>+C15+C21</f>
        <v>1448144.9540721267</v>
      </c>
      <c r="D22" s="63">
        <f t="shared" si="4"/>
        <v>2067895.0737268156</v>
      </c>
    </row>
    <row r="23" spans="1:5" ht="13" x14ac:dyDescent="0.3">
      <c r="A23" s="169" t="s">
        <v>309</v>
      </c>
      <c r="B23" s="62">
        <f>+B20+B21</f>
        <v>619750.11965468898</v>
      </c>
      <c r="C23" s="62">
        <f>+C20+C21</f>
        <v>1020824.7629831803</v>
      </c>
      <c r="D23" s="63">
        <f t="shared" si="4"/>
        <v>1640574.8826378693</v>
      </c>
    </row>
    <row r="24" spans="1:5" ht="13" x14ac:dyDescent="0.3">
      <c r="A24" s="169" t="s">
        <v>310</v>
      </c>
      <c r="B24" s="82"/>
      <c r="C24" s="82"/>
      <c r="D24" s="83"/>
    </row>
    <row r="25" spans="1:5" x14ac:dyDescent="0.25">
      <c r="A25" s="161" t="s">
        <v>311</v>
      </c>
      <c r="B25" s="62">
        <f>+B10</f>
        <v>15505787.787038129</v>
      </c>
      <c r="C25" s="62">
        <f>+C10</f>
        <v>105837.3594018297</v>
      </c>
      <c r="D25" s="63">
        <f t="shared" si="4"/>
        <v>15611625.146439958</v>
      </c>
    </row>
    <row r="26" spans="1:5" x14ac:dyDescent="0.25">
      <c r="A26" s="161" t="s">
        <v>312</v>
      </c>
      <c r="B26" s="62">
        <f>+B23</f>
        <v>619750.11965468898</v>
      </c>
      <c r="C26" s="62">
        <f>+C23</f>
        <v>1020824.7629831803</v>
      </c>
      <c r="D26" s="63">
        <f t="shared" si="4"/>
        <v>1640574.8826378693</v>
      </c>
    </row>
    <row r="27" spans="1:5" ht="13" x14ac:dyDescent="0.3">
      <c r="A27" s="169" t="s">
        <v>313</v>
      </c>
      <c r="B27" s="62">
        <f>+B25+B26</f>
        <v>16125537.906692818</v>
      </c>
      <c r="C27" s="62">
        <f>+C25+C26</f>
        <v>1126662.1223850101</v>
      </c>
      <c r="D27" s="63">
        <f t="shared" si="4"/>
        <v>17252200.029077828</v>
      </c>
      <c r="E27" s="173"/>
    </row>
    <row r="28" spans="1:5" ht="13" x14ac:dyDescent="0.3">
      <c r="A28" s="169" t="s">
        <v>314</v>
      </c>
      <c r="B28" s="82"/>
      <c r="C28" s="82"/>
      <c r="D28" s="111"/>
      <c r="E28" s="174" t="s">
        <v>315</v>
      </c>
    </row>
    <row r="29" spans="1:5" ht="13" x14ac:dyDescent="0.3">
      <c r="A29" s="386" t="s">
        <v>316</v>
      </c>
      <c r="B29" s="385">
        <v>0</v>
      </c>
      <c r="C29" s="385">
        <f>+'Apertura financiera'!$B$12</f>
        <v>86740.30010636778</v>
      </c>
      <c r="D29" s="110">
        <f>+SUM((B29:C29))</f>
        <v>86740.30010636778</v>
      </c>
      <c r="E29" s="472">
        <f>+D29/D32</f>
        <v>5.027781961730724E-3</v>
      </c>
    </row>
    <row r="30" spans="1:5" ht="13" x14ac:dyDescent="0.3">
      <c r="A30" s="386" t="s">
        <v>317</v>
      </c>
      <c r="B30" s="385">
        <f>+'F-Cred'!B15</f>
        <v>1341912</v>
      </c>
      <c r="C30" s="385">
        <v>0</v>
      </c>
      <c r="D30" s="110">
        <f>+SUM((B30:C30))</f>
        <v>1341912</v>
      </c>
      <c r="E30" s="472">
        <f>+D30/D32</f>
        <v>7.7782079835514661E-2</v>
      </c>
    </row>
    <row r="31" spans="1:5" ht="13" x14ac:dyDescent="0.3">
      <c r="A31" s="386" t="s">
        <v>318</v>
      </c>
      <c r="B31" s="385">
        <f>+B32-B30</f>
        <v>14783625.906692818</v>
      </c>
      <c r="C31" s="385">
        <f>+C32-C29</f>
        <v>1039921.8222786423</v>
      </c>
      <c r="D31" s="110">
        <f>+SUM(B31:C31)</f>
        <v>15823547.728971461</v>
      </c>
      <c r="E31" s="472">
        <f>+D31/D32</f>
        <v>0.91719013820275463</v>
      </c>
    </row>
    <row r="32" spans="1:5" ht="13" x14ac:dyDescent="0.3">
      <c r="A32" s="171" t="s">
        <v>198</v>
      </c>
      <c r="B32" s="68">
        <f>+B27</f>
        <v>16125537.906692818</v>
      </c>
      <c r="C32" s="68">
        <f>+C27</f>
        <v>1126662.1223850101</v>
      </c>
      <c r="D32" s="112">
        <f>+SUM(D29:D31)</f>
        <v>17252200.029077828</v>
      </c>
      <c r="E32" s="473">
        <f>+E29+E30+E31</f>
        <v>1</v>
      </c>
    </row>
    <row r="34" spans="1:6" ht="15.5" x14ac:dyDescent="0.35">
      <c r="A34" s="162" t="s">
        <v>319</v>
      </c>
      <c r="B34" s="163"/>
      <c r="C34" s="163"/>
      <c r="D34" s="163"/>
      <c r="E34" s="163"/>
      <c r="F34" s="163"/>
    </row>
    <row r="35" spans="1:6" ht="13" x14ac:dyDescent="0.3">
      <c r="A35" s="165" t="s">
        <v>94</v>
      </c>
      <c r="B35" s="166" t="s">
        <v>54</v>
      </c>
      <c r="C35" s="166" t="s">
        <v>95</v>
      </c>
      <c r="D35" s="166" t="s">
        <v>96</v>
      </c>
      <c r="E35" s="166" t="s">
        <v>97</v>
      </c>
      <c r="F35" s="166" t="s">
        <v>98</v>
      </c>
    </row>
    <row r="36" spans="1:6" ht="13" x14ac:dyDescent="0.3">
      <c r="A36" s="175" t="s">
        <v>160</v>
      </c>
      <c r="B36" s="27">
        <f>+'E-Costos'!B131</f>
        <v>2457814.0220400002</v>
      </c>
      <c r="C36" s="27">
        <f>+'E-Costos'!C131</f>
        <v>2707818.9756000005</v>
      </c>
      <c r="D36" s="27">
        <f>+'E-Costos'!D131</f>
        <v>2707818.9756000005</v>
      </c>
      <c r="E36" s="27">
        <f>+'E-Costos'!E131</f>
        <v>2707818.9756000005</v>
      </c>
      <c r="F36" s="27">
        <f>+'E-Costos'!F131</f>
        <v>2707818.9756000005</v>
      </c>
    </row>
    <row r="37" spans="1:6" ht="13" x14ac:dyDescent="0.3">
      <c r="A37" s="176" t="s">
        <v>159</v>
      </c>
      <c r="B37" s="27">
        <f>+'E-Costos'!B130</f>
        <v>899101.70206588111</v>
      </c>
      <c r="C37" s="27">
        <f>+'E-Costos'!C130</f>
        <v>918474.54881508113</v>
      </c>
      <c r="D37" s="27">
        <f>+'E-Costos'!D130</f>
        <v>918474.54881508113</v>
      </c>
      <c r="E37" s="27">
        <f>+'E-Costos'!E130</f>
        <v>914833.76681508112</v>
      </c>
      <c r="F37" s="27">
        <f>+'E-Costos'!F130</f>
        <v>914833.76681508112</v>
      </c>
    </row>
    <row r="38" spans="1:6" ht="13" x14ac:dyDescent="0.3">
      <c r="A38" s="175" t="s">
        <v>162</v>
      </c>
      <c r="B38" s="27">
        <f>+'E-Costos'!B133</f>
        <v>0</v>
      </c>
      <c r="C38" s="27">
        <f>+'E-Costos'!C133</f>
        <v>0</v>
      </c>
      <c r="D38" s="27">
        <f>+'E-Costos'!D133</f>
        <v>0</v>
      </c>
      <c r="E38" s="27">
        <f>+'E-Costos'!E133</f>
        <v>0</v>
      </c>
      <c r="F38" s="27">
        <f>+'E-Costos'!F133</f>
        <v>0</v>
      </c>
    </row>
    <row r="39" spans="1:6" ht="13" x14ac:dyDescent="0.3">
      <c r="A39" s="176" t="s">
        <v>161</v>
      </c>
      <c r="B39" s="27">
        <f>+'E-Costos'!B132</f>
        <v>0</v>
      </c>
      <c r="C39" s="27">
        <f>+'E-Costos'!C132</f>
        <v>0</v>
      </c>
      <c r="D39" s="27">
        <f>+'E-Costos'!D132</f>
        <v>0</v>
      </c>
      <c r="E39" s="27">
        <f>+'E-Costos'!E132</f>
        <v>0</v>
      </c>
      <c r="F39" s="27">
        <f>+'E-Costos'!F132</f>
        <v>0</v>
      </c>
    </row>
    <row r="40" spans="1:6" ht="13" x14ac:dyDescent="0.3">
      <c r="A40" s="175" t="s">
        <v>164</v>
      </c>
      <c r="B40" s="27">
        <f>+'E-Costos'!B135</f>
        <v>3946.7999999999838</v>
      </c>
      <c r="C40" s="27">
        <f>+'E-Costos'!C135</f>
        <v>3946.7999999999838</v>
      </c>
      <c r="D40" s="27">
        <f>+'E-Costos'!D135</f>
        <v>3946.7999999999838</v>
      </c>
      <c r="E40" s="27">
        <f>+'E-Costos'!E135</f>
        <v>3946.7999999999811</v>
      </c>
      <c r="F40" s="27">
        <f>+'E-Costos'!F135</f>
        <v>3946.7999999999811</v>
      </c>
    </row>
    <row r="41" spans="1:6" ht="13" x14ac:dyDescent="0.3">
      <c r="A41" s="176" t="s">
        <v>163</v>
      </c>
      <c r="B41" s="27">
        <f>+'E-Costos'!B134</f>
        <v>440087.30820854893</v>
      </c>
      <c r="C41" s="27">
        <f>+'E-Costos'!C134</f>
        <v>440087.30820854893</v>
      </c>
      <c r="D41" s="27">
        <f>+'E-Costos'!D134</f>
        <v>440087.30820854893</v>
      </c>
      <c r="E41" s="27">
        <f>+'E-Costos'!E134</f>
        <v>439885.0425418822</v>
      </c>
      <c r="F41" s="27">
        <f>+'E-Costos'!F134</f>
        <v>439885.0425418822</v>
      </c>
    </row>
    <row r="42" spans="1:6" ht="13" x14ac:dyDescent="0.3">
      <c r="A42" s="387" t="s">
        <v>320</v>
      </c>
      <c r="B42" s="388">
        <f>+'F-CRes'!B10</f>
        <v>570178.95633581525</v>
      </c>
      <c r="C42" s="388">
        <f>+'F-CRes'!C10</f>
        <v>461692.49667163042</v>
      </c>
      <c r="D42" s="388">
        <f>+'F-CRes'!D10</f>
        <v>351182.09667163051</v>
      </c>
      <c r="E42" s="388">
        <f>+'F-CRes'!E10</f>
        <v>91535.280671630491</v>
      </c>
      <c r="F42" s="388">
        <f>+'F-CRes'!F10</f>
        <v>8652.4806716304956</v>
      </c>
    </row>
    <row r="43" spans="1:6" ht="13" x14ac:dyDescent="0.3">
      <c r="A43" s="175" t="s">
        <v>165</v>
      </c>
      <c r="B43" s="27">
        <f>+'E-Costos'!B88-(B36+B38+B40)</f>
        <v>9460239.1779600009</v>
      </c>
      <c r="C43" s="27">
        <f>+'E-Costos'!C88-(C36+C38+C40)</f>
        <v>10993234.224399999</v>
      </c>
      <c r="D43" s="27">
        <f>+'E-Costos'!D88-(D36+D38+D40)</f>
        <v>10993234.224399999</v>
      </c>
      <c r="E43" s="27">
        <f>+'E-Costos'!E88-(E36+E38+E40)</f>
        <v>10993234.224399999</v>
      </c>
      <c r="F43" s="27">
        <f>+'E-Costos'!F88-(F36+F38+F40)</f>
        <v>10993234.224399999</v>
      </c>
    </row>
    <row r="44" spans="1:6" ht="13" x14ac:dyDescent="0.3">
      <c r="A44" s="177" t="s">
        <v>166</v>
      </c>
      <c r="B44" s="249">
        <f>+(B37+B39+B41+B42)/B43</f>
        <v>0.2018308343681835</v>
      </c>
      <c r="C44" s="249">
        <f>+(C37+C39+C41+C42)/C43</f>
        <v>0.16557951159224102</v>
      </c>
      <c r="D44" s="249">
        <f>+(D37+D39+D41+D42)/D43</f>
        <v>0.15552692854486841</v>
      </c>
      <c r="E44" s="249">
        <f>+(E37+E39+E41+E42)/E43</f>
        <v>0.13155856233996771</v>
      </c>
      <c r="F44" s="249">
        <f>+(F37+F39+F41+F42)/F43</f>
        <v>0.12401912505443823</v>
      </c>
    </row>
    <row r="45" spans="1:6" ht="15.5" x14ac:dyDescent="0.35">
      <c r="A45" s="178" t="s">
        <v>321</v>
      </c>
    </row>
    <row r="46" spans="1:6" ht="13" thickBot="1" x14ac:dyDescent="0.3"/>
    <row r="47" spans="1:6" ht="17" thickBot="1" x14ac:dyDescent="0.4">
      <c r="A47" s="516" t="s">
        <v>54</v>
      </c>
      <c r="B47" s="517"/>
      <c r="C47" s="517"/>
      <c r="D47" s="517"/>
      <c r="E47" s="518"/>
    </row>
    <row r="48" spans="1:6" ht="14" x14ac:dyDescent="0.3">
      <c r="A48" s="359" t="s">
        <v>408</v>
      </c>
      <c r="B48" s="360" t="s">
        <v>559</v>
      </c>
      <c r="C48" s="360" t="s">
        <v>560</v>
      </c>
      <c r="D48" s="360" t="s">
        <v>561</v>
      </c>
      <c r="E48" s="361" t="s">
        <v>562</v>
      </c>
    </row>
    <row r="49" spans="1:5" x14ac:dyDescent="0.25">
      <c r="A49" s="372">
        <v>0</v>
      </c>
      <c r="B49" s="477">
        <f t="shared" ref="B49:B65" si="5">$B$37+$B$39+$B$41+$B$42</f>
        <v>1909367.9666102454</v>
      </c>
      <c r="C49" s="478">
        <f>A49*($B$36+$B$38+$B$40)/'E-Costos'!$B$86</f>
        <v>0</v>
      </c>
      <c r="D49" s="477">
        <f t="shared" ref="D49:D65" si="6">B49+C49</f>
        <v>1909367.9666102454</v>
      </c>
      <c r="E49" s="479">
        <f>A49*'E-Costos'!$B$87</f>
        <v>0</v>
      </c>
    </row>
    <row r="50" spans="1:5" x14ac:dyDescent="0.25">
      <c r="A50" s="373">
        <v>1100000</v>
      </c>
      <c r="B50" s="477">
        <f t="shared" si="5"/>
        <v>1909367.9666102454</v>
      </c>
      <c r="C50" s="478">
        <f>A50*($B$36+$B$38+$B$40)/'E-Costos'!$B$86</f>
        <v>1135689.0220785104</v>
      </c>
      <c r="D50" s="477">
        <f t="shared" si="6"/>
        <v>3045056.9886887558</v>
      </c>
      <c r="E50" s="480">
        <f>A50*'E-Costos'!$B$87</f>
        <v>5500000</v>
      </c>
    </row>
    <row r="51" spans="1:5" x14ac:dyDescent="0.25">
      <c r="A51" s="373">
        <v>1200000</v>
      </c>
      <c r="B51" s="477">
        <f t="shared" si="5"/>
        <v>1909367.9666102454</v>
      </c>
      <c r="C51" s="478">
        <f>A51*($B$36+$B$38+$B$40)/'E-Costos'!$B$86</f>
        <v>1238933.4786311022</v>
      </c>
      <c r="D51" s="477">
        <f t="shared" si="6"/>
        <v>3148301.4452413479</v>
      </c>
      <c r="E51" s="480">
        <f>A51*'E-Costos'!$B$87</f>
        <v>6000000</v>
      </c>
    </row>
    <row r="52" spans="1:5" x14ac:dyDescent="0.25">
      <c r="A52" s="373">
        <v>1300000</v>
      </c>
      <c r="B52" s="477">
        <f t="shared" si="5"/>
        <v>1909367.9666102454</v>
      </c>
      <c r="C52" s="478">
        <f>A52*($B$36+$B$38+$B$40)/'E-Costos'!$B$86</f>
        <v>1342177.9351836941</v>
      </c>
      <c r="D52" s="477">
        <f t="shared" si="6"/>
        <v>3251545.9017939395</v>
      </c>
      <c r="E52" s="480">
        <f>A52*'E-Costos'!$B$87</f>
        <v>6500000</v>
      </c>
    </row>
    <row r="53" spans="1:5" x14ac:dyDescent="0.25">
      <c r="A53" s="373">
        <v>1400000</v>
      </c>
      <c r="B53" s="477">
        <f t="shared" si="5"/>
        <v>1909367.9666102454</v>
      </c>
      <c r="C53" s="478">
        <f>A53*($B$36+$B$38+$B$40)/'E-Costos'!$B$86</f>
        <v>1445422.3917362858</v>
      </c>
      <c r="D53" s="477">
        <f t="shared" si="6"/>
        <v>3354790.3583465312</v>
      </c>
      <c r="E53" s="480">
        <f>A53*'E-Costos'!$B$87</f>
        <v>7000000</v>
      </c>
    </row>
    <row r="54" spans="1:5" x14ac:dyDescent="0.25">
      <c r="A54" s="373">
        <v>1500000</v>
      </c>
      <c r="B54" s="477">
        <f t="shared" si="5"/>
        <v>1909367.9666102454</v>
      </c>
      <c r="C54" s="478">
        <f>A54*($B$36+$B$38+$B$40)/'E-Costos'!$B$86</f>
        <v>1548666.8482888776</v>
      </c>
      <c r="D54" s="477">
        <f t="shared" si="6"/>
        <v>3458034.8148991233</v>
      </c>
      <c r="E54" s="480">
        <f>A54*'E-Costos'!$B$87</f>
        <v>7500000</v>
      </c>
    </row>
    <row r="55" spans="1:5" x14ac:dyDescent="0.25">
      <c r="A55" s="373">
        <v>1600000</v>
      </c>
      <c r="B55" s="477">
        <f t="shared" si="5"/>
        <v>1909367.9666102454</v>
      </c>
      <c r="C55" s="478">
        <f>A55*($B$36+$B$38+$B$40)/'E-Costos'!$B$86</f>
        <v>1651911.3048414695</v>
      </c>
      <c r="D55" s="477">
        <f t="shared" si="6"/>
        <v>3561279.2714517149</v>
      </c>
      <c r="E55" s="480">
        <f>A55*'E-Costos'!$B$87</f>
        <v>8000000</v>
      </c>
    </row>
    <row r="56" spans="1:5" x14ac:dyDescent="0.25">
      <c r="A56" s="373">
        <v>1700000</v>
      </c>
      <c r="B56" s="477">
        <f t="shared" si="5"/>
        <v>1909367.9666102454</v>
      </c>
      <c r="C56" s="478">
        <f>A56*($B$36+$B$38+$B$40)/'E-Costos'!$B$86</f>
        <v>1755155.7613940614</v>
      </c>
      <c r="D56" s="477">
        <f t="shared" si="6"/>
        <v>3664523.7280043066</v>
      </c>
      <c r="E56" s="480">
        <f>A56*'E-Costos'!$B$87</f>
        <v>8500000</v>
      </c>
    </row>
    <row r="57" spans="1:5" x14ac:dyDescent="0.25">
      <c r="A57" s="373">
        <v>1800000</v>
      </c>
      <c r="B57" s="477">
        <f t="shared" si="5"/>
        <v>1909367.9666102454</v>
      </c>
      <c r="C57" s="478">
        <f>A57*($B$36+$B$38+$B$40)/'E-Costos'!$B$86</f>
        <v>1858400.2179466533</v>
      </c>
      <c r="D57" s="477">
        <f t="shared" si="6"/>
        <v>3767768.1845568987</v>
      </c>
      <c r="E57" s="480">
        <f>A57*'E-Costos'!$B$87</f>
        <v>9000000</v>
      </c>
    </row>
    <row r="58" spans="1:5" x14ac:dyDescent="0.25">
      <c r="A58" s="373">
        <v>1900000</v>
      </c>
      <c r="B58" s="477">
        <f t="shared" si="5"/>
        <v>1909367.9666102454</v>
      </c>
      <c r="C58" s="478">
        <f>A58*($B$36+$B$38+$B$40)/'E-Costos'!$B$86</f>
        <v>1961644.6744992451</v>
      </c>
      <c r="D58" s="477">
        <f t="shared" si="6"/>
        <v>3871012.6411094908</v>
      </c>
      <c r="E58" s="480">
        <f>A58*'E-Costos'!$B$87</f>
        <v>9500000</v>
      </c>
    </row>
    <row r="59" spans="1:5" x14ac:dyDescent="0.25">
      <c r="A59" s="373">
        <v>2000000</v>
      </c>
      <c r="B59" s="477">
        <f t="shared" si="5"/>
        <v>1909367.9666102454</v>
      </c>
      <c r="C59" s="478">
        <f>A59*($B$36+$B$38+$B$40)/'E-Costos'!$B$86</f>
        <v>2064889.131051837</v>
      </c>
      <c r="D59" s="477">
        <f t="shared" si="6"/>
        <v>3974257.0976620824</v>
      </c>
      <c r="E59" s="480">
        <f>A59*'E-Costos'!$B$87</f>
        <v>10000000</v>
      </c>
    </row>
    <row r="60" spans="1:5" x14ac:dyDescent="0.25">
      <c r="A60" s="373">
        <v>2100000</v>
      </c>
      <c r="B60" s="477">
        <f t="shared" si="5"/>
        <v>1909367.9666102454</v>
      </c>
      <c r="C60" s="478">
        <f>A60*($B$36+$B$38+$B$40)/'E-Costos'!$B$86</f>
        <v>2168133.5876044286</v>
      </c>
      <c r="D60" s="477">
        <f t="shared" si="6"/>
        <v>4077501.554214674</v>
      </c>
      <c r="E60" s="480">
        <f>A60*'E-Costos'!$B$87</f>
        <v>10500000</v>
      </c>
    </row>
    <row r="61" spans="1:5" x14ac:dyDescent="0.25">
      <c r="A61" s="373">
        <v>2200000</v>
      </c>
      <c r="B61" s="477">
        <f t="shared" si="5"/>
        <v>1909367.9666102454</v>
      </c>
      <c r="C61" s="478">
        <f>A61*($B$36+$B$38+$B$40)/'E-Costos'!$B$86</f>
        <v>2271378.0441570207</v>
      </c>
      <c r="D61" s="477">
        <f t="shared" si="6"/>
        <v>4180746.0107672662</v>
      </c>
      <c r="E61" s="480">
        <f>A61*'E-Costos'!$B$87</f>
        <v>11000000</v>
      </c>
    </row>
    <row r="62" spans="1:5" x14ac:dyDescent="0.25">
      <c r="A62" s="373">
        <v>2300000</v>
      </c>
      <c r="B62" s="477">
        <f t="shared" si="5"/>
        <v>1909367.9666102454</v>
      </c>
      <c r="C62" s="478">
        <f>A62*($B$36+$B$38+$B$40)/'E-Costos'!$B$86</f>
        <v>2374622.5007096124</v>
      </c>
      <c r="D62" s="477">
        <f t="shared" si="6"/>
        <v>4283990.4673198573</v>
      </c>
      <c r="E62" s="480">
        <f>A62*'E-Costos'!$B$87</f>
        <v>11500000</v>
      </c>
    </row>
    <row r="63" spans="1:5" x14ac:dyDescent="0.25">
      <c r="A63" s="373">
        <v>2400000</v>
      </c>
      <c r="B63" s="477">
        <f t="shared" si="5"/>
        <v>1909367.9666102454</v>
      </c>
      <c r="C63" s="478">
        <f>A63*($B$36+$B$38+$B$40)/'E-Costos'!$B$86</f>
        <v>2477866.9572622045</v>
      </c>
      <c r="D63" s="477">
        <f t="shared" si="6"/>
        <v>4387234.9238724504</v>
      </c>
      <c r="E63" s="480">
        <f>A63*'E-Costos'!$B$87</f>
        <v>12000000</v>
      </c>
    </row>
    <row r="64" spans="1:5" x14ac:dyDescent="0.25">
      <c r="A64" s="373">
        <v>2500000</v>
      </c>
      <c r="B64" s="477">
        <f t="shared" si="5"/>
        <v>1909367.9666102454</v>
      </c>
      <c r="C64" s="478">
        <f>A64*($B$36+$B$38+$B$40)/'E-Costos'!$B$86</f>
        <v>2581111.4138147961</v>
      </c>
      <c r="D64" s="477">
        <f t="shared" si="6"/>
        <v>4490479.3804250415</v>
      </c>
      <c r="E64" s="480">
        <f>A64*'E-Costos'!$B$87</f>
        <v>12500000</v>
      </c>
    </row>
    <row r="65" spans="1:6" ht="13" thickBot="1" x14ac:dyDescent="0.3">
      <c r="A65" s="374">
        <v>2600000</v>
      </c>
      <c r="B65" s="367">
        <f t="shared" si="5"/>
        <v>1909367.9666102454</v>
      </c>
      <c r="C65" s="478">
        <f>A65*($B$36+$B$38+$B$40)/'E-Costos'!$B$86</f>
        <v>2684355.8703673882</v>
      </c>
      <c r="D65" s="367">
        <f t="shared" si="6"/>
        <v>4593723.8369776336</v>
      </c>
      <c r="E65" s="481">
        <f>A65*'E-Costos'!$B$87</f>
        <v>13000000</v>
      </c>
    </row>
    <row r="66" spans="1:6" ht="13.5" thickBot="1" x14ac:dyDescent="0.35">
      <c r="A66" s="368" t="s">
        <v>563</v>
      </c>
      <c r="B66" s="528">
        <f>+($B$37+$B$39+$B$41+$B$42)/(B43/'E-Costos'!B86)</f>
        <v>481245.44146749674</v>
      </c>
      <c r="C66" s="529"/>
      <c r="D66" s="376" t="s">
        <v>564</v>
      </c>
      <c r="E66" s="474"/>
      <c r="F66" s="161" t="s">
        <v>605</v>
      </c>
    </row>
    <row r="67" spans="1:6" ht="13" thickBot="1" x14ac:dyDescent="0.3">
      <c r="A67" s="15"/>
      <c r="B67" s="15"/>
      <c r="C67" s="15"/>
      <c r="D67" s="15"/>
      <c r="E67" s="15"/>
    </row>
    <row r="68" spans="1:6" ht="17" thickBot="1" x14ac:dyDescent="0.4">
      <c r="A68" s="516" t="s">
        <v>98</v>
      </c>
      <c r="B68" s="517" t="s">
        <v>98</v>
      </c>
      <c r="C68" s="517"/>
      <c r="D68" s="517"/>
      <c r="E68" s="518"/>
    </row>
    <row r="69" spans="1:6" ht="14" x14ac:dyDescent="0.3">
      <c r="A69" s="359" t="s">
        <v>408</v>
      </c>
      <c r="B69" s="360" t="s">
        <v>559</v>
      </c>
      <c r="C69" s="360" t="s">
        <v>560</v>
      </c>
      <c r="D69" s="360" t="s">
        <v>561</v>
      </c>
      <c r="E69" s="361" t="s">
        <v>562</v>
      </c>
    </row>
    <row r="70" spans="1:6" x14ac:dyDescent="0.25">
      <c r="A70" s="362">
        <v>0</v>
      </c>
      <c r="B70" s="477">
        <f t="shared" ref="B70:B86" si="7">$F$37+$F$39+$F$41+$F$42</f>
        <v>1363371.2900285937</v>
      </c>
      <c r="C70" s="367">
        <f>A70*($F$36+$F$38+$F$40)/'E-Costos'!$F$86</f>
        <v>0</v>
      </c>
      <c r="D70" s="477">
        <f t="shared" ref="D70:D86" si="8">B70+C70</f>
        <v>1363371.2900285937</v>
      </c>
      <c r="E70" s="482">
        <f>A70*'[3]E-Costos'!$F$87</f>
        <v>0</v>
      </c>
    </row>
    <row r="71" spans="1:6" x14ac:dyDescent="0.25">
      <c r="A71" s="364">
        <v>1100000</v>
      </c>
      <c r="B71" s="477">
        <f t="shared" si="7"/>
        <v>1363371.2900285937</v>
      </c>
      <c r="C71" s="367">
        <f>A71*($F$36+$F$38+$F$40)/'E-Costos'!$F$86</f>
        <v>1088267.9143232398</v>
      </c>
      <c r="D71" s="477">
        <f t="shared" si="8"/>
        <v>2451639.2043518336</v>
      </c>
      <c r="E71" s="482">
        <f>A71*'E-Costos'!$F$87</f>
        <v>5500000</v>
      </c>
    </row>
    <row r="72" spans="1:6" x14ac:dyDescent="0.25">
      <c r="A72" s="364">
        <v>1200000</v>
      </c>
      <c r="B72" s="477">
        <f t="shared" si="7"/>
        <v>1363371.2900285937</v>
      </c>
      <c r="C72" s="367">
        <f>A72*($F$36+$F$38+$F$40)/'E-Costos'!$F$86</f>
        <v>1187201.361079898</v>
      </c>
      <c r="D72" s="477">
        <f t="shared" si="8"/>
        <v>2550572.6511084917</v>
      </c>
      <c r="E72" s="482">
        <f>A72*'E-Costos'!$F$87</f>
        <v>6000000</v>
      </c>
    </row>
    <row r="73" spans="1:6" x14ac:dyDescent="0.25">
      <c r="A73" s="364">
        <v>1300000</v>
      </c>
      <c r="B73" s="477">
        <f t="shared" si="7"/>
        <v>1363371.2900285937</v>
      </c>
      <c r="C73" s="367">
        <f>A73*($F$36+$F$38+$F$40)/'E-Costos'!$F$86</f>
        <v>1286134.8078365561</v>
      </c>
      <c r="D73" s="477">
        <f t="shared" si="8"/>
        <v>2649506.0978651498</v>
      </c>
      <c r="E73" s="482">
        <f>A73*'E-Costos'!$F$87</f>
        <v>6500000</v>
      </c>
    </row>
    <row r="74" spans="1:6" x14ac:dyDescent="0.25">
      <c r="A74" s="364">
        <v>1400000</v>
      </c>
      <c r="B74" s="477">
        <f t="shared" si="7"/>
        <v>1363371.2900285937</v>
      </c>
      <c r="C74" s="367">
        <f>A74*($F$36+$F$38+$F$40)/'E-Costos'!$F$86</f>
        <v>1385068.2545932143</v>
      </c>
      <c r="D74" s="477">
        <f t="shared" si="8"/>
        <v>2748439.544621808</v>
      </c>
      <c r="E74" s="482">
        <f>A74*'E-Costos'!$F$87</f>
        <v>7000000</v>
      </c>
    </row>
    <row r="75" spans="1:6" x14ac:dyDescent="0.25">
      <c r="A75" s="364">
        <v>1500000</v>
      </c>
      <c r="B75" s="477">
        <f t="shared" si="7"/>
        <v>1363371.2900285937</v>
      </c>
      <c r="C75" s="367">
        <f>A75*($F$36+$F$38+$F$40)/'E-Costos'!$F$86</f>
        <v>1484001.7013498724</v>
      </c>
      <c r="D75" s="477">
        <f t="shared" si="8"/>
        <v>2847372.9913784661</v>
      </c>
      <c r="E75" s="482">
        <f>A75*'E-Costos'!$F$87</f>
        <v>7500000</v>
      </c>
    </row>
    <row r="76" spans="1:6" x14ac:dyDescent="0.25">
      <c r="A76" s="364">
        <v>1600000</v>
      </c>
      <c r="B76" s="477">
        <f t="shared" si="7"/>
        <v>1363371.2900285937</v>
      </c>
      <c r="C76" s="367">
        <f>A76*($F$36+$F$38+$F$40)/'E-Costos'!$F$86</f>
        <v>1582935.1481065305</v>
      </c>
      <c r="D76" s="477">
        <f t="shared" si="8"/>
        <v>2946306.4381351243</v>
      </c>
      <c r="E76" s="482">
        <f>A76*'E-Costos'!$F$87</f>
        <v>8000000</v>
      </c>
    </row>
    <row r="77" spans="1:6" x14ac:dyDescent="0.25">
      <c r="A77" s="364">
        <v>1700000</v>
      </c>
      <c r="B77" s="477">
        <f t="shared" si="7"/>
        <v>1363371.2900285937</v>
      </c>
      <c r="C77" s="367">
        <f>A77*($F$36+$F$38+$F$40)/'E-Costos'!$F$86</f>
        <v>1681868.5948631887</v>
      </c>
      <c r="D77" s="477">
        <f t="shared" si="8"/>
        <v>3045239.8848917824</v>
      </c>
      <c r="E77" s="482">
        <f>A77*'E-Costos'!$F$87</f>
        <v>8500000</v>
      </c>
    </row>
    <row r="78" spans="1:6" x14ac:dyDescent="0.25">
      <c r="A78" s="364">
        <v>1800000</v>
      </c>
      <c r="B78" s="477">
        <f t="shared" si="7"/>
        <v>1363371.2900285937</v>
      </c>
      <c r="C78" s="367">
        <f>A78*($F$36+$F$38+$F$40)/'E-Costos'!$F$86</f>
        <v>1780802.0416198471</v>
      </c>
      <c r="D78" s="477">
        <f t="shared" si="8"/>
        <v>3144173.331648441</v>
      </c>
      <c r="E78" s="482">
        <f>A78*'E-Costos'!$F$87</f>
        <v>9000000</v>
      </c>
    </row>
    <row r="79" spans="1:6" x14ac:dyDescent="0.25">
      <c r="A79" s="364">
        <v>1900000</v>
      </c>
      <c r="B79" s="477">
        <f t="shared" si="7"/>
        <v>1363371.2900285937</v>
      </c>
      <c r="C79" s="367">
        <f>A79*($F$36+$F$38+$F$40)/'E-Costos'!$F$86</f>
        <v>1879735.4883765052</v>
      </c>
      <c r="D79" s="477">
        <f t="shared" si="8"/>
        <v>3243106.7784050992</v>
      </c>
      <c r="E79" s="482">
        <f>A79*'E-Costos'!$F$87</f>
        <v>9500000</v>
      </c>
    </row>
    <row r="80" spans="1:6" x14ac:dyDescent="0.25">
      <c r="A80" s="364">
        <v>2000000</v>
      </c>
      <c r="B80" s="477">
        <f t="shared" si="7"/>
        <v>1363371.2900285937</v>
      </c>
      <c r="C80" s="367">
        <f>A80*($F$36+$F$38+$F$40)/'E-Costos'!$F$86</f>
        <v>1978668.9351331634</v>
      </c>
      <c r="D80" s="477">
        <f t="shared" si="8"/>
        <v>3342040.2251617573</v>
      </c>
      <c r="E80" s="482">
        <f>A80*'E-Costos'!$F$87</f>
        <v>10000000</v>
      </c>
    </row>
    <row r="81" spans="1:5" x14ac:dyDescent="0.25">
      <c r="A81" s="364">
        <v>2100000</v>
      </c>
      <c r="B81" s="477">
        <f t="shared" si="7"/>
        <v>1363371.2900285937</v>
      </c>
      <c r="C81" s="367">
        <f>A81*($F$36+$F$38+$F$40)/'E-Costos'!$F$86</f>
        <v>2077602.3818898215</v>
      </c>
      <c r="D81" s="477">
        <f t="shared" si="8"/>
        <v>3440973.6719184155</v>
      </c>
      <c r="E81" s="482">
        <f>A81*'E-Costos'!$F$87</f>
        <v>10500000</v>
      </c>
    </row>
    <row r="82" spans="1:5" x14ac:dyDescent="0.25">
      <c r="A82" s="364">
        <v>2200000</v>
      </c>
      <c r="B82" s="477">
        <f t="shared" si="7"/>
        <v>1363371.2900285937</v>
      </c>
      <c r="C82" s="367">
        <f>A82*($F$36+$F$38+$F$40)/'E-Costos'!$F$86</f>
        <v>2176535.8286464796</v>
      </c>
      <c r="D82" s="477">
        <f t="shared" si="8"/>
        <v>3539907.1186750736</v>
      </c>
      <c r="E82" s="482">
        <f>A82*'E-Costos'!$F$87</f>
        <v>11000000</v>
      </c>
    </row>
    <row r="83" spans="1:5" x14ac:dyDescent="0.25">
      <c r="A83" s="364">
        <v>2300000</v>
      </c>
      <c r="B83" s="477">
        <f t="shared" si="7"/>
        <v>1363371.2900285937</v>
      </c>
      <c r="C83" s="367">
        <f>A83*($F$36+$F$38+$F$40)/'E-Costos'!$F$86</f>
        <v>2275469.2754031378</v>
      </c>
      <c r="D83" s="477">
        <f t="shared" si="8"/>
        <v>3638840.5654317318</v>
      </c>
      <c r="E83" s="482">
        <f>A83*'E-Costos'!$F$87</f>
        <v>11500000</v>
      </c>
    </row>
    <row r="84" spans="1:5" x14ac:dyDescent="0.25">
      <c r="A84" s="364">
        <v>2400000</v>
      </c>
      <c r="B84" s="477">
        <f t="shared" si="7"/>
        <v>1363371.2900285937</v>
      </c>
      <c r="C84" s="367">
        <f>A84*($F$36+$F$38+$F$40)/'E-Costos'!$F$86</f>
        <v>2374402.7221597959</v>
      </c>
      <c r="D84" s="477">
        <f t="shared" si="8"/>
        <v>3737774.0121883899</v>
      </c>
      <c r="E84" s="482">
        <f>A84*'E-Costos'!$F$87</f>
        <v>12000000</v>
      </c>
    </row>
    <row r="85" spans="1:5" x14ac:dyDescent="0.25">
      <c r="A85" s="364">
        <v>2500000</v>
      </c>
      <c r="B85" s="477">
        <f t="shared" si="7"/>
        <v>1363371.2900285937</v>
      </c>
      <c r="C85" s="367">
        <f>A85*($F$36+$F$38+$F$40)/'E-Costos'!$F$86</f>
        <v>2473336.1689164541</v>
      </c>
      <c r="D85" s="477">
        <f t="shared" si="8"/>
        <v>3836707.458945048</v>
      </c>
      <c r="E85" s="482">
        <f>A85*'E-Costos'!$F$87</f>
        <v>12500000</v>
      </c>
    </row>
    <row r="86" spans="1:5" ht="13" thickBot="1" x14ac:dyDescent="0.3">
      <c r="A86" s="366">
        <v>2600000</v>
      </c>
      <c r="B86" s="477">
        <f t="shared" si="7"/>
        <v>1363371.2900285937</v>
      </c>
      <c r="C86" s="367">
        <f>A86*($F$36+$F$38+$F$40)/'E-Costos'!$F$86</f>
        <v>2572269.6156731122</v>
      </c>
      <c r="D86" s="367">
        <f t="shared" si="8"/>
        <v>3935640.9057017062</v>
      </c>
      <c r="E86" s="482">
        <f>A86*'E-Costos'!$F$87</f>
        <v>13000000</v>
      </c>
    </row>
    <row r="87" spans="1:5" ht="13.5" thickBot="1" x14ac:dyDescent="0.35">
      <c r="A87" s="368" t="s">
        <v>563</v>
      </c>
      <c r="B87" s="528">
        <f>(F37+F39+F41+F42)/(5-((F36+F38+F40)/'E-Costos'!F101))</f>
        <v>339936.42177421512</v>
      </c>
      <c r="C87" s="529"/>
      <c r="D87" s="475"/>
      <c r="E87" s="476"/>
    </row>
  </sheetData>
  <sheetProtection selectLockedCells="1" selectUnlockedCells="1"/>
  <mergeCells count="4">
    <mergeCell ref="A47:E47"/>
    <mergeCell ref="B66:C66"/>
    <mergeCell ref="A68:E68"/>
    <mergeCell ref="B87:C87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1"/>
  <sheetViews>
    <sheetView zoomScale="90" zoomScaleNormal="90" workbookViewId="0">
      <selection activeCell="H15" sqref="H15"/>
    </sheetView>
  </sheetViews>
  <sheetFormatPr baseColWidth="10" defaultColWidth="11.453125" defaultRowHeight="12.5" x14ac:dyDescent="0.25"/>
  <cols>
    <col min="1" max="1" width="42.81640625" style="161" customWidth="1"/>
    <col min="2" max="2" width="15.08984375" style="161" customWidth="1"/>
    <col min="3" max="7" width="14.81640625" style="161" bestFit="1" customWidth="1"/>
    <col min="8" max="8" width="17.453125" style="161" customWidth="1"/>
    <col min="9" max="16384" width="11.453125" style="161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2" spans="1:7" ht="15.5" x14ac:dyDescent="0.35">
      <c r="A2" s="162" t="s">
        <v>217</v>
      </c>
      <c r="B2" s="163"/>
      <c r="C2" s="163"/>
      <c r="D2" s="163"/>
      <c r="E2" s="163"/>
      <c r="F2" s="163"/>
      <c r="G2" s="164"/>
    </row>
    <row r="3" spans="1:7" ht="15.5" x14ac:dyDescent="0.35">
      <c r="A3" s="179"/>
      <c r="B3" s="180" t="s">
        <v>218</v>
      </c>
      <c r="C3" s="180"/>
      <c r="D3" s="180"/>
      <c r="E3" s="180"/>
      <c r="F3" s="180"/>
      <c r="G3" s="181"/>
    </row>
    <row r="4" spans="1:7" ht="13" x14ac:dyDescent="0.3">
      <c r="A4" s="182" t="s">
        <v>94</v>
      </c>
      <c r="B4" s="183" t="s">
        <v>53</v>
      </c>
      <c r="C4" s="166" t="s">
        <v>54</v>
      </c>
      <c r="D4" s="166" t="s">
        <v>95</v>
      </c>
      <c r="E4" s="166" t="s">
        <v>96</v>
      </c>
      <c r="F4" s="166" t="s">
        <v>97</v>
      </c>
      <c r="G4" s="168" t="s">
        <v>98</v>
      </c>
    </row>
    <row r="5" spans="1:7" ht="13" x14ac:dyDescent="0.3">
      <c r="A5" s="184" t="s">
        <v>322</v>
      </c>
      <c r="B5" s="119"/>
      <c r="C5" s="102"/>
      <c r="D5" s="102"/>
      <c r="E5" s="102"/>
      <c r="F5" s="102"/>
      <c r="G5" s="103"/>
    </row>
    <row r="6" spans="1:7" x14ac:dyDescent="0.25">
      <c r="A6" s="185" t="s">
        <v>323</v>
      </c>
      <c r="B6" s="121"/>
      <c r="C6" s="62">
        <f>+'E-IVA '!C17</f>
        <v>422786.13232149958</v>
      </c>
      <c r="D6" s="62">
        <f>+'E-IVA '!D17</f>
        <v>540032.59898837213</v>
      </c>
      <c r="E6" s="62">
        <f>+'E-IVA '!E17</f>
        <v>540034.92232999508</v>
      </c>
      <c r="F6" s="62">
        <f>+'E-IVA '!F17</f>
        <v>540063.36858523486</v>
      </c>
      <c r="G6" s="63">
        <f>+'E-IVA '!G17</f>
        <v>540063.44383895502</v>
      </c>
    </row>
    <row r="7" spans="1:7" x14ac:dyDescent="0.25">
      <c r="A7" s="185" t="s">
        <v>324</v>
      </c>
      <c r="B7" s="121"/>
      <c r="C7" s="62">
        <f>+'E-IVA '!C18</f>
        <v>54110.681580000004</v>
      </c>
      <c r="D7" s="62">
        <f>+'E-IVA '!D18</f>
        <v>54110.681580000004</v>
      </c>
      <c r="E7" s="62">
        <f>+'E-IVA '!E18</f>
        <v>54110.681580000004</v>
      </c>
      <c r="F7" s="62">
        <f>+'E-IVA '!F18</f>
        <v>54110.681580000004</v>
      </c>
      <c r="G7" s="63">
        <f>+'E-IVA '!G18</f>
        <v>54110.681580000004</v>
      </c>
    </row>
    <row r="8" spans="1:7" x14ac:dyDescent="0.25">
      <c r="A8" s="186" t="s">
        <v>325</v>
      </c>
      <c r="B8" s="121"/>
      <c r="C8" s="62">
        <f>+'E-IVA '!C19</f>
        <v>54110.681580000004</v>
      </c>
      <c r="D8" s="62">
        <f>+'E-IVA '!D19</f>
        <v>54110.681580000004</v>
      </c>
      <c r="E8" s="62">
        <f>+'E-IVA '!E19</f>
        <v>54110.681580000004</v>
      </c>
      <c r="F8" s="62">
        <f>+'E-IVA '!F19</f>
        <v>54110.681580000004</v>
      </c>
      <c r="G8" s="63">
        <f>+'E-IVA '!G19</f>
        <v>54110.681580000004</v>
      </c>
    </row>
    <row r="9" spans="1:7" x14ac:dyDescent="0.25">
      <c r="A9" s="186" t="s">
        <v>326</v>
      </c>
      <c r="B9" s="121"/>
      <c r="C9" s="62">
        <f>+'F-Cred'!$G23*0.21</f>
        <v>88418.933470521195</v>
      </c>
      <c r="D9" s="62">
        <f>+(('F-Cred'!G25+'F-Cred'!I25)*0.21)</f>
        <v>65636.776941042393</v>
      </c>
      <c r="E9" s="62">
        <f>+(('F-Cred'!G27+'F-Cred'!I27)*0.21)</f>
        <v>42429.5929410424</v>
      </c>
      <c r="F9" s="62">
        <f>+(('F-Cred'!G29+'F-Cred'!I29)*0.21)</f>
        <v>19222.408941042402</v>
      </c>
      <c r="G9" s="62">
        <f>+(('F-Cred'!G31+'F-Cred'!I31)*0.21)</f>
        <v>1817.020941042404</v>
      </c>
    </row>
    <row r="10" spans="1:7" ht="13" x14ac:dyDescent="0.3">
      <c r="A10" s="187" t="s">
        <v>327</v>
      </c>
      <c r="B10" s="121"/>
      <c r="C10" s="62">
        <f>+SUM(C6:C9)</f>
        <v>619426.42895202083</v>
      </c>
      <c r="D10" s="62">
        <f t="shared" ref="D10:G10" si="0">+SUM(D6:D9)</f>
        <v>713890.73908941448</v>
      </c>
      <c r="E10" s="62">
        <f t="shared" si="0"/>
        <v>690685.87843103742</v>
      </c>
      <c r="F10" s="62">
        <f t="shared" si="0"/>
        <v>667507.14068627718</v>
      </c>
      <c r="G10" s="63">
        <f t="shared" si="0"/>
        <v>650101.82793999743</v>
      </c>
    </row>
    <row r="11" spans="1:7" ht="13" x14ac:dyDescent="0.3">
      <c r="A11" s="187"/>
      <c r="B11" s="123"/>
      <c r="C11" s="82"/>
      <c r="D11" s="82"/>
      <c r="E11" s="82"/>
      <c r="F11" s="82"/>
      <c r="G11" s="83"/>
    </row>
    <row r="12" spans="1:7" x14ac:dyDescent="0.25">
      <c r="A12" s="185" t="s">
        <v>229</v>
      </c>
      <c r="B12" s="121"/>
      <c r="C12" s="62">
        <f>+C10</f>
        <v>619426.42895202083</v>
      </c>
      <c r="D12" s="62">
        <f t="shared" ref="D12:G12" si="1">+D10</f>
        <v>713890.73908941448</v>
      </c>
      <c r="E12" s="62">
        <f t="shared" si="1"/>
        <v>690685.87843103742</v>
      </c>
      <c r="F12" s="62">
        <f t="shared" si="1"/>
        <v>667507.14068627718</v>
      </c>
      <c r="G12" s="63">
        <f t="shared" si="1"/>
        <v>650101.82793999743</v>
      </c>
    </row>
    <row r="13" spans="1:7" x14ac:dyDescent="0.25">
      <c r="A13" s="185" t="s">
        <v>230</v>
      </c>
      <c r="B13" s="121"/>
      <c r="C13" s="62">
        <f>+'E-IVA '!C22</f>
        <v>2503620</v>
      </c>
      <c r="D13" s="62">
        <f>+'E-IVA '!D22</f>
        <v>2878050</v>
      </c>
      <c r="E13" s="62">
        <f>+'E-IVA '!E22</f>
        <v>2878050</v>
      </c>
      <c r="F13" s="62">
        <f>+'E-IVA '!F22</f>
        <v>2878050</v>
      </c>
      <c r="G13" s="63">
        <f>+'E-IVA '!G22</f>
        <v>2878050</v>
      </c>
    </row>
    <row r="14" spans="1:7" ht="13" x14ac:dyDescent="0.3">
      <c r="A14" s="187" t="s">
        <v>328</v>
      </c>
      <c r="B14" s="121"/>
      <c r="C14" s="62">
        <f>+C13-C12</f>
        <v>1884193.5710479792</v>
      </c>
      <c r="D14" s="62">
        <f t="shared" ref="D14:G14" si="2">+D13-D12</f>
        <v>2164159.2609105855</v>
      </c>
      <c r="E14" s="62">
        <f t="shared" si="2"/>
        <v>2187364.1215689625</v>
      </c>
      <c r="F14" s="62">
        <f t="shared" si="2"/>
        <v>2210542.8593137227</v>
      </c>
      <c r="G14" s="63">
        <f t="shared" si="2"/>
        <v>2227948.1720600026</v>
      </c>
    </row>
    <row r="15" spans="1:7" x14ac:dyDescent="0.25">
      <c r="A15" s="185"/>
      <c r="B15" s="123"/>
      <c r="C15" s="82"/>
      <c r="D15" s="82"/>
      <c r="E15" s="82"/>
      <c r="F15" s="82"/>
      <c r="G15" s="83"/>
    </row>
    <row r="16" spans="1:7" ht="13" x14ac:dyDescent="0.3">
      <c r="A16" s="533" t="s">
        <v>329</v>
      </c>
      <c r="C16" s="62">
        <f>+B17</f>
        <v>2765541.3557070182</v>
      </c>
      <c r="D16" s="62">
        <f>+C18</f>
        <v>1008805.611228158</v>
      </c>
      <c r="E16" s="62">
        <f>+D18</f>
        <v>0</v>
      </c>
      <c r="F16" s="62">
        <f>+E18</f>
        <v>0</v>
      </c>
      <c r="G16" s="62">
        <f>+F18</f>
        <v>0</v>
      </c>
    </row>
    <row r="17" spans="1:7" ht="13" x14ac:dyDescent="0.3">
      <c r="A17" s="533" t="s">
        <v>330</v>
      </c>
      <c r="B17" s="121">
        <f>+'F-2 Estructura'!B9+'F-2 Estructura'!B21</f>
        <v>2765541.3557070182</v>
      </c>
      <c r="C17" s="121">
        <f>+'F-2 Estructura'!C9+'F-2 Estructura'!C21</f>
        <v>127457.826569119</v>
      </c>
      <c r="D17" s="62">
        <f>+'E-IVA '!D26</f>
        <v>114309.90725680024</v>
      </c>
      <c r="E17" s="62">
        <f>+'E-IVA '!E26</f>
        <v>114307.5839151773</v>
      </c>
      <c r="F17" s="62">
        <f>+'E-IVA '!F26</f>
        <v>114279.13765993755</v>
      </c>
      <c r="G17" s="62">
        <f>+'E-IVA '!G26</f>
        <v>114279.06240621736</v>
      </c>
    </row>
    <row r="18" spans="1:7" ht="13" x14ac:dyDescent="0.3">
      <c r="A18" s="187" t="s">
        <v>331</v>
      </c>
      <c r="B18" s="121">
        <f>+B17</f>
        <v>2765541.3557070182</v>
      </c>
      <c r="C18" s="534">
        <f>IF(C17+C16-C14&lt;0,0,C17+C16-C14)</f>
        <v>1008805.611228158</v>
      </c>
      <c r="D18" s="534">
        <f>IF(D17+D16-D14&lt;0,0,D17+D16-D14)</f>
        <v>0</v>
      </c>
      <c r="E18" s="534">
        <f t="shared" ref="E18:G18" si="3">IF(E17+E16-E14&lt;0,0,E17+E16-E14)</f>
        <v>0</v>
      </c>
      <c r="F18" s="534">
        <f t="shared" si="3"/>
        <v>0</v>
      </c>
      <c r="G18" s="534">
        <f t="shared" si="3"/>
        <v>0</v>
      </c>
    </row>
    <row r="19" spans="1:7" ht="13" x14ac:dyDescent="0.3">
      <c r="A19" s="187" t="s">
        <v>332</v>
      </c>
      <c r="B19" s="121">
        <v>0</v>
      </c>
      <c r="C19" s="534">
        <f t="shared" ref="C19:G19" si="4">C16+C17-C18</f>
        <v>1884193.5710479792</v>
      </c>
      <c r="D19" s="534">
        <f t="shared" si="4"/>
        <v>1123115.5184849582</v>
      </c>
      <c r="E19" s="534">
        <f t="shared" si="4"/>
        <v>114307.5839151773</v>
      </c>
      <c r="F19" s="534">
        <f t="shared" si="4"/>
        <v>114279.13765993755</v>
      </c>
      <c r="G19" s="534">
        <f t="shared" si="4"/>
        <v>114279.06240621736</v>
      </c>
    </row>
    <row r="20" spans="1:7" x14ac:dyDescent="0.25">
      <c r="A20" s="185"/>
      <c r="B20" s="123"/>
      <c r="C20" s="82"/>
      <c r="D20" s="82"/>
      <c r="E20" s="82"/>
      <c r="F20" s="82"/>
      <c r="G20" s="83"/>
    </row>
    <row r="21" spans="1:7" ht="13" x14ac:dyDescent="0.3">
      <c r="A21" s="535" t="s">
        <v>236</v>
      </c>
      <c r="B21" s="126">
        <v>0</v>
      </c>
      <c r="C21" s="536">
        <f t="shared" ref="C21:G21" si="5">C14-C19</f>
        <v>0</v>
      </c>
      <c r="D21" s="536">
        <f t="shared" si="5"/>
        <v>1041043.7424256273</v>
      </c>
      <c r="E21" s="536">
        <f t="shared" si="5"/>
        <v>2073056.5376537852</v>
      </c>
      <c r="F21" s="536">
        <f t="shared" si="5"/>
        <v>2096263.7216537851</v>
      </c>
      <c r="G21" s="536">
        <f t="shared" si="5"/>
        <v>2113669.1096537854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8"/>
  <sheetViews>
    <sheetView zoomScale="90" zoomScaleNormal="90" workbookViewId="0">
      <selection activeCell="C14" sqref="C14"/>
    </sheetView>
  </sheetViews>
  <sheetFormatPr baseColWidth="10" defaultColWidth="11.453125" defaultRowHeight="12.5" x14ac:dyDescent="0.25"/>
  <cols>
    <col min="1" max="1" width="40.81640625" style="188" customWidth="1"/>
    <col min="2" max="7" width="16.7265625" style="188" bestFit="1" customWidth="1"/>
    <col min="8" max="8" width="21.54296875" style="188" customWidth="1"/>
    <col min="9" max="9" width="17.453125" style="188" customWidth="1"/>
    <col min="10" max="16384" width="11.453125" style="188"/>
  </cols>
  <sheetData>
    <row r="1" spans="1:8" ht="13" x14ac:dyDescent="0.3">
      <c r="A1" s="1" t="s">
        <v>0</v>
      </c>
      <c r="B1"/>
      <c r="C1"/>
      <c r="D1"/>
      <c r="E1" s="2">
        <f>InfoInicial!E1</f>
        <v>8</v>
      </c>
    </row>
    <row r="3" spans="1:8" ht="15.5" x14ac:dyDescent="0.35">
      <c r="A3" s="189" t="s">
        <v>333</v>
      </c>
      <c r="B3" s="190"/>
      <c r="C3" s="190"/>
      <c r="D3" s="190"/>
      <c r="E3" s="190"/>
      <c r="F3" s="190"/>
      <c r="G3" s="191"/>
      <c r="H3" s="192"/>
    </row>
    <row r="4" spans="1:8" ht="13" x14ac:dyDescent="0.3">
      <c r="A4" s="193"/>
      <c r="B4" s="194" t="s">
        <v>53</v>
      </c>
      <c r="C4" s="194" t="s">
        <v>54</v>
      </c>
      <c r="D4" s="194" t="s">
        <v>95</v>
      </c>
      <c r="E4" s="194" t="s">
        <v>96</v>
      </c>
      <c r="F4" s="194" t="s">
        <v>97</v>
      </c>
      <c r="G4" s="195" t="s">
        <v>98</v>
      </c>
      <c r="H4" s="196" t="s">
        <v>198</v>
      </c>
    </row>
    <row r="5" spans="1:8" ht="13" x14ac:dyDescent="0.3">
      <c r="A5" s="169" t="s">
        <v>334</v>
      </c>
      <c r="B5" s="89">
        <f t="shared" ref="B5:G5" si="0">SUM(B6:B11)</f>
        <v>16125537.906692818</v>
      </c>
      <c r="C5" s="89">
        <f t="shared" si="0"/>
        <v>14932855.693432989</v>
      </c>
      <c r="D5" s="89">
        <f t="shared" si="0"/>
        <v>20577875.592954189</v>
      </c>
      <c r="E5" s="89">
        <f t="shared" si="0"/>
        <v>25643125.271873787</v>
      </c>
      <c r="F5" s="89">
        <f t="shared" si="0"/>
        <v>30840129.577329889</v>
      </c>
      <c r="G5" s="89">
        <f t="shared" si="0"/>
        <v>36055439.819425024</v>
      </c>
      <c r="H5" s="62">
        <f>+SUM(B5:G5)</f>
        <v>144174963.8617087</v>
      </c>
    </row>
    <row r="6" spans="1:8" x14ac:dyDescent="0.25">
      <c r="A6" s="161" t="s">
        <v>335</v>
      </c>
      <c r="B6" s="62">
        <v>0</v>
      </c>
      <c r="C6" s="62">
        <f>B27</f>
        <v>0</v>
      </c>
      <c r="D6" s="62">
        <f>C27</f>
        <v>5749760.0744692292</v>
      </c>
      <c r="E6" s="62">
        <f t="shared" ref="E6:G6" si="1">D27</f>
        <v>11823817.687958609</v>
      </c>
      <c r="F6" s="62">
        <f t="shared" si="1"/>
        <v>17020850.439669952</v>
      </c>
      <c r="G6" s="62">
        <f t="shared" si="1"/>
        <v>22236160.757018808</v>
      </c>
      <c r="H6" s="62"/>
    </row>
    <row r="7" spans="1:8" x14ac:dyDescent="0.25">
      <c r="A7" s="161" t="s">
        <v>336</v>
      </c>
      <c r="B7" s="198">
        <f>'F-2 Estructura'!B31</f>
        <v>14783625.906692818</v>
      </c>
      <c r="C7" s="198">
        <f>'F-2 Estructura'!C31</f>
        <v>1039921.8222786423</v>
      </c>
      <c r="D7" s="198">
        <v>0</v>
      </c>
      <c r="E7" s="198">
        <v>0</v>
      </c>
      <c r="F7" s="198">
        <v>0</v>
      </c>
      <c r="G7" s="199">
        <v>0</v>
      </c>
      <c r="H7" s="62">
        <f t="shared" ref="H7:H23" si="2">+SUM(B7:G7)</f>
        <v>15823547.728971461</v>
      </c>
    </row>
    <row r="8" spans="1:8" x14ac:dyDescent="0.25">
      <c r="A8" s="161" t="s">
        <v>337</v>
      </c>
      <c r="B8" s="491">
        <v>0</v>
      </c>
      <c r="C8" s="491">
        <f>+'F-2 Estructura'!C29</f>
        <v>86740.30010636778</v>
      </c>
      <c r="D8" s="491">
        <v>0</v>
      </c>
      <c r="E8" s="491">
        <v>0</v>
      </c>
      <c r="F8" s="491">
        <v>0</v>
      </c>
      <c r="G8" s="543">
        <v>0</v>
      </c>
      <c r="H8" s="62">
        <f t="shared" si="2"/>
        <v>86740.30010636778</v>
      </c>
    </row>
    <row r="9" spans="1:8" x14ac:dyDescent="0.25">
      <c r="A9" s="161" t="s">
        <v>338</v>
      </c>
      <c r="B9" s="544">
        <f>+'F-2 Estructura'!B30</f>
        <v>1341912</v>
      </c>
      <c r="C9" s="544">
        <f>+'F-2 Estructura'!C30</f>
        <v>0</v>
      </c>
      <c r="D9" s="544">
        <v>0</v>
      </c>
      <c r="E9" s="544">
        <v>0</v>
      </c>
      <c r="F9" s="544">
        <v>0</v>
      </c>
      <c r="G9" s="545">
        <v>0</v>
      </c>
      <c r="H9" s="62">
        <f t="shared" si="2"/>
        <v>1341912</v>
      </c>
    </row>
    <row r="10" spans="1:8" x14ac:dyDescent="0.25">
      <c r="A10" s="161" t="s">
        <v>339</v>
      </c>
      <c r="B10" s="62">
        <v>0</v>
      </c>
      <c r="C10" s="62">
        <f>'F-CRes'!B4</f>
        <v>11922000</v>
      </c>
      <c r="D10" s="62">
        <f>'F-CRes'!C4</f>
        <v>13705000</v>
      </c>
      <c r="E10" s="62">
        <f>'F-CRes'!D4</f>
        <v>13705000</v>
      </c>
      <c r="F10" s="62">
        <f>'F-CRes'!E4</f>
        <v>13705000</v>
      </c>
      <c r="G10" s="62">
        <f>'F-CRes'!F4</f>
        <v>13705000</v>
      </c>
      <c r="H10" s="62">
        <f t="shared" si="2"/>
        <v>66742000</v>
      </c>
    </row>
    <row r="11" spans="1:8" x14ac:dyDescent="0.25">
      <c r="A11" s="161" t="s">
        <v>340</v>
      </c>
      <c r="B11" s="89">
        <f>'F-IVA'!B19</f>
        <v>0</v>
      </c>
      <c r="C11" s="89">
        <f>'F-IVA'!C19</f>
        <v>1884193.5710479792</v>
      </c>
      <c r="D11" s="89">
        <f>'F-IVA'!D19</f>
        <v>1123115.5184849582</v>
      </c>
      <c r="E11" s="89">
        <f>'F-IVA'!E19</f>
        <v>114307.5839151773</v>
      </c>
      <c r="F11" s="89">
        <f>'F-IVA'!F19</f>
        <v>114279.13765993755</v>
      </c>
      <c r="G11" s="89">
        <f>'F-IVA'!G19</f>
        <v>114279.06240621736</v>
      </c>
      <c r="H11" s="62">
        <f t="shared" si="2"/>
        <v>3350174.8735142695</v>
      </c>
    </row>
    <row r="12" spans="1:8" x14ac:dyDescent="0.25">
      <c r="A12" s="161"/>
      <c r="B12" s="62"/>
      <c r="C12" s="62"/>
      <c r="D12" s="62"/>
      <c r="E12" s="62"/>
      <c r="F12" s="62"/>
      <c r="G12" s="110"/>
      <c r="H12" s="62">
        <f t="shared" si="2"/>
        <v>0</v>
      </c>
    </row>
    <row r="13" spans="1:8" ht="13" x14ac:dyDescent="0.3">
      <c r="A13" s="169" t="s">
        <v>341</v>
      </c>
      <c r="B13" s="62">
        <f>SUM(B14:B22)</f>
        <v>16125537.906692818</v>
      </c>
      <c r="C13" s="62">
        <f>SUM(C14:C22)</f>
        <v>9990785.3605328985</v>
      </c>
      <c r="D13" s="62">
        <f t="shared" ref="D13:G13" si="3">SUM(D14:D22)</f>
        <v>9561747.6465647183</v>
      </c>
      <c r="E13" s="62">
        <f t="shared" si="3"/>
        <v>9429964.5737729724</v>
      </c>
      <c r="F13" s="62">
        <f t="shared" si="3"/>
        <v>9258741.4792135544</v>
      </c>
      <c r="G13" s="62">
        <f t="shared" si="3"/>
        <v>8968121.7362139169</v>
      </c>
      <c r="H13" s="62">
        <f t="shared" si="2"/>
        <v>63334898.702990882</v>
      </c>
    </row>
    <row r="14" spans="1:8" x14ac:dyDescent="0.25">
      <c r="A14" s="161" t="s">
        <v>342</v>
      </c>
      <c r="B14" s="198">
        <f>'F-2 Estructura'!B8</f>
        <v>12814700.650444735</v>
      </c>
      <c r="C14" s="198">
        <f>'F-2 Estructura'!C8</f>
        <v>87468.89206762785</v>
      </c>
      <c r="D14" s="198"/>
      <c r="E14" s="198"/>
      <c r="F14" s="198"/>
      <c r="G14" s="199"/>
      <c r="H14" s="62">
        <f t="shared" si="2"/>
        <v>12902169.542512363</v>
      </c>
    </row>
    <row r="15" spans="1:8" x14ac:dyDescent="0.25">
      <c r="A15" s="161" t="s">
        <v>266</v>
      </c>
      <c r="B15" s="491">
        <f>+'E-InvAT'!B24</f>
        <v>545295.90054106526</v>
      </c>
      <c r="C15" s="491">
        <f>'E-InvAT'!C24</f>
        <v>1339055.5948372094</v>
      </c>
      <c r="D15" s="491">
        <f>'E-InvAT'!D24</f>
        <v>60519.752485157689</v>
      </c>
      <c r="E15" s="491">
        <f>'E-InvAT'!E24</f>
        <v>-11.063531538005918</v>
      </c>
      <c r="F15" s="491">
        <f>'E-InvAT'!F24</f>
        <v>-135.45835828455165</v>
      </c>
      <c r="G15" s="491">
        <f>'E-InvAT'!G24</f>
        <v>-0.35835104854777455</v>
      </c>
      <c r="H15" s="62">
        <f t="shared" si="2"/>
        <v>1944724.3676225613</v>
      </c>
    </row>
    <row r="16" spans="1:8" x14ac:dyDescent="0.25">
      <c r="A16" s="161" t="s">
        <v>343</v>
      </c>
      <c r="B16" s="491">
        <v>0</v>
      </c>
      <c r="C16" s="491">
        <f>+SUM('F-CRes'!B5,'F-CRes'!B8:B10)</f>
        <v>5361311.8203369472</v>
      </c>
      <c r="D16" s="491">
        <f>+SUM('F-CRes'!C5,'F-CRes'!C8:C10)</f>
        <v>5732630.725707869</v>
      </c>
      <c r="E16" s="491">
        <f>+SUM('F-CRes'!D5,'F-CRes'!D8:D10)</f>
        <v>5623114.901035348</v>
      </c>
      <c r="F16" s="491">
        <f>+SUM('F-CRes'!E5,'F-CRes'!E8:E10)</f>
        <v>5359536.7635354642</v>
      </c>
      <c r="G16" s="491">
        <f>+SUM('F-CRes'!F5,'F-CRes'!F8:F10)</f>
        <v>5276529.2665215246</v>
      </c>
      <c r="H16" s="62">
        <f t="shared" si="2"/>
        <v>27353123.477137152</v>
      </c>
    </row>
    <row r="17" spans="1:14" x14ac:dyDescent="0.25">
      <c r="A17" s="161" t="s">
        <v>344</v>
      </c>
      <c r="B17" s="62">
        <v>0</v>
      </c>
      <c r="C17" s="62">
        <f>'F-CRes'!B13</f>
        <v>2046660.5131221083</v>
      </c>
      <c r="D17" s="62">
        <f>'F-CRes'!C13</f>
        <v>2495137.0840185145</v>
      </c>
      <c r="E17" s="62">
        <f>'F-CRes'!D13</f>
        <v>2533502.4327903586</v>
      </c>
      <c r="F17" s="62">
        <f>'F-CRes'!E13</f>
        <v>2625617.1846628208</v>
      </c>
      <c r="G17" s="62">
        <f>'F-CRes'!F13</f>
        <v>2654665.4442222118</v>
      </c>
      <c r="H17" s="62">
        <f t="shared" si="2"/>
        <v>12355582.658816013</v>
      </c>
    </row>
    <row r="18" spans="1:14" x14ac:dyDescent="0.25">
      <c r="A18" s="161" t="s">
        <v>345</v>
      </c>
      <c r="B18" s="489">
        <v>0</v>
      </c>
      <c r="C18" s="489">
        <f>+'F-Cred'!E23</f>
        <v>315744</v>
      </c>
      <c r="D18" s="489">
        <f>+'F-Cred'!E25</f>
        <v>315744</v>
      </c>
      <c r="E18" s="489">
        <f>+'F-Cred'!E27</f>
        <v>315744</v>
      </c>
      <c r="F18" s="489">
        <f>+'F-Cred'!E29</f>
        <v>315744</v>
      </c>
      <c r="G18" s="490">
        <f>+'F-Cred'!E31</f>
        <v>78936</v>
      </c>
      <c r="H18" s="62">
        <f t="shared" si="2"/>
        <v>1341912</v>
      </c>
    </row>
    <row r="19" spans="1:14" x14ac:dyDescent="0.25">
      <c r="A19" s="161" t="s">
        <v>346</v>
      </c>
      <c r="B19" s="62">
        <v>0</v>
      </c>
      <c r="C19" s="62">
        <f>'F-CRes'!B12</f>
        <v>713086.71359988686</v>
      </c>
      <c r="D19" s="62">
        <f>'F-CRes'!C12</f>
        <v>843406.1770963762</v>
      </c>
      <c r="E19" s="62">
        <f>'F-CRes'!D12</f>
        <v>843306.71956362843</v>
      </c>
      <c r="F19" s="62">
        <f>'F-CRes'!E12</f>
        <v>843699.85171361663</v>
      </c>
      <c r="G19" s="62">
        <f>'F-CRes'!F12</f>
        <v>843712.32141501049</v>
      </c>
      <c r="H19" s="62">
        <f t="shared" si="2"/>
        <v>4087211.7833885183</v>
      </c>
    </row>
    <row r="20" spans="1:14" x14ac:dyDescent="0.25">
      <c r="A20" s="161" t="s">
        <v>347</v>
      </c>
      <c r="B20" s="198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62">
        <f t="shared" si="2"/>
        <v>0</v>
      </c>
    </row>
    <row r="21" spans="1:14" x14ac:dyDescent="0.25">
      <c r="A21" s="161" t="s">
        <v>348</v>
      </c>
      <c r="B21" s="491">
        <f>+'F-IVA'!B17</f>
        <v>2765541.3557070182</v>
      </c>
      <c r="C21" s="491">
        <f>'F-IVA'!C17</f>
        <v>127457.826569119</v>
      </c>
      <c r="D21" s="491">
        <f>'F-IVA'!D17</f>
        <v>114309.90725680024</v>
      </c>
      <c r="E21" s="491">
        <f>'F-IVA'!E17</f>
        <v>114307.5839151773</v>
      </c>
      <c r="F21" s="491">
        <f>'F-IVA'!F17</f>
        <v>114279.13765993755</v>
      </c>
      <c r="G21" s="491">
        <f>'F-IVA'!G17</f>
        <v>114279.06240621736</v>
      </c>
      <c r="H21" s="62">
        <f t="shared" si="2"/>
        <v>3350174.8735142695</v>
      </c>
    </row>
    <row r="22" spans="1:14" x14ac:dyDescent="0.25">
      <c r="A22" s="161" t="s">
        <v>349</v>
      </c>
      <c r="B22" s="89"/>
      <c r="C22" s="89"/>
      <c r="D22" s="89"/>
      <c r="E22" s="89"/>
      <c r="F22" s="89"/>
      <c r="G22" s="197"/>
      <c r="H22" s="62">
        <f t="shared" si="2"/>
        <v>0</v>
      </c>
    </row>
    <row r="23" spans="1:14" x14ac:dyDescent="0.25">
      <c r="A23" s="161"/>
      <c r="B23" s="82"/>
      <c r="C23" s="82"/>
      <c r="D23" s="82"/>
      <c r="E23" s="82"/>
      <c r="F23" s="82"/>
      <c r="G23" s="111"/>
      <c r="H23" s="62">
        <f t="shared" si="2"/>
        <v>0</v>
      </c>
    </row>
    <row r="24" spans="1:14" ht="13" x14ac:dyDescent="0.3">
      <c r="A24" s="169" t="s">
        <v>350</v>
      </c>
      <c r="B24" s="491">
        <f t="shared" ref="B24:G24" si="4">B5-B13</f>
        <v>0</v>
      </c>
      <c r="C24" s="62">
        <f t="shared" si="4"/>
        <v>4942070.3329000901</v>
      </c>
      <c r="D24" s="62">
        <f t="shared" si="4"/>
        <v>11016127.94638947</v>
      </c>
      <c r="E24" s="62">
        <f t="shared" si="4"/>
        <v>16213160.698100815</v>
      </c>
      <c r="F24" s="62">
        <f t="shared" si="4"/>
        <v>21581388.098116335</v>
      </c>
      <c r="G24" s="62">
        <f t="shared" si="4"/>
        <v>27087318.083211109</v>
      </c>
      <c r="H24" s="62">
        <f>+H5-H13</f>
        <v>80840065.158717811</v>
      </c>
    </row>
    <row r="25" spans="1:14" ht="13" x14ac:dyDescent="0.3">
      <c r="A25" s="169" t="s">
        <v>351</v>
      </c>
      <c r="B25" s="62">
        <v>0</v>
      </c>
      <c r="C25" s="62">
        <f>+'E-Inv AF y Am'!$D$56+(('F-Cred'!$G$21+'F-Cred'!$I$21)/3)</f>
        <v>807689.74156913906</v>
      </c>
      <c r="D25" s="62">
        <f>+'E-Inv AF y Am'!$D$56+(('F-Cred'!$G$21+'F-Cred'!$I$21)/3)</f>
        <v>807689.74156913906</v>
      </c>
      <c r="E25" s="62">
        <f>+'E-Inv AF y Am'!$D$56+(('F-Cred'!$G$21+'F-Cred'!$I$21)/3)</f>
        <v>807689.74156913906</v>
      </c>
      <c r="F25" s="62">
        <f>'E-Inv AF y Am'!E56</f>
        <v>654772.65890247247</v>
      </c>
      <c r="G25" s="110">
        <f>F25</f>
        <v>654772.65890247247</v>
      </c>
      <c r="H25" s="62">
        <f>+SUM(C25:G25)</f>
        <v>3732614.5425123619</v>
      </c>
    </row>
    <row r="26" spans="1:14" ht="13" x14ac:dyDescent="0.3">
      <c r="A26" s="169"/>
      <c r="B26" s="82"/>
      <c r="C26" s="82"/>
      <c r="D26" s="82"/>
      <c r="E26" s="82"/>
      <c r="F26" s="82"/>
      <c r="G26" s="111"/>
      <c r="H26" s="62"/>
    </row>
    <row r="27" spans="1:14" ht="13" x14ac:dyDescent="0.3">
      <c r="A27" s="169" t="s">
        <v>352</v>
      </c>
      <c r="B27" s="90">
        <f t="shared" ref="B27:E27" si="5">B24+B25</f>
        <v>0</v>
      </c>
      <c r="C27" s="90">
        <f t="shared" si="5"/>
        <v>5749760.0744692292</v>
      </c>
      <c r="D27" s="90">
        <f t="shared" si="5"/>
        <v>11823817.687958609</v>
      </c>
      <c r="E27" s="90">
        <f t="shared" si="5"/>
        <v>17020850.439669952</v>
      </c>
      <c r="F27" s="90">
        <f>F24+F25</f>
        <v>22236160.757018808</v>
      </c>
      <c r="G27" s="90">
        <f>G24+G25</f>
        <v>27742090.742113583</v>
      </c>
      <c r="H27" s="62">
        <f>+SUM(C27:G27)</f>
        <v>84572679.701230168</v>
      </c>
      <c r="I27" s="531"/>
    </row>
    <row r="28" spans="1:14" ht="13" x14ac:dyDescent="0.3">
      <c r="A28" s="177" t="s">
        <v>353</v>
      </c>
      <c r="B28" s="31">
        <f>+B27</f>
        <v>0</v>
      </c>
      <c r="C28" s="31">
        <f t="shared" ref="C28:H28" si="6">+C27-C6</f>
        <v>5749760.0744692292</v>
      </c>
      <c r="D28" s="31">
        <f t="shared" si="6"/>
        <v>6074057.6134893801</v>
      </c>
      <c r="E28" s="31">
        <f t="shared" si="6"/>
        <v>5197032.7517113425</v>
      </c>
      <c r="F28" s="31">
        <f t="shared" si="6"/>
        <v>5215310.3173488565</v>
      </c>
      <c r="G28" s="532">
        <f t="shared" si="6"/>
        <v>5505929.9850947745</v>
      </c>
      <c r="H28" s="62">
        <f>+SUM(C28:G28)</f>
        <v>27742090.742113583</v>
      </c>
      <c r="I28" s="161"/>
      <c r="J28" s="161"/>
      <c r="K28" s="161"/>
      <c r="L28" s="161"/>
      <c r="M28" s="161"/>
      <c r="N28" s="161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38"/>
  <sheetViews>
    <sheetView topLeftCell="A19" zoomScale="90" zoomScaleNormal="90" workbookViewId="0">
      <selection activeCell="B27" sqref="B27"/>
    </sheetView>
  </sheetViews>
  <sheetFormatPr baseColWidth="10" defaultColWidth="11.453125" defaultRowHeight="12.5" x14ac:dyDescent="0.25"/>
  <cols>
    <col min="1" max="1" width="37.54296875" style="161" customWidth="1"/>
    <col min="2" max="2" width="16" style="161" bestFit="1" customWidth="1"/>
    <col min="3" max="7" width="16.7265625" style="161" bestFit="1" customWidth="1"/>
    <col min="8" max="8" width="17.453125" style="161" customWidth="1"/>
    <col min="9" max="16384" width="11.453125" style="161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3" spans="1:7" ht="15.5" x14ac:dyDescent="0.35">
      <c r="A3" s="189" t="s">
        <v>354</v>
      </c>
      <c r="B3" s="190"/>
      <c r="C3" s="190"/>
      <c r="D3" s="190"/>
      <c r="E3" s="190"/>
      <c r="F3" s="190"/>
      <c r="G3" s="192"/>
    </row>
    <row r="4" spans="1:7" ht="13" x14ac:dyDescent="0.3">
      <c r="A4" s="200"/>
      <c r="B4" s="201" t="s">
        <v>53</v>
      </c>
      <c r="C4" s="201" t="s">
        <v>54</v>
      </c>
      <c r="D4" s="201" t="s">
        <v>95</v>
      </c>
      <c r="E4" s="201" t="s">
        <v>96</v>
      </c>
      <c r="F4" s="201" t="s">
        <v>97</v>
      </c>
      <c r="G4" s="202" t="s">
        <v>98</v>
      </c>
    </row>
    <row r="5" spans="1:7" ht="13" x14ac:dyDescent="0.3">
      <c r="A5" s="203" t="s">
        <v>355</v>
      </c>
      <c r="B5" s="495">
        <f>SUM(B6:B11)</f>
        <v>2429489.4715890447</v>
      </c>
      <c r="C5" s="494">
        <f t="shared" ref="C5:G5" si="0">SUM(C6:C11)</f>
        <v>8642917.1810756624</v>
      </c>
      <c r="D5" s="494">
        <f t="shared" si="0"/>
        <v>13768688.935822042</v>
      </c>
      <c r="E5" s="494">
        <f t="shared" si="0"/>
        <v>18965710.624001846</v>
      </c>
      <c r="F5" s="494">
        <f t="shared" si="0"/>
        <v>24180885.482992418</v>
      </c>
      <c r="G5" s="494">
        <f t="shared" si="0"/>
        <v>29686815.109736145</v>
      </c>
    </row>
    <row r="6" spans="1:7" ht="13" x14ac:dyDescent="0.3">
      <c r="A6" s="175" t="s">
        <v>356</v>
      </c>
      <c r="B6" s="82"/>
      <c r="C6" s="82"/>
      <c r="D6" s="82"/>
      <c r="E6" s="82"/>
      <c r="F6" s="82"/>
      <c r="G6" s="83"/>
    </row>
    <row r="7" spans="1:7" x14ac:dyDescent="0.25">
      <c r="A7" s="193" t="s">
        <v>357</v>
      </c>
      <c r="B7" s="82">
        <f>'E-InvAT'!B6</f>
        <v>190752</v>
      </c>
      <c r="C7" s="82">
        <f>'E-InvAT'!C6</f>
        <v>238440</v>
      </c>
      <c r="D7" s="82">
        <f>'E-InvAT'!D6</f>
        <v>274100</v>
      </c>
      <c r="E7" s="82">
        <f>'E-InvAT'!E6</f>
        <v>274100</v>
      </c>
      <c r="F7" s="82">
        <f>'E-InvAT'!F6</f>
        <v>274100</v>
      </c>
      <c r="G7" s="83">
        <f>'E-InvAT'!G6</f>
        <v>274100</v>
      </c>
    </row>
    <row r="8" spans="1:7" x14ac:dyDescent="0.25">
      <c r="A8" s="193" t="s">
        <v>358</v>
      </c>
      <c r="B8" s="82"/>
      <c r="C8" s="82">
        <f>'F- CFyU'!C27</f>
        <v>5749760.0744692292</v>
      </c>
      <c r="D8" s="82">
        <f>'F- CFyU'!D27</f>
        <v>11823817.687958609</v>
      </c>
      <c r="E8" s="82">
        <f>'F- CFyU'!E27</f>
        <v>17020850.439669952</v>
      </c>
      <c r="F8" s="82">
        <f>'F- CFyU'!F27</f>
        <v>22236160.757018808</v>
      </c>
      <c r="G8" s="83">
        <f>'F- CFyU'!G27</f>
        <v>27742090.742113583</v>
      </c>
    </row>
    <row r="9" spans="1:7" ht="13" x14ac:dyDescent="0.3">
      <c r="A9" s="175" t="s">
        <v>359</v>
      </c>
      <c r="B9" s="82"/>
      <c r="C9" s="82">
        <f>'E-InvAT'!C7</f>
        <v>1126438.3561643835</v>
      </c>
      <c r="D9" s="82">
        <f>'E-InvAT'!D7</f>
        <v>1126438.3561643835</v>
      </c>
      <c r="E9" s="82">
        <f>'E-InvAT'!E7</f>
        <v>1126438.3561643835</v>
      </c>
      <c r="F9" s="82">
        <f>'E-InvAT'!F7</f>
        <v>1126438.3561643835</v>
      </c>
      <c r="G9" s="83">
        <f>'E-InvAT'!G7</f>
        <v>1126438.3561643835</v>
      </c>
    </row>
    <row r="10" spans="1:7" ht="13" x14ac:dyDescent="0.3">
      <c r="A10" s="175" t="s">
        <v>360</v>
      </c>
      <c r="B10" s="82">
        <f>'E-InvAT'!B9</f>
        <v>354543.9005410652</v>
      </c>
      <c r="C10" s="82">
        <f>'E-InvAT'!C9</f>
        <v>519473.13921389123</v>
      </c>
      <c r="D10" s="82">
        <f>'E-InvAT'!D9</f>
        <v>544332.89169904892</v>
      </c>
      <c r="E10" s="82">
        <f>'E-InvAT'!E9</f>
        <v>544321.82816751103</v>
      </c>
      <c r="F10" s="82">
        <f>'E-InvAT'!F9</f>
        <v>544186.36980922648</v>
      </c>
      <c r="G10" s="83">
        <f>'E-InvAT'!G9</f>
        <v>544186.01145817793</v>
      </c>
    </row>
    <row r="11" spans="1:7" ht="13" x14ac:dyDescent="0.3">
      <c r="A11" s="175" t="s">
        <v>361</v>
      </c>
      <c r="B11" s="204">
        <f>'F-IVA'!C19</f>
        <v>1884193.5710479792</v>
      </c>
      <c r="C11" s="204">
        <f>'F-IVA'!D19-'F-IVA'!D17</f>
        <v>1008805.611228158</v>
      </c>
      <c r="D11" s="204">
        <f>'F-IVA'!E19-'F-IVA'!E17</f>
        <v>0</v>
      </c>
      <c r="E11" s="204">
        <f>'F-IVA'!F19-'F-IVA'!F17</f>
        <v>0</v>
      </c>
      <c r="F11" s="204">
        <v>0</v>
      </c>
      <c r="G11" s="83">
        <v>0</v>
      </c>
    </row>
    <row r="12" spans="1:7" ht="13" x14ac:dyDescent="0.3">
      <c r="A12" s="175" t="s">
        <v>362</v>
      </c>
      <c r="B12" s="204">
        <f>B17+B22+B23</f>
        <v>13696048.435103774</v>
      </c>
      <c r="C12" s="204">
        <f t="shared" ref="C12:G12" si="1">C17+C22+C23</f>
        <v>13493326.182276556</v>
      </c>
      <c r="D12" s="204">
        <f t="shared" si="1"/>
        <v>14118181.164943224</v>
      </c>
      <c r="E12" s="204">
        <f t="shared" si="1"/>
        <v>14743036.147609891</v>
      </c>
      <c r="F12" s="204">
        <f t="shared" si="1"/>
        <v>15364110.463609891</v>
      </c>
      <c r="G12" s="83">
        <f t="shared" si="1"/>
        <v>15985184.779609891</v>
      </c>
    </row>
    <row r="13" spans="1:7" ht="13" x14ac:dyDescent="0.3">
      <c r="A13" s="175" t="s">
        <v>363</v>
      </c>
      <c r="B13" s="204"/>
      <c r="C13" s="204"/>
      <c r="D13" s="204"/>
      <c r="E13" s="204"/>
      <c r="F13" s="204"/>
      <c r="G13" s="83"/>
    </row>
    <row r="14" spans="1:7" x14ac:dyDescent="0.25">
      <c r="A14" s="193" t="s">
        <v>364</v>
      </c>
      <c r="B14" s="82">
        <f>'F-2 Estructura'!B7</f>
        <v>528432.07044473395</v>
      </c>
      <c r="C14" s="82">
        <f>+B17</f>
        <v>528432.07044473395</v>
      </c>
      <c r="D14" s="82">
        <f t="shared" ref="D14:G14" si="2">C17</f>
        <v>582202.61960988946</v>
      </c>
      <c r="E14" s="82">
        <f t="shared" si="2"/>
        <v>582202.61960988946</v>
      </c>
      <c r="F14" s="82">
        <f t="shared" si="2"/>
        <v>582202.61960988946</v>
      </c>
      <c r="G14" s="83">
        <f t="shared" si="2"/>
        <v>582202.61960988946</v>
      </c>
    </row>
    <row r="15" spans="1:7" x14ac:dyDescent="0.25">
      <c r="A15" s="193" t="s">
        <v>365</v>
      </c>
      <c r="B15" s="492">
        <v>0</v>
      </c>
      <c r="C15" s="492">
        <f>'F-2 Estructura'!C7</f>
        <v>87468.89206762785</v>
      </c>
      <c r="D15" s="492">
        <v>0</v>
      </c>
      <c r="E15" s="492">
        <v>0</v>
      </c>
      <c r="F15" s="492">
        <v>0</v>
      </c>
      <c r="G15" s="83">
        <v>0</v>
      </c>
    </row>
    <row r="16" spans="1:7" x14ac:dyDescent="0.25">
      <c r="A16" s="537" t="s">
        <v>366</v>
      </c>
      <c r="B16" s="538"/>
      <c r="C16" s="538">
        <f>+'E-Inv AF y Am'!D53</f>
        <v>33698.342902472359</v>
      </c>
      <c r="D16" s="538"/>
      <c r="E16" s="538"/>
      <c r="F16" s="538"/>
      <c r="G16" s="539"/>
    </row>
    <row r="17" spans="1:7" x14ac:dyDescent="0.25">
      <c r="A17" s="193" t="s">
        <v>367</v>
      </c>
      <c r="B17" s="82">
        <f t="shared" ref="B17:G17" si="3">B14+B15-B16</f>
        <v>528432.07044473395</v>
      </c>
      <c r="C17" s="82">
        <f t="shared" si="3"/>
        <v>582202.61960988946</v>
      </c>
      <c r="D17" s="82">
        <f t="shared" si="3"/>
        <v>582202.61960988946</v>
      </c>
      <c r="E17" s="82">
        <f t="shared" si="3"/>
        <v>582202.61960988946</v>
      </c>
      <c r="F17" s="82">
        <f t="shared" si="3"/>
        <v>582202.61960988946</v>
      </c>
      <c r="G17" s="83">
        <f t="shared" si="3"/>
        <v>582202.61960988946</v>
      </c>
    </row>
    <row r="18" spans="1:7" ht="13" x14ac:dyDescent="0.3">
      <c r="A18" s="175" t="s">
        <v>87</v>
      </c>
      <c r="B18" s="492"/>
      <c r="C18" s="492"/>
      <c r="D18" s="492"/>
      <c r="E18" s="492"/>
      <c r="F18" s="492"/>
      <c r="G18" s="83"/>
    </row>
    <row r="19" spans="1:7" x14ac:dyDescent="0.25">
      <c r="A19" s="193" t="s">
        <v>364</v>
      </c>
      <c r="B19" s="82">
        <f>+'F-2 Estructura'!B6</f>
        <v>12286268.58</v>
      </c>
      <c r="C19" s="82">
        <f>+B22</f>
        <v>12286268.58</v>
      </c>
      <c r="D19" s="82">
        <f>+C22</f>
        <v>12911123.562666668</v>
      </c>
      <c r="E19" s="82">
        <f>+D22</f>
        <v>13535978.545333335</v>
      </c>
      <c r="F19" s="82">
        <f>+E22</f>
        <v>14160833.528000003</v>
      </c>
      <c r="G19" s="83">
        <f>+F22</f>
        <v>14781907.844000002</v>
      </c>
    </row>
    <row r="20" spans="1:7" x14ac:dyDescent="0.25">
      <c r="A20" s="193" t="s">
        <v>368</v>
      </c>
      <c r="B20" s="82"/>
      <c r="C20" s="82"/>
      <c r="D20" s="82"/>
      <c r="E20" s="82"/>
      <c r="F20" s="82"/>
      <c r="G20" s="83"/>
    </row>
    <row r="21" spans="1:7" x14ac:dyDescent="0.25">
      <c r="A21" s="193" t="s">
        <v>369</v>
      </c>
      <c r="B21" s="82">
        <v>0</v>
      </c>
      <c r="C21" s="82">
        <f>+'E-Inv AF y Am'!$D$51</f>
        <v>624854.98266666674</v>
      </c>
      <c r="D21" s="82">
        <f>+'E-Inv AF y Am'!$D$51</f>
        <v>624854.98266666674</v>
      </c>
      <c r="E21" s="82">
        <f>+'E-Inv AF y Am'!$D$51</f>
        <v>624854.98266666674</v>
      </c>
      <c r="F21" s="82">
        <f>+'E-Inv AF y Am'!$E$51</f>
        <v>621074.31600000011</v>
      </c>
      <c r="G21" s="83">
        <f>+'E-Inv AF y Am'!$E$51</f>
        <v>621074.31600000011</v>
      </c>
    </row>
    <row r="22" spans="1:7" x14ac:dyDescent="0.25">
      <c r="A22" s="193" t="s">
        <v>367</v>
      </c>
      <c r="B22" s="82">
        <f>+B19+B20+B21</f>
        <v>12286268.58</v>
      </c>
      <c r="C22" s="82">
        <f>+C19+C20+C21</f>
        <v>12911123.562666668</v>
      </c>
      <c r="D22" s="82">
        <f>+D19+D20+D21</f>
        <v>13535978.545333335</v>
      </c>
      <c r="E22" s="82">
        <f t="shared" ref="E22:G22" si="4">+E19+E20+E21</f>
        <v>14160833.528000003</v>
      </c>
      <c r="F22" s="82">
        <f t="shared" si="4"/>
        <v>14781907.844000002</v>
      </c>
      <c r="G22" s="83">
        <f t="shared" si="4"/>
        <v>15402982.160000002</v>
      </c>
    </row>
    <row r="23" spans="1:7" ht="13" x14ac:dyDescent="0.3">
      <c r="A23" s="540" t="s">
        <v>370</v>
      </c>
      <c r="B23" s="541">
        <f>+'F-IVA'!B18-'F-IVA'!C19</f>
        <v>881347.784659039</v>
      </c>
      <c r="C23" s="542">
        <f>+'F-IVA'!D18</f>
        <v>0</v>
      </c>
      <c r="D23" s="542">
        <f>+'F-IVA'!E18</f>
        <v>0</v>
      </c>
      <c r="E23" s="542">
        <f>+'F-IVA'!F18</f>
        <v>0</v>
      </c>
      <c r="F23" s="542">
        <f>+'F-IVA'!G18</f>
        <v>0</v>
      </c>
      <c r="G23" s="542">
        <f>+'F-IVA'!H18</f>
        <v>0</v>
      </c>
    </row>
    <row r="24" spans="1:7" ht="13" x14ac:dyDescent="0.3">
      <c r="A24" s="175" t="s">
        <v>371</v>
      </c>
      <c r="B24" s="82">
        <f>+B5+B12</f>
        <v>16125537.906692818</v>
      </c>
      <c r="C24" s="82">
        <f t="shared" ref="C24:G24" si="5">+C5+C12</f>
        <v>22136243.363352217</v>
      </c>
      <c r="D24" s="82">
        <f t="shared" si="5"/>
        <v>27886870.100765266</v>
      </c>
      <c r="E24" s="82">
        <f t="shared" si="5"/>
        <v>33708746.771611735</v>
      </c>
      <c r="F24" s="82">
        <f t="shared" si="5"/>
        <v>39544995.946602307</v>
      </c>
      <c r="G24" s="82">
        <f t="shared" si="5"/>
        <v>45671999.889346033</v>
      </c>
    </row>
    <row r="25" spans="1:7" ht="13" x14ac:dyDescent="0.3">
      <c r="A25" s="175" t="s">
        <v>372</v>
      </c>
      <c r="B25" s="82">
        <f>+B26+B27</f>
        <v>1112908.3001063678</v>
      </c>
      <c r="C25" s="82">
        <f t="shared" ref="C25:G25" si="6">+C26+C27</f>
        <v>883904.60021273559</v>
      </c>
      <c r="D25" s="82">
        <f t="shared" si="6"/>
        <v>568160.60021273559</v>
      </c>
      <c r="E25" s="82">
        <f t="shared" si="6"/>
        <v>252416.60021273559</v>
      </c>
      <c r="F25" s="82">
        <f t="shared" si="6"/>
        <v>173480.60021273556</v>
      </c>
      <c r="G25" s="82">
        <f t="shared" si="6"/>
        <v>86740.30010636778</v>
      </c>
    </row>
    <row r="26" spans="1:7" ht="13" x14ac:dyDescent="0.3">
      <c r="A26" s="175" t="s">
        <v>373</v>
      </c>
      <c r="B26" s="82">
        <v>0</v>
      </c>
      <c r="C26" s="82">
        <f>+'Apertura financiera'!$B$100</f>
        <v>86740.30010636778</v>
      </c>
      <c r="D26" s="82">
        <f>+'Apertura financiera'!$B$100</f>
        <v>86740.30010636778</v>
      </c>
      <c r="E26" s="82">
        <f>+'Apertura financiera'!$B$100</f>
        <v>86740.30010636778</v>
      </c>
      <c r="F26" s="82">
        <f>+'Apertura financiera'!$B$100</f>
        <v>86740.30010636778</v>
      </c>
      <c r="G26" s="82">
        <f>+'Apertura financiera'!$B$100</f>
        <v>86740.30010636778</v>
      </c>
    </row>
    <row r="27" spans="1:7" ht="13" x14ac:dyDescent="0.3">
      <c r="A27" s="496" t="s">
        <v>374</v>
      </c>
      <c r="B27" s="390">
        <f>+'F-Cred'!B23</f>
        <v>1112908.3001063678</v>
      </c>
      <c r="C27" s="390">
        <f>+'F-Cred'!B25</f>
        <v>797164.30010636779</v>
      </c>
      <c r="D27" s="390">
        <f>+'F-Cred'!B27</f>
        <v>481420.30010636779</v>
      </c>
      <c r="E27" s="390">
        <f>+'F-Cred'!B29</f>
        <v>165676.30010636779</v>
      </c>
      <c r="F27" s="390">
        <f>+'F-Cred'!B31</f>
        <v>86740.30010636778</v>
      </c>
      <c r="G27" s="391">
        <v>0</v>
      </c>
    </row>
    <row r="28" spans="1:7" ht="13" x14ac:dyDescent="0.3">
      <c r="A28" s="175" t="s">
        <v>375</v>
      </c>
      <c r="B28" s="82">
        <f>+B29</f>
        <v>1026168</v>
      </c>
      <c r="C28" s="82">
        <f t="shared" ref="C28:G28" si="7">+C29</f>
        <v>710424</v>
      </c>
      <c r="D28" s="82">
        <f t="shared" si="7"/>
        <v>394680</v>
      </c>
      <c r="E28" s="82">
        <f t="shared" si="7"/>
        <v>78936</v>
      </c>
      <c r="F28" s="82">
        <f t="shared" si="7"/>
        <v>0</v>
      </c>
      <c r="G28" s="82">
        <f t="shared" si="7"/>
        <v>0</v>
      </c>
    </row>
    <row r="29" spans="1:7" ht="13" x14ac:dyDescent="0.3">
      <c r="A29" s="175" t="s">
        <v>374</v>
      </c>
      <c r="B29" s="82">
        <f>+'Apertura financiera'!B53</f>
        <v>1026168</v>
      </c>
      <c r="C29" s="82">
        <f>+'Apertura financiera'!B65</f>
        <v>710424</v>
      </c>
      <c r="D29" s="82">
        <f>+'Apertura financiera'!B77</f>
        <v>394680</v>
      </c>
      <c r="E29" s="82">
        <f>+'Apertura financiera'!B89</f>
        <v>78936</v>
      </c>
      <c r="F29" s="82">
        <v>0</v>
      </c>
      <c r="G29" s="83">
        <v>0</v>
      </c>
    </row>
    <row r="30" spans="1:7" ht="13" x14ac:dyDescent="0.3">
      <c r="A30" s="175" t="s">
        <v>376</v>
      </c>
      <c r="B30" s="82">
        <f>B28+B25</f>
        <v>2139076.300106368</v>
      </c>
      <c r="C30" s="82">
        <f t="shared" ref="C30:G30" si="8">C28+C25</f>
        <v>1594328.6002127356</v>
      </c>
      <c r="D30" s="82">
        <f t="shared" si="8"/>
        <v>962840.60021273559</v>
      </c>
      <c r="E30" s="82">
        <f t="shared" si="8"/>
        <v>331352.60021273559</v>
      </c>
      <c r="F30" s="82">
        <f t="shared" si="8"/>
        <v>173480.60021273556</v>
      </c>
      <c r="G30" s="83">
        <f t="shared" si="8"/>
        <v>86740.30010636778</v>
      </c>
    </row>
    <row r="31" spans="1:7" ht="13" x14ac:dyDescent="0.3">
      <c r="A31" s="175" t="s">
        <v>377</v>
      </c>
      <c r="B31" s="82">
        <f>+SUM(B32:B34)</f>
        <v>14783625.906692818</v>
      </c>
      <c r="C31" s="82">
        <f t="shared" ref="C31:G31" si="9">+SUM(C32:C34)</f>
        <v>19624488.681912519</v>
      </c>
      <c r="D31" s="82">
        <f t="shared" si="9"/>
        <v>24258314.695089761</v>
      </c>
      <c r="E31" s="82">
        <f t="shared" si="9"/>
        <v>28963390.641700424</v>
      </c>
      <c r="F31" s="82">
        <f t="shared" si="9"/>
        <v>33839536.841788523</v>
      </c>
      <c r="G31" s="82">
        <f t="shared" si="9"/>
        <v>38769629.809629776</v>
      </c>
    </row>
    <row r="32" spans="1:7" ht="13" x14ac:dyDescent="0.3">
      <c r="A32" s="175" t="s">
        <v>378</v>
      </c>
      <c r="B32" s="82">
        <f>+'F-2 Estructura'!B31</f>
        <v>14783625.906692818</v>
      </c>
      <c r="C32" s="82">
        <f>+'F-2 Estructura'!$B$31+'F-2 Estructura'!$C$31</f>
        <v>15823547.728971461</v>
      </c>
      <c r="D32" s="82">
        <f>+'F-2 Estructura'!$B$31+'F-2 Estructura'!$C$31</f>
        <v>15823547.728971461</v>
      </c>
      <c r="E32" s="82">
        <f>+'F-2 Estructura'!$B$31+'F-2 Estructura'!$C$31</f>
        <v>15823547.728971461</v>
      </c>
      <c r="F32" s="82">
        <f>+'F-2 Estructura'!$B$31+'F-2 Estructura'!$C$31</f>
        <v>15823547.728971461</v>
      </c>
      <c r="G32" s="82">
        <f>+'F-2 Estructura'!$B$31+'F-2 Estructura'!$C$31</f>
        <v>15823547.728971461</v>
      </c>
    </row>
    <row r="33" spans="1:7" ht="13" x14ac:dyDescent="0.3">
      <c r="A33" s="175" t="s">
        <v>379</v>
      </c>
      <c r="B33" s="82">
        <v>0</v>
      </c>
      <c r="C33" s="82">
        <f>+'F-CRes'!B14</f>
        <v>3800940.9529410587</v>
      </c>
      <c r="D33" s="82">
        <f>+'F-CRes'!C14</f>
        <v>4633826.0131772412</v>
      </c>
      <c r="E33" s="82">
        <f>+'F-CRes'!D14</f>
        <v>4705075.9466106659</v>
      </c>
      <c r="F33" s="82">
        <f>+'F-CRes'!E14</f>
        <v>4876146.2000880968</v>
      </c>
      <c r="G33" s="82">
        <f>+'F-CRes'!F14</f>
        <v>4930092.9678412508</v>
      </c>
    </row>
    <row r="34" spans="1:7" ht="13" x14ac:dyDescent="0.3">
      <c r="A34" s="175" t="s">
        <v>380</v>
      </c>
      <c r="B34" s="82">
        <v>0</v>
      </c>
      <c r="C34" s="82">
        <v>0</v>
      </c>
      <c r="D34" s="82">
        <f>C33</f>
        <v>3800940.9529410587</v>
      </c>
      <c r="E34" s="82">
        <f>D33+D34</f>
        <v>8434766.9661183003</v>
      </c>
      <c r="F34" s="82">
        <f t="shared" ref="F34:G34" si="10">E33+E34</f>
        <v>13139842.912728965</v>
      </c>
      <c r="G34" s="82">
        <f t="shared" si="10"/>
        <v>18015989.112817064</v>
      </c>
    </row>
    <row r="35" spans="1:7" ht="13" x14ac:dyDescent="0.3">
      <c r="A35" s="177" t="s">
        <v>381</v>
      </c>
      <c r="B35" s="493">
        <f>B30+B31</f>
        <v>16922702.206799187</v>
      </c>
      <c r="C35" s="493">
        <f t="shared" ref="C35:G35" si="11">C30+C31</f>
        <v>21218817.282125253</v>
      </c>
      <c r="D35" s="493">
        <f t="shared" si="11"/>
        <v>25221155.295302495</v>
      </c>
      <c r="E35" s="493">
        <f t="shared" si="11"/>
        <v>29294743.241913158</v>
      </c>
      <c r="F35" s="493">
        <f t="shared" si="11"/>
        <v>34013017.442001261</v>
      </c>
      <c r="G35" s="493">
        <f t="shared" si="11"/>
        <v>38856370.109736145</v>
      </c>
    </row>
    <row r="38" spans="1:7" ht="13" x14ac:dyDescent="0.3">
      <c r="A38" s="205" t="s">
        <v>382</v>
      </c>
      <c r="B38" s="140" t="str">
        <f t="shared" ref="B38:G38" si="12">IF(B24=B35,"OK","MAL")</f>
        <v>MAL</v>
      </c>
      <c r="C38" s="140" t="str">
        <f t="shared" si="12"/>
        <v>MAL</v>
      </c>
      <c r="D38" s="140" t="str">
        <f t="shared" si="12"/>
        <v>MAL</v>
      </c>
      <c r="E38" s="140" t="str">
        <f t="shared" si="12"/>
        <v>MAL</v>
      </c>
      <c r="F38" s="140" t="str">
        <f t="shared" si="12"/>
        <v>MAL</v>
      </c>
      <c r="G38" s="140" t="str">
        <f t="shared" si="12"/>
        <v>MAL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36"/>
  <sheetViews>
    <sheetView tabSelected="1" topLeftCell="B19" zoomScale="90" zoomScaleNormal="90" workbookViewId="0">
      <selection activeCell="E25" sqref="E25"/>
    </sheetView>
  </sheetViews>
  <sheetFormatPr baseColWidth="10" defaultColWidth="11.453125" defaultRowHeight="12.5" x14ac:dyDescent="0.25"/>
  <cols>
    <col min="1" max="1" width="7.81640625" style="161" customWidth="1"/>
    <col min="2" max="2" width="16.453125" style="161" bestFit="1" customWidth="1"/>
    <col min="3" max="3" width="15.81640625" style="161" customWidth="1"/>
    <col min="4" max="4" width="16" style="161" bestFit="1" customWidth="1"/>
    <col min="5" max="5" width="22.453125" style="161" bestFit="1" customWidth="1"/>
    <col min="6" max="6" width="15.81640625" style="161" customWidth="1"/>
    <col min="7" max="7" width="16.7265625" style="161" bestFit="1" customWidth="1"/>
    <col min="8" max="8" width="17.453125" style="161" bestFit="1" customWidth="1"/>
    <col min="9" max="9" width="14.81640625" style="161" customWidth="1"/>
    <col min="10" max="10" width="17.453125" style="161" customWidth="1"/>
    <col min="11" max="11" width="14.81640625" style="161" customWidth="1"/>
    <col min="12" max="12" width="16.54296875" style="161" customWidth="1"/>
    <col min="13" max="13" width="18.453125" style="161" customWidth="1"/>
    <col min="14" max="15" width="17.453125" style="161" customWidth="1"/>
    <col min="16" max="16384" width="11.453125" style="161"/>
  </cols>
  <sheetData>
    <row r="1" spans="1:14" ht="13" x14ac:dyDescent="0.3">
      <c r="A1" s="1" t="s">
        <v>0</v>
      </c>
      <c r="B1"/>
      <c r="C1"/>
      <c r="D1"/>
      <c r="G1" s="2">
        <f>InfoInicial!E1</f>
        <v>8</v>
      </c>
    </row>
    <row r="3" spans="1:14" ht="15.5" x14ac:dyDescent="0.35">
      <c r="A3" s="162" t="s">
        <v>383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26" x14ac:dyDescent="0.3">
      <c r="A4" s="182" t="s">
        <v>238</v>
      </c>
      <c r="B4" s="183" t="s">
        <v>342</v>
      </c>
      <c r="C4" s="183" t="s">
        <v>384</v>
      </c>
      <c r="D4" s="183" t="s">
        <v>241</v>
      </c>
      <c r="E4" s="183" t="s">
        <v>5</v>
      </c>
      <c r="F4" s="183" t="s">
        <v>242</v>
      </c>
      <c r="G4" s="183" t="s">
        <v>243</v>
      </c>
      <c r="H4" s="183" t="s">
        <v>385</v>
      </c>
      <c r="I4" s="183" t="s">
        <v>386</v>
      </c>
      <c r="J4" s="183" t="s">
        <v>102</v>
      </c>
      <c r="K4" s="183" t="s">
        <v>245</v>
      </c>
      <c r="L4" s="183" t="s">
        <v>246</v>
      </c>
      <c r="M4" s="206" t="s">
        <v>247</v>
      </c>
      <c r="N4" s="207" t="s">
        <v>248</v>
      </c>
    </row>
    <row r="5" spans="1:14" ht="13" x14ac:dyDescent="0.3">
      <c r="A5" s="208">
        <v>0</v>
      </c>
      <c r="B5" s="130">
        <f>+'F-2 Estructura'!B8</f>
        <v>12814700.650444735</v>
      </c>
      <c r="C5" s="60">
        <f>+'F- CFyU'!B15</f>
        <v>545295.90054106526</v>
      </c>
      <c r="D5" s="60">
        <f>+'F-IVA'!B17</f>
        <v>2765541.3557070182</v>
      </c>
      <c r="E5" s="60"/>
      <c r="F5" s="60"/>
      <c r="G5" s="60">
        <f>+SUM(B5:F5)</f>
        <v>16125537.906692818</v>
      </c>
      <c r="H5" s="60"/>
      <c r="I5" s="60">
        <f>+'F-Cred'!G15+'F-Cred'!I15</f>
        <v>395390.424</v>
      </c>
      <c r="J5" s="60"/>
      <c r="K5" s="60"/>
      <c r="L5" s="60">
        <f>+SUM(H5:K5)</f>
        <v>395390.424</v>
      </c>
      <c r="M5" s="131">
        <f>+L5-G5</f>
        <v>-15730147.482692817</v>
      </c>
      <c r="N5" s="61">
        <f>+M5</f>
        <v>-15730147.482692817</v>
      </c>
    </row>
    <row r="6" spans="1:14" ht="13" x14ac:dyDescent="0.3">
      <c r="A6" s="209">
        <v>1</v>
      </c>
      <c r="B6" s="121">
        <f>+'F-2 Estructura'!C8</f>
        <v>87468.89206762785</v>
      </c>
      <c r="C6" s="62">
        <f>+'F- CFyU'!C15</f>
        <v>1339055.5948372094</v>
      </c>
      <c r="D6" s="62">
        <f>+'F-IVA'!C17</f>
        <v>127457.826569119</v>
      </c>
      <c r="E6" s="62">
        <f>+'F-CRes'!B12</f>
        <v>713086.71359988686</v>
      </c>
      <c r="F6" s="62">
        <f>+'F-CRes'!B13</f>
        <v>2046660.5131221083</v>
      </c>
      <c r="G6" s="60">
        <f t="shared" ref="G6:G10" si="0">+SUM(B6:F6)</f>
        <v>4313729.5401959512</v>
      </c>
      <c r="H6" s="62">
        <f>+'F-CRes'!B11</f>
        <v>6560688.1796630537</v>
      </c>
      <c r="I6" s="62">
        <f>+'F-Cred'!G23+'F-Cred'!I23</f>
        <v>421042.54033581523</v>
      </c>
      <c r="J6" s="62">
        <f>+'F- CFyU'!C25</f>
        <v>807689.74156913906</v>
      </c>
      <c r="K6" s="62">
        <f>+'F-IVA'!C19</f>
        <v>1884193.5710479792</v>
      </c>
      <c r="L6" s="60">
        <f t="shared" ref="L6:L10" si="1">+SUM(H6:K6)</f>
        <v>9673614.0326159876</v>
      </c>
      <c r="M6" s="131">
        <f t="shared" ref="M6:M10" si="2">+L6-G6</f>
        <v>5359884.4924200363</v>
      </c>
      <c r="N6" s="63">
        <f>+M6+N5</f>
        <v>-10370262.990272781</v>
      </c>
    </row>
    <row r="7" spans="1:14" ht="13" x14ac:dyDescent="0.3">
      <c r="A7" s="209">
        <v>2</v>
      </c>
      <c r="B7" s="121"/>
      <c r="C7" s="62">
        <f>+'F- CFyU'!D15</f>
        <v>60519.752485157689</v>
      </c>
      <c r="D7" s="62">
        <f>+'F-IVA'!D17</f>
        <v>114309.90725680024</v>
      </c>
      <c r="E7" s="62">
        <f>+'F-CRes'!C12</f>
        <v>843406.1770963762</v>
      </c>
      <c r="F7" s="62">
        <f>+'F-CRes'!C13</f>
        <v>2495137.0840185145</v>
      </c>
      <c r="G7" s="60">
        <f t="shared" si="0"/>
        <v>3513372.9208568484</v>
      </c>
      <c r="H7" s="62">
        <f>+'F-CRes'!C11</f>
        <v>7972369.2742921319</v>
      </c>
      <c r="I7" s="62">
        <f>+'F-Cred'!G25+'F-Cred'!I25</f>
        <v>312556.08067163045</v>
      </c>
      <c r="J7" s="62">
        <f>+'F- CFyU'!D25</f>
        <v>807689.74156913906</v>
      </c>
      <c r="K7" s="62">
        <f>+'F-IVA'!D19</f>
        <v>1123115.5184849582</v>
      </c>
      <c r="L7" s="60">
        <f t="shared" si="1"/>
        <v>10215730.615017859</v>
      </c>
      <c r="M7" s="131">
        <f t="shared" si="2"/>
        <v>6702357.6941610109</v>
      </c>
      <c r="N7" s="63">
        <f t="shared" ref="N7:N10" si="3">+M7+N6</f>
        <v>-3667905.29611177</v>
      </c>
    </row>
    <row r="8" spans="1:14" ht="13" x14ac:dyDescent="0.3">
      <c r="A8" s="209">
        <v>3</v>
      </c>
      <c r="B8" s="121"/>
      <c r="C8" s="62">
        <f>+'F- CFyU'!E15</f>
        <v>-11.063531538005918</v>
      </c>
      <c r="D8" s="62">
        <f>+'F-IVA'!E17</f>
        <v>114307.5839151773</v>
      </c>
      <c r="E8" s="62">
        <f>+'F-CRes'!D12</f>
        <v>843306.71956362843</v>
      </c>
      <c r="F8" s="62">
        <f>+'F-CRes'!D13</f>
        <v>2533502.4327903586</v>
      </c>
      <c r="G8" s="60">
        <f t="shared" si="0"/>
        <v>3491105.6727376264</v>
      </c>
      <c r="H8" s="62">
        <f>+'F-CRes'!D11</f>
        <v>8081885.098964653</v>
      </c>
      <c r="I8" s="62">
        <f>+'F-Cred'!G27+'F-Cred'!I27</f>
        <v>202045.68067163049</v>
      </c>
      <c r="J8" s="62">
        <f>+'F- CFyU'!E25</f>
        <v>807689.74156913906</v>
      </c>
      <c r="K8" s="62">
        <f>+'F-IVA'!E19</f>
        <v>114307.5839151773</v>
      </c>
      <c r="L8" s="60">
        <f t="shared" si="1"/>
        <v>9205928.1051205993</v>
      </c>
      <c r="M8" s="131">
        <f t="shared" si="2"/>
        <v>5714822.4323829729</v>
      </c>
      <c r="N8" s="63">
        <f t="shared" si="3"/>
        <v>2046917.1362712029</v>
      </c>
    </row>
    <row r="9" spans="1:14" ht="13" x14ac:dyDescent="0.3">
      <c r="A9" s="209">
        <v>4</v>
      </c>
      <c r="B9" s="121"/>
      <c r="C9" s="62">
        <f>+'F- CFyU'!F15</f>
        <v>-135.45835828455165</v>
      </c>
      <c r="D9" s="62">
        <f>+'F-IVA'!F17</f>
        <v>114279.13765993755</v>
      </c>
      <c r="E9" s="62">
        <f>+'F-CRes'!E12</f>
        <v>843699.85171361663</v>
      </c>
      <c r="F9" s="62">
        <f>+'F-CRes'!E13</f>
        <v>2625617.1846628208</v>
      </c>
      <c r="G9" s="60">
        <f t="shared" si="0"/>
        <v>3583460.7156780902</v>
      </c>
      <c r="H9" s="62">
        <f>+'F-CRes'!E11</f>
        <v>8345463.236464534</v>
      </c>
      <c r="I9" s="62">
        <f>+'F-Cred'!G29+'F-Cred'!I29</f>
        <v>91535.280671630491</v>
      </c>
      <c r="J9" s="62">
        <f>+'F- CFyU'!F25</f>
        <v>654772.65890247247</v>
      </c>
      <c r="K9" s="62">
        <f>+'F-IVA'!F19</f>
        <v>114279.13765993755</v>
      </c>
      <c r="L9" s="60">
        <f t="shared" si="1"/>
        <v>9206050.313698573</v>
      </c>
      <c r="M9" s="131">
        <f t="shared" si="2"/>
        <v>5622589.5980204828</v>
      </c>
      <c r="N9" s="63">
        <f t="shared" si="3"/>
        <v>7669506.7342916857</v>
      </c>
    </row>
    <row r="10" spans="1:14" ht="13" x14ac:dyDescent="0.3">
      <c r="A10" s="209">
        <v>5</v>
      </c>
      <c r="B10" s="121">
        <f>-'E-Inv AF y Am'!G56</f>
        <v>-9169555</v>
      </c>
      <c r="C10" s="62">
        <f>-'E-InvAT'!G15+'F- CFyU'!G15</f>
        <v>-1944724.7259736098</v>
      </c>
      <c r="D10" s="62">
        <f>+'F-IVA'!G17</f>
        <v>114279.06240621736</v>
      </c>
      <c r="E10" s="62">
        <f>+'F-CRes'!F12</f>
        <v>843712.32141501049</v>
      </c>
      <c r="F10" s="62">
        <f>+'F-CRes'!F13</f>
        <v>2654665.4442222118</v>
      </c>
      <c r="G10" s="60">
        <f t="shared" si="0"/>
        <v>-7501622.8979301695</v>
      </c>
      <c r="H10" s="62">
        <f>+'F-CRes'!F11</f>
        <v>8428470.7334784735</v>
      </c>
      <c r="I10" s="62">
        <f>+'F-Cred'!G31+'F-Cred'!I31</f>
        <v>8652.4806716304956</v>
      </c>
      <c r="J10" s="62">
        <f>+'F- CFyU'!G25</f>
        <v>654772.65890247247</v>
      </c>
      <c r="K10" s="62">
        <f>+'F-IVA'!G19</f>
        <v>114279.06240621736</v>
      </c>
      <c r="L10" s="60">
        <f t="shared" si="1"/>
        <v>9206174.9354587942</v>
      </c>
      <c r="M10" s="131">
        <f t="shared" si="2"/>
        <v>16707797.833388964</v>
      </c>
      <c r="N10" s="63">
        <f t="shared" si="3"/>
        <v>24377304.567680649</v>
      </c>
    </row>
    <row r="11" spans="1:14" ht="13" x14ac:dyDescent="0.3">
      <c r="A11" s="209"/>
      <c r="B11" s="12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111"/>
      <c r="N11" s="83"/>
    </row>
    <row r="12" spans="1:14" ht="13" x14ac:dyDescent="0.3">
      <c r="A12" s="210" t="s">
        <v>249</v>
      </c>
      <c r="B12" s="126">
        <f>+SUM(B5:B10)</f>
        <v>3732614.5425123628</v>
      </c>
      <c r="C12" s="126">
        <f>+SUM(C5:C10)</f>
        <v>0</v>
      </c>
      <c r="D12" s="126">
        <f>+SUM(D5:D10)</f>
        <v>3350174.8735142695</v>
      </c>
      <c r="E12" s="126">
        <f>+SUM(E5:E10)</f>
        <v>4087211.7833885183</v>
      </c>
      <c r="F12" s="126">
        <f t="shared" ref="F12:M12" si="4">+SUM(F5:F10)</f>
        <v>12355582.658816013</v>
      </c>
      <c r="G12" s="126">
        <f t="shared" si="4"/>
        <v>23525583.858231165</v>
      </c>
      <c r="H12" s="126">
        <f t="shared" si="4"/>
        <v>39388876.522862844</v>
      </c>
      <c r="I12" s="126">
        <f t="shared" si="4"/>
        <v>1431222.4870223373</v>
      </c>
      <c r="J12" s="126">
        <f t="shared" si="4"/>
        <v>3732614.5425123619</v>
      </c>
      <c r="K12" s="126">
        <f t="shared" si="4"/>
        <v>3350174.8735142695</v>
      </c>
      <c r="L12" s="126">
        <f t="shared" si="4"/>
        <v>47902888.425911814</v>
      </c>
      <c r="M12" s="126">
        <f t="shared" si="4"/>
        <v>24377304.567680649</v>
      </c>
      <c r="N12" s="69"/>
    </row>
    <row r="14" spans="1:14" x14ac:dyDescent="0.25">
      <c r="C14" s="211" t="s">
        <v>250</v>
      </c>
      <c r="D14" s="135">
        <f>+H12+I12-E12-F12</f>
        <v>24377304.567680653</v>
      </c>
    </row>
    <row r="15" spans="1:14" ht="13" x14ac:dyDescent="0.3">
      <c r="A15" s="169"/>
      <c r="C15" s="211" t="s">
        <v>251</v>
      </c>
      <c r="D15" s="136">
        <f>3-N7/M8</f>
        <v>3.6418231431527301</v>
      </c>
      <c r="E15" s="161" t="s">
        <v>252</v>
      </c>
      <c r="J15"/>
      <c r="K15"/>
    </row>
    <row r="16" spans="1:14" ht="13" x14ac:dyDescent="0.25">
      <c r="C16" s="211" t="s">
        <v>387</v>
      </c>
      <c r="D16" s="137">
        <f>+IRR(M5:M10)</f>
        <v>0.3396608203721172</v>
      </c>
      <c r="J16" s="212"/>
      <c r="K16" s="212"/>
    </row>
    <row r="17" spans="1:15" x14ac:dyDescent="0.25">
      <c r="C17" s="211"/>
      <c r="D17" s="137"/>
      <c r="J17" s="213"/>
      <c r="K17" s="214"/>
    </row>
    <row r="18" spans="1:15" x14ac:dyDescent="0.25">
      <c r="A18" s="215"/>
      <c r="B18" s="216"/>
      <c r="C18" s="216"/>
      <c r="D18" s="216"/>
      <c r="E18" s="217"/>
      <c r="F18" s="218"/>
      <c r="G18" s="218"/>
      <c r="H18" s="218"/>
      <c r="I18" s="218"/>
      <c r="J18" s="213"/>
      <c r="K18" s="219"/>
      <c r="L18" s="218"/>
      <c r="M18" s="218"/>
      <c r="N18" s="218"/>
      <c r="O18" s="216"/>
    </row>
    <row r="19" spans="1:15" ht="15.5" x14ac:dyDescent="0.35">
      <c r="A19" s="220"/>
      <c r="B19" s="218"/>
      <c r="C19" s="221"/>
      <c r="D19" s="218"/>
      <c r="E19" s="222"/>
      <c r="F19" s="218"/>
      <c r="G19" s="218"/>
      <c r="H19" s="218"/>
      <c r="I19" s="218"/>
      <c r="J19" s="213"/>
      <c r="K19" s="214"/>
      <c r="L19" s="218"/>
      <c r="M19" s="218"/>
      <c r="N19" s="218"/>
    </row>
    <row r="20" spans="1:15" x14ac:dyDescent="0.25">
      <c r="J20" s="213"/>
      <c r="K20" s="214"/>
    </row>
    <row r="21" spans="1:15" ht="13" x14ac:dyDescent="0.3">
      <c r="A21" s="223"/>
      <c r="J21" s="224"/>
      <c r="K21" s="214"/>
    </row>
    <row r="22" spans="1:15" ht="15.5" x14ac:dyDescent="0.35">
      <c r="A22" s="162" t="s">
        <v>388</v>
      </c>
      <c r="B22" s="163"/>
      <c r="C22" s="163"/>
      <c r="D22" s="163"/>
      <c r="E22" s="163"/>
      <c r="F22" s="163"/>
      <c r="G22" s="163"/>
      <c r="H22" s="164"/>
      <c r="J22"/>
      <c r="K22"/>
    </row>
    <row r="23" spans="1:15" ht="26" x14ac:dyDescent="0.3">
      <c r="A23" s="182" t="s">
        <v>238</v>
      </c>
      <c r="B23" s="183" t="s">
        <v>389</v>
      </c>
      <c r="C23" s="183" t="s">
        <v>243</v>
      </c>
      <c r="D23" s="183" t="s">
        <v>347</v>
      </c>
      <c r="E23" s="183" t="s">
        <v>390</v>
      </c>
      <c r="F23" s="183" t="s">
        <v>246</v>
      </c>
      <c r="G23" s="206" t="s">
        <v>247</v>
      </c>
      <c r="H23" s="207" t="s">
        <v>248</v>
      </c>
      <c r="K23" s="521" t="s">
        <v>254</v>
      </c>
      <c r="L23" s="521"/>
    </row>
    <row r="24" spans="1:15" ht="13" x14ac:dyDescent="0.3">
      <c r="A24" s="208">
        <v>0</v>
      </c>
      <c r="B24" s="130">
        <f>'F-2 Estructura'!B31</f>
        <v>14783625.906692818</v>
      </c>
      <c r="C24" s="60">
        <f>B24</f>
        <v>14783625.906692818</v>
      </c>
      <c r="D24" s="60">
        <v>0</v>
      </c>
      <c r="E24" s="60">
        <f>'F- CFyU'!B28</f>
        <v>0</v>
      </c>
      <c r="F24" s="60">
        <f>SUM(D24:E24)</f>
        <v>0</v>
      </c>
      <c r="G24" s="131">
        <f>F24-C24</f>
        <v>-14783625.906692818</v>
      </c>
      <c r="H24" s="61">
        <f>G24</f>
        <v>-14783625.906692818</v>
      </c>
      <c r="K24" s="530" t="s">
        <v>255</v>
      </c>
      <c r="L24" s="530"/>
    </row>
    <row r="25" spans="1:15" ht="13" x14ac:dyDescent="0.3">
      <c r="A25" s="209">
        <v>1</v>
      </c>
      <c r="B25" s="121">
        <f>'F-2 Estructura'!C31</f>
        <v>1039921.8222786423</v>
      </c>
      <c r="C25" s="62">
        <f>B25</f>
        <v>1039921.8222786423</v>
      </c>
      <c r="D25" s="62">
        <v>0</v>
      </c>
      <c r="E25" s="60">
        <f>'F- CFyU'!C28</f>
        <v>5749760.0744692292</v>
      </c>
      <c r="F25" s="60">
        <f t="shared" ref="F25:F29" si="5">SUM(D25:E25)</f>
        <v>5749760.0744692292</v>
      </c>
      <c r="G25" s="131">
        <f t="shared" ref="G25:G28" si="6">F25-C25</f>
        <v>4709838.2521905871</v>
      </c>
      <c r="H25" s="63">
        <f>G25+H24</f>
        <v>-10073787.654502232</v>
      </c>
      <c r="K25" s="139" t="s">
        <v>102</v>
      </c>
      <c r="L25" s="140" t="str">
        <f>IF(B12=J12,"OK","MAL")</f>
        <v>OK</v>
      </c>
    </row>
    <row r="26" spans="1:15" ht="13" x14ac:dyDescent="0.3">
      <c r="A26" s="209">
        <v>2</v>
      </c>
      <c r="B26" s="121">
        <v>0</v>
      </c>
      <c r="C26" s="62">
        <v>0</v>
      </c>
      <c r="D26" s="62">
        <v>0</v>
      </c>
      <c r="E26" s="60">
        <f>'F- CFyU'!D28</f>
        <v>6074057.6134893801</v>
      </c>
      <c r="F26" s="60">
        <f t="shared" si="5"/>
        <v>6074057.6134893801</v>
      </c>
      <c r="G26" s="131">
        <f t="shared" si="6"/>
        <v>6074057.6134893801</v>
      </c>
      <c r="H26" s="63">
        <f>G26+H25</f>
        <v>-3999730.0410128515</v>
      </c>
      <c r="J26"/>
      <c r="K26" s="139" t="s">
        <v>256</v>
      </c>
      <c r="L26" s="140" t="str">
        <f>IF(D12=K12,"OK","MAL")</f>
        <v>OK</v>
      </c>
    </row>
    <row r="27" spans="1:15" ht="13" x14ac:dyDescent="0.3">
      <c r="A27" s="209">
        <v>3</v>
      </c>
      <c r="B27" s="121">
        <v>0</v>
      </c>
      <c r="C27" s="62">
        <v>0</v>
      </c>
      <c r="D27" s="62">
        <v>0</v>
      </c>
      <c r="E27" s="60">
        <f>'F- CFyU'!E28</f>
        <v>5197032.7517113425</v>
      </c>
      <c r="F27" s="60">
        <f t="shared" si="5"/>
        <v>5197032.7517113425</v>
      </c>
      <c r="G27" s="131">
        <f t="shared" si="6"/>
        <v>5197032.7517113425</v>
      </c>
      <c r="H27" s="63">
        <f>G27+H26</f>
        <v>1197302.710698491</v>
      </c>
      <c r="J27"/>
      <c r="K27" s="139" t="s">
        <v>257</v>
      </c>
      <c r="L27" s="140" t="str">
        <f>IF(C12=0,"OK","MAL")</f>
        <v>OK</v>
      </c>
    </row>
    <row r="28" spans="1:15" ht="13" x14ac:dyDescent="0.3">
      <c r="A28" s="209">
        <v>4</v>
      </c>
      <c r="B28" s="121">
        <v>0</v>
      </c>
      <c r="C28" s="62">
        <v>0</v>
      </c>
      <c r="D28" s="62">
        <v>0</v>
      </c>
      <c r="E28" s="60">
        <f>'F- CFyU'!F28</f>
        <v>5215310.3173488565</v>
      </c>
      <c r="F28" s="60">
        <f t="shared" si="5"/>
        <v>5215310.3173488565</v>
      </c>
      <c r="G28" s="131">
        <f t="shared" si="6"/>
        <v>5215310.3173488565</v>
      </c>
      <c r="H28" s="63">
        <f>G28+H27</f>
        <v>6412613.0280473474</v>
      </c>
      <c r="J28"/>
      <c r="K28" s="139" t="s">
        <v>258</v>
      </c>
      <c r="L28" s="140" t="str">
        <f>IF((H12-F12-E12+I12)=M12,IF(M12=N10,"OK","MAL"),"MAL")</f>
        <v>OK</v>
      </c>
    </row>
    <row r="29" spans="1:15" ht="13" x14ac:dyDescent="0.3">
      <c r="A29" s="209">
        <v>5</v>
      </c>
      <c r="B29" s="121">
        <f>B10+C10+'F- CFyU'!C8</f>
        <v>-11027539.425867243</v>
      </c>
      <c r="C29" s="62">
        <f>B29</f>
        <v>-11027539.425867243</v>
      </c>
      <c r="D29" s="62">
        <v>0</v>
      </c>
      <c r="E29" s="60">
        <f>'F- CFyU'!G28</f>
        <v>5505929.9850947745</v>
      </c>
      <c r="F29" s="60">
        <f t="shared" si="5"/>
        <v>5505929.9850947745</v>
      </c>
      <c r="G29" s="131">
        <f>F29-C29</f>
        <v>16533469.410962017</v>
      </c>
      <c r="H29" s="63">
        <f>G29+H28</f>
        <v>22946082.439009365</v>
      </c>
      <c r="J29"/>
      <c r="K29" s="530" t="s">
        <v>391</v>
      </c>
      <c r="L29" s="530"/>
    </row>
    <row r="30" spans="1:15" ht="13" x14ac:dyDescent="0.3">
      <c r="A30" s="209"/>
      <c r="B30" s="123"/>
      <c r="C30" s="82"/>
      <c r="D30" s="82"/>
      <c r="E30" s="82"/>
      <c r="F30" s="82"/>
      <c r="G30" s="111"/>
      <c r="H30" s="83"/>
      <c r="J30"/>
      <c r="K30" s="139" t="s">
        <v>392</v>
      </c>
      <c r="L30" s="140" t="str">
        <f>IF((H12-E12-F12)=G31,"OK","MAL")</f>
        <v>MAL</v>
      </c>
    </row>
    <row r="31" spans="1:15" ht="13" x14ac:dyDescent="0.3">
      <c r="A31" s="210" t="s">
        <v>249</v>
      </c>
      <c r="B31" s="126">
        <f>SUM(B24:B29)</f>
        <v>4796008.3031042181</v>
      </c>
      <c r="C31" s="126">
        <f t="shared" ref="C31:H31" si="7">SUM(C24:C29)</f>
        <v>4796008.3031042181</v>
      </c>
      <c r="D31" s="126">
        <f>SUM(D24:D30)</f>
        <v>0</v>
      </c>
      <c r="E31" s="126">
        <f t="shared" si="7"/>
        <v>27742090.742113583</v>
      </c>
      <c r="F31" s="126">
        <f t="shared" si="7"/>
        <v>27742090.742113583</v>
      </c>
      <c r="G31" s="126">
        <f t="shared" si="7"/>
        <v>22946082.439009365</v>
      </c>
      <c r="H31" s="126">
        <f t="shared" si="7"/>
        <v>1698854.575547304</v>
      </c>
      <c r="K31" s="139" t="s">
        <v>393</v>
      </c>
      <c r="L31" s="140" t="str">
        <f>IF(('F- CFyU'!H28-'F- CFyU'!H7-'F- CFyU'!H8+'F- CFyU'!H14-'F- CFyU'!H25+'F- CFyU'!H15)='F- Form'!G31,"OK","MAL")</f>
        <v>MAL</v>
      </c>
    </row>
    <row r="32" spans="1:15" ht="13" x14ac:dyDescent="0.3">
      <c r="K32" s="139" t="s">
        <v>394</v>
      </c>
      <c r="L32" s="140" t="str">
        <f>IF('F-CRes'!G14=G31,"OK","MAL")</f>
        <v>MAL</v>
      </c>
    </row>
    <row r="33" spans="3:12" ht="13" x14ac:dyDescent="0.3">
      <c r="K33" s="139" t="s">
        <v>395</v>
      </c>
      <c r="L33" s="140" t="str">
        <f>IF(('F-Balance'!G33+'F-Balance'!G34)='F- Form'!G31,"OK","MAL")</f>
        <v>MAL</v>
      </c>
    </row>
    <row r="34" spans="3:12" ht="13" x14ac:dyDescent="0.3">
      <c r="C34" s="211" t="s">
        <v>250</v>
      </c>
      <c r="D34" s="135">
        <f>G31</f>
        <v>22946082.439009365</v>
      </c>
      <c r="E34" s="161" t="s">
        <v>396</v>
      </c>
      <c r="K34" s="139" t="s">
        <v>397</v>
      </c>
      <c r="L34" s="140" t="str">
        <f>IF(('F- CFyU'!H10-'F- CFyU'!H16-'F- CFyU'!H19-'F- CFyU'!H17)=G31,"OK","MAL")</f>
        <v>MAL</v>
      </c>
    </row>
    <row r="35" spans="3:12" ht="13" x14ac:dyDescent="0.3">
      <c r="C35" s="211" t="s">
        <v>251</v>
      </c>
      <c r="D35" s="136">
        <f>3-H26/G27</f>
        <v>3.7696180170686384</v>
      </c>
      <c r="E35" s="161" t="s">
        <v>398</v>
      </c>
      <c r="K35" s="530" t="s">
        <v>399</v>
      </c>
      <c r="L35" s="530"/>
    </row>
    <row r="36" spans="3:12" ht="13" x14ac:dyDescent="0.3">
      <c r="C36" s="211" t="s">
        <v>400</v>
      </c>
      <c r="D36" s="137">
        <f>IRR(G24:G29)</f>
        <v>0.33122623070053647</v>
      </c>
      <c r="K36" s="139" t="s">
        <v>401</v>
      </c>
      <c r="L36" s="140" t="str">
        <f>IF(SUM('F-Balance'!B35:G35)=SUM('F-Balance'!B24:G24),"OK","MAL")</f>
        <v>MAL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Apertura financiera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</dc:creator>
  <cp:lastModifiedBy>Alejandra</cp:lastModifiedBy>
  <dcterms:created xsi:type="dcterms:W3CDTF">2018-09-18T20:43:04Z</dcterms:created>
  <dcterms:modified xsi:type="dcterms:W3CDTF">2018-11-02T04:58:26Z</dcterms:modified>
</cp:coreProperties>
</file>