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 tabRatio="994" activeTab="2"/>
  </bookViews>
  <sheets>
    <sheet name="InfoInicial" sheetId="1" r:id="rId1"/>
    <sheet name="E-Inv AF y Am" sheetId="2" r:id="rId2"/>
    <sheet name="E-Costos" sheetId="3" r:id="rId3"/>
    <sheet name="punto de equilibrio" sheetId="20" r:id="rId4"/>
    <sheet name="E-InvAT" sheetId="4" r:id="rId5"/>
    <sheet name="E-Cal Inv." sheetId="5" r:id="rId6"/>
    <sheet name="E-IVA " sheetId="6" r:id="rId7"/>
    <sheet name="E-Form" sheetId="7" r:id="rId8"/>
    <sheet name="F-Cred" sheetId="8" r:id="rId9"/>
    <sheet name="F-CRes" sheetId="9" r:id="rId10"/>
    <sheet name="F-2 Estructura" sheetId="10" r:id="rId11"/>
    <sheet name="F-IVA" sheetId="11" r:id="rId12"/>
    <sheet name="F- CFyU" sheetId="12" r:id="rId13"/>
    <sheet name="F-Balance" sheetId="13" r:id="rId14"/>
    <sheet name="F- Form" sheetId="14" r:id="rId15"/>
    <sheet name="Consumo MP" sheetId="15" r:id="rId16"/>
    <sheet name="Cuadro resumen" sheetId="18" r:id="rId17"/>
    <sheet name="Stocks Mp" sheetId="19" r:id="rId18"/>
    <sheet name="Salarios" sheetId="16" r:id="rId19"/>
  </sheets>
  <definedNames>
    <definedName name="Excel_BuiltIn_Print_Area" localSheetId="12">('F- CFyU'!#REF!,'F- CFyU'!#REF!,'F- CFyU'!$A$3:$H$28)</definedName>
    <definedName name="Excel_BuiltIn_Print_Area" localSheetId="13">('F-Balance'!#REF!,'F-Balance'!#REF!,'F-Balance'!$A$3:$G$35)</definedName>
    <definedName name="_xlnm.Print_Area" localSheetId="2">('E-Costos'!$A$3:$G$46,'E-Costos'!$A$49:$F$80,'E-Costos'!$A$83:$F$135)</definedName>
    <definedName name="_xlnm.Print_Area" localSheetId="12">'F- CFyU'!$A$3:$H$28</definedName>
    <definedName name="_xlnm.Print_Area" localSheetId="13">'F-Balance'!$A$3:$G$35</definedName>
    <definedName name="_xlnm.Print_Area" localSheetId="8">'F-Cred'!$A$1:$I$54</definedName>
  </definedNames>
  <calcPr calcId="145621"/>
</workbook>
</file>

<file path=xl/calcChain.xml><?xml version="1.0" encoding="utf-8"?>
<calcChain xmlns="http://schemas.openxmlformats.org/spreadsheetml/2006/main">
  <c r="B38" i="3" l="1"/>
  <c r="N16" i="20" l="1"/>
  <c r="N15" i="20"/>
  <c r="M15" i="20"/>
  <c r="N14" i="20"/>
  <c r="M14" i="20"/>
  <c r="E16" i="20"/>
  <c r="E15" i="20"/>
  <c r="E14" i="20"/>
  <c r="D15" i="20"/>
  <c r="D14" i="20"/>
  <c r="G9" i="20"/>
  <c r="F9" i="20"/>
  <c r="G4" i="20"/>
  <c r="G5" i="20"/>
  <c r="G6" i="20"/>
  <c r="G7" i="20"/>
  <c r="G8" i="20"/>
  <c r="G3" i="20"/>
  <c r="F4" i="20"/>
  <c r="F5" i="20"/>
  <c r="F6" i="20"/>
  <c r="F7" i="20"/>
  <c r="F8" i="20"/>
  <c r="F3" i="20"/>
  <c r="E4" i="7"/>
  <c r="G1" i="7" l="1"/>
  <c r="B15" i="6"/>
  <c r="C13" i="6"/>
  <c r="D11" i="6"/>
  <c r="E11" i="6"/>
  <c r="F11" i="6"/>
  <c r="G11" i="6"/>
  <c r="C11" i="6"/>
  <c r="D9" i="6"/>
  <c r="E9" i="6"/>
  <c r="F9" i="6"/>
  <c r="G9" i="6"/>
  <c r="C9" i="6"/>
  <c r="D6" i="6"/>
  <c r="E6" i="6"/>
  <c r="F6" i="6"/>
  <c r="G6" i="6"/>
  <c r="C16" i="5"/>
  <c r="C17" i="5"/>
  <c r="N42" i="19"/>
  <c r="E42" i="19"/>
  <c r="J21" i="19"/>
  <c r="O21" i="19"/>
  <c r="E21" i="19"/>
  <c r="E8" i="5"/>
  <c r="F8" i="5"/>
  <c r="G8" i="5"/>
  <c r="H8" i="5"/>
  <c r="H21" i="5" s="1"/>
  <c r="D8" i="5"/>
  <c r="B5" i="7" s="1"/>
  <c r="B32" i="4"/>
  <c r="B33" i="4"/>
  <c r="B16" i="6" s="1"/>
  <c r="G21" i="5" l="1"/>
  <c r="B8" i="7"/>
  <c r="E21" i="5"/>
  <c r="B6" i="7"/>
  <c r="D21" i="5"/>
  <c r="F21" i="5"/>
  <c r="B7" i="7"/>
  <c r="L25" i="15" l="1"/>
  <c r="M25" i="15" s="1"/>
  <c r="O25" i="15" s="1"/>
  <c r="N25" i="15"/>
  <c r="L26" i="15"/>
  <c r="M26" i="15" s="1"/>
  <c r="O26" i="15" s="1"/>
  <c r="N26" i="15"/>
  <c r="L27" i="15"/>
  <c r="M27" i="15" s="1"/>
  <c r="O27" i="15" s="1"/>
  <c r="Q8" i="15"/>
  <c r="N27" i="15" s="1"/>
  <c r="L28" i="15"/>
  <c r="M28" i="15"/>
  <c r="N28" i="15"/>
  <c r="O28" i="15"/>
  <c r="L29" i="15"/>
  <c r="M29" i="15"/>
  <c r="N29" i="15"/>
  <c r="O29" i="15"/>
  <c r="L30" i="15"/>
  <c r="M30" i="15"/>
  <c r="N30" i="15"/>
  <c r="O30" i="15"/>
  <c r="L31" i="15"/>
  <c r="M31" i="15"/>
  <c r="N31" i="15"/>
  <c r="O31" i="15"/>
  <c r="L32" i="15"/>
  <c r="M32" i="15"/>
  <c r="N32" i="15"/>
  <c r="O32" i="15"/>
  <c r="L33" i="15"/>
  <c r="M33" i="15"/>
  <c r="N33" i="15"/>
  <c r="O33" i="15"/>
  <c r="L34" i="15"/>
  <c r="M34" i="15"/>
  <c r="N34" i="15"/>
  <c r="O34" i="15"/>
  <c r="L35" i="15"/>
  <c r="M35" i="15"/>
  <c r="N35" i="15"/>
  <c r="O35" i="15"/>
  <c r="C5" i="16"/>
  <c r="C9" i="16"/>
  <c r="C11" i="16" s="1"/>
  <c r="C4" i="16"/>
  <c r="C6" i="16"/>
  <c r="D13" i="3"/>
  <c r="E8" i="6" s="1"/>
  <c r="C13" i="3"/>
  <c r="D8" i="6" s="1"/>
  <c r="P6" i="15"/>
  <c r="R6" i="15"/>
  <c r="P7" i="15"/>
  <c r="R7" i="15"/>
  <c r="P8" i="15"/>
  <c r="R8" i="15"/>
  <c r="P9" i="15"/>
  <c r="R9" i="15"/>
  <c r="P10" i="15"/>
  <c r="R10" i="15"/>
  <c r="P11" i="15"/>
  <c r="R11" i="15"/>
  <c r="P12" i="15"/>
  <c r="R12" i="15"/>
  <c r="P13" i="15"/>
  <c r="R13" i="15"/>
  <c r="P14" i="15"/>
  <c r="R14" i="15"/>
  <c r="P15" i="15"/>
  <c r="R15" i="15"/>
  <c r="P16" i="15"/>
  <c r="R16" i="15" s="1"/>
  <c r="R19" i="15" s="1"/>
  <c r="B7" i="3" s="1"/>
  <c r="R17" i="15"/>
  <c r="R18" i="15"/>
  <c r="E13" i="3"/>
  <c r="F8" i="6" s="1"/>
  <c r="F13" i="3"/>
  <c r="G8" i="6" s="1"/>
  <c r="C8" i="3"/>
  <c r="B8" i="2"/>
  <c r="C44" i="2"/>
  <c r="C45" i="2"/>
  <c r="D11" i="2"/>
  <c r="B13" i="2" s="1"/>
  <c r="F13" i="2" s="1"/>
  <c r="C46" i="2"/>
  <c r="B15" i="2"/>
  <c r="B47" i="2"/>
  <c r="C47" i="2"/>
  <c r="D47" i="2"/>
  <c r="E47" i="2" s="1"/>
  <c r="B48" i="2"/>
  <c r="C48" i="2"/>
  <c r="D48" i="2" s="1"/>
  <c r="E48" i="2" s="1"/>
  <c r="B14" i="2"/>
  <c r="C49" i="2"/>
  <c r="B50" i="2"/>
  <c r="C50" i="2"/>
  <c r="D50" i="2" s="1"/>
  <c r="C1" i="16"/>
  <c r="C2" i="16"/>
  <c r="C3" i="16"/>
  <c r="B51" i="3" s="1"/>
  <c r="C7" i="16"/>
  <c r="C10" i="16"/>
  <c r="B11" i="3" s="1"/>
  <c r="C11" i="3" s="1"/>
  <c r="B7" i="2"/>
  <c r="B15" i="3" s="1"/>
  <c r="C15" i="3" s="1"/>
  <c r="B8" i="3"/>
  <c r="F10" i="2"/>
  <c r="F11" i="2"/>
  <c r="F12" i="2"/>
  <c r="F14" i="2"/>
  <c r="F15" i="2"/>
  <c r="F16" i="2"/>
  <c r="F17" i="2"/>
  <c r="C18" i="2"/>
  <c r="C85" i="3"/>
  <c r="D85" i="3" s="1"/>
  <c r="C86" i="3"/>
  <c r="C87" i="3"/>
  <c r="D22" i="6" s="1"/>
  <c r="B85" i="3"/>
  <c r="B86" i="3"/>
  <c r="B104" i="3" s="1"/>
  <c r="C13" i="4" s="1"/>
  <c r="B23" i="2"/>
  <c r="B7" i="5" s="1"/>
  <c r="B8" i="5" s="1"/>
  <c r="B21" i="5" s="1"/>
  <c r="B23" i="5" s="1"/>
  <c r="B25" i="5" s="1"/>
  <c r="F24" i="2"/>
  <c r="F25" i="2"/>
  <c r="F26" i="2"/>
  <c r="F27" i="2"/>
  <c r="F28" i="2"/>
  <c r="C53" i="2"/>
  <c r="B68" i="3"/>
  <c r="D13" i="4"/>
  <c r="D86" i="3"/>
  <c r="C51" i="3"/>
  <c r="C68" i="3"/>
  <c r="D8" i="3"/>
  <c r="E13" i="4"/>
  <c r="E86" i="3"/>
  <c r="D51" i="3"/>
  <c r="D68" i="3"/>
  <c r="E8" i="3"/>
  <c r="E90" i="3" s="1"/>
  <c r="F13" i="4"/>
  <c r="F86" i="3"/>
  <c r="E51" i="3"/>
  <c r="F51" i="3" s="1"/>
  <c r="E68" i="3"/>
  <c r="F8" i="3"/>
  <c r="G13" i="4"/>
  <c r="F68" i="3"/>
  <c r="B100" i="3"/>
  <c r="C100" i="3"/>
  <c r="C96" i="3"/>
  <c r="D96" i="3"/>
  <c r="E96" i="3"/>
  <c r="F96" i="3"/>
  <c r="B96" i="3"/>
  <c r="C90" i="3"/>
  <c r="C89" i="3"/>
  <c r="D89" i="3"/>
  <c r="E89" i="3"/>
  <c r="F89" i="3"/>
  <c r="I15" i="16"/>
  <c r="H15" i="16"/>
  <c r="C8" i="16"/>
  <c r="B29" i="2"/>
  <c r="B43" i="2"/>
  <c r="G43" i="2" s="1"/>
  <c r="C31" i="2"/>
  <c r="C33" i="2" s="1"/>
  <c r="D31" i="2"/>
  <c r="E31" i="2"/>
  <c r="B8" i="1"/>
  <c r="G1" i="5"/>
  <c r="E3" i="3"/>
  <c r="E1" i="2"/>
  <c r="E1" i="4"/>
  <c r="G1" i="6"/>
  <c r="E1" i="12"/>
  <c r="G1" i="14"/>
  <c r="D1" i="10"/>
  <c r="E1" i="13"/>
  <c r="F1" i="8"/>
  <c r="F1" i="9"/>
  <c r="E1" i="11"/>
  <c r="B90" i="3"/>
  <c r="D90" i="3"/>
  <c r="D12" i="3" l="1"/>
  <c r="E7" i="6" s="1"/>
  <c r="E12" i="6" s="1"/>
  <c r="C12" i="3"/>
  <c r="D7" i="6" s="1"/>
  <c r="D12" i="6" s="1"/>
  <c r="E12" i="3"/>
  <c r="F7" i="6" s="1"/>
  <c r="F12" i="6" s="1"/>
  <c r="F12" i="3"/>
  <c r="G7" i="6" s="1"/>
  <c r="G12" i="6" s="1"/>
  <c r="D87" i="3"/>
  <c r="E85" i="3"/>
  <c r="D100" i="3"/>
  <c r="C6" i="6"/>
  <c r="B13" i="3"/>
  <c r="C8" i="6" s="1"/>
  <c r="B12" i="3"/>
  <c r="C7" i="6" s="1"/>
  <c r="B89" i="3"/>
  <c r="O39" i="15"/>
  <c r="C7" i="4"/>
  <c r="D12" i="5" s="1"/>
  <c r="F23" i="2"/>
  <c r="B87" i="3"/>
  <c r="C22" i="6" s="1"/>
  <c r="F7" i="2"/>
  <c r="F29" i="2"/>
  <c r="F31" i="2" s="1"/>
  <c r="B57" i="3"/>
  <c r="C57" i="3" s="1"/>
  <c r="D57" i="3" s="1"/>
  <c r="E57" i="3" s="1"/>
  <c r="F57" i="3" s="1"/>
  <c r="B44" i="19"/>
  <c r="B10" i="4" s="1"/>
  <c r="B30" i="4" s="1"/>
  <c r="B43" i="19"/>
  <c r="C10" i="4" s="1"/>
  <c r="D10" i="4" s="1"/>
  <c r="C33" i="4"/>
  <c r="C16" i="6" s="1"/>
  <c r="D17" i="5"/>
  <c r="E22" i="6"/>
  <c r="D7" i="4"/>
  <c r="E12" i="5" s="1"/>
  <c r="D6" i="4"/>
  <c r="D11" i="3"/>
  <c r="D15" i="3"/>
  <c r="B9" i="2"/>
  <c r="F90" i="3"/>
  <c r="C6" i="4"/>
  <c r="F8" i="2"/>
  <c r="B18" i="2"/>
  <c r="B44" i="2"/>
  <c r="E100" i="3"/>
  <c r="D18" i="2"/>
  <c r="D20" i="2" s="1"/>
  <c r="D33" i="2" s="1"/>
  <c r="D36" i="2" s="1"/>
  <c r="B46" i="2"/>
  <c r="C12" i="6"/>
  <c r="E33" i="4"/>
  <c r="E16" i="6" s="1"/>
  <c r="F17" i="5"/>
  <c r="E17" i="5"/>
  <c r="D33" i="4"/>
  <c r="D16" i="6" s="1"/>
  <c r="D30" i="4"/>
  <c r="E14" i="5"/>
  <c r="B31" i="2"/>
  <c r="C7" i="5"/>
  <c r="I7" i="5" s="1"/>
  <c r="G33" i="4"/>
  <c r="G16" i="6" s="1"/>
  <c r="H17" i="5"/>
  <c r="G17" i="5"/>
  <c r="F33" i="4"/>
  <c r="F16" i="6" s="1"/>
  <c r="C74" i="3"/>
  <c r="D74" i="3" s="1"/>
  <c r="E74" i="3" s="1"/>
  <c r="F74" i="3" s="1"/>
  <c r="B74" i="3"/>
  <c r="D14" i="5"/>
  <c r="E10" i="4"/>
  <c r="F14" i="5" s="1"/>
  <c r="C14" i="5"/>
  <c r="C30" i="4"/>
  <c r="B53" i="2"/>
  <c r="E11" i="5" l="1"/>
  <c r="D24" i="3"/>
  <c r="C24" i="3"/>
  <c r="B24" i="3"/>
  <c r="E24" i="3"/>
  <c r="F24" i="3"/>
  <c r="E87" i="3"/>
  <c r="F85" i="3"/>
  <c r="B49" i="2"/>
  <c r="D49" i="2" s="1"/>
  <c r="E49" i="2" s="1"/>
  <c r="F18" i="2"/>
  <c r="D44" i="2"/>
  <c r="D28" i="3"/>
  <c r="E11" i="3"/>
  <c r="B6" i="4"/>
  <c r="C11" i="5" s="1"/>
  <c r="F9" i="2"/>
  <c r="F20" i="2" s="1"/>
  <c r="B45" i="2"/>
  <c r="B20" i="2"/>
  <c r="C6" i="5" s="1"/>
  <c r="D32" i="3"/>
  <c r="E15" i="3"/>
  <c r="D46" i="2"/>
  <c r="E46" i="2" s="1"/>
  <c r="G46" i="2"/>
  <c r="B33" i="2"/>
  <c r="I17" i="5"/>
  <c r="B51" i="2"/>
  <c r="E30" i="4"/>
  <c r="F10" i="4"/>
  <c r="G14" i="5" s="1"/>
  <c r="D53" i="2"/>
  <c r="B56" i="2"/>
  <c r="D11" i="5" l="1"/>
  <c r="F87" i="3"/>
  <c r="F100" i="3"/>
  <c r="F29" i="3"/>
  <c r="F31" i="3"/>
  <c r="F30" i="3"/>
  <c r="F54" i="3" s="1"/>
  <c r="F71" i="3" s="1"/>
  <c r="B29" i="3"/>
  <c r="D25" i="3"/>
  <c r="B28" i="3"/>
  <c r="B25" i="3"/>
  <c r="B31" i="3"/>
  <c r="B32" i="3"/>
  <c r="F25" i="3"/>
  <c r="C25" i="3"/>
  <c r="E25" i="3"/>
  <c r="D29" i="3"/>
  <c r="D31" i="3"/>
  <c r="D30" i="3"/>
  <c r="D54" i="3" s="1"/>
  <c r="D71" i="3" s="1"/>
  <c r="F22" i="6"/>
  <c r="E7" i="4"/>
  <c r="F12" i="5" s="1"/>
  <c r="E6" i="4"/>
  <c r="F11" i="5" s="1"/>
  <c r="E31" i="3"/>
  <c r="E30" i="3"/>
  <c r="E54" i="3" s="1"/>
  <c r="E71" i="3" s="1"/>
  <c r="E29" i="3"/>
  <c r="C29" i="3"/>
  <c r="C31" i="3"/>
  <c r="C30" i="3"/>
  <c r="C32" i="3"/>
  <c r="C28" i="3"/>
  <c r="F33" i="2"/>
  <c r="B34" i="2" s="1"/>
  <c r="F11" i="3"/>
  <c r="F28" i="3" s="1"/>
  <c r="E28" i="3"/>
  <c r="I6" i="5"/>
  <c r="C8" i="5"/>
  <c r="E44" i="2"/>
  <c r="F15" i="3"/>
  <c r="F32" i="3" s="1"/>
  <c r="E32" i="3"/>
  <c r="D45" i="2"/>
  <c r="E45" i="2" s="1"/>
  <c r="G44" i="2"/>
  <c r="F30" i="4"/>
  <c r="G10" i="4"/>
  <c r="H14" i="5" s="1"/>
  <c r="I14" i="5" s="1"/>
  <c r="E53" i="2"/>
  <c r="F34" i="2"/>
  <c r="F36" i="2" s="1"/>
  <c r="B36" i="2"/>
  <c r="E51" i="2" l="1"/>
  <c r="E10" i="3" s="1"/>
  <c r="G22" i="6"/>
  <c r="F7" i="4"/>
  <c r="G12" i="5" s="1"/>
  <c r="I12" i="5" s="1"/>
  <c r="G7" i="4"/>
  <c r="H12" i="5" s="1"/>
  <c r="F6" i="4"/>
  <c r="G11" i="5" s="1"/>
  <c r="G6" i="4"/>
  <c r="H11" i="5" s="1"/>
  <c r="D51" i="2"/>
  <c r="B10" i="3" s="1"/>
  <c r="C54" i="3"/>
  <c r="C71" i="3" s="1"/>
  <c r="B30" i="3"/>
  <c r="B54" i="3" s="1"/>
  <c r="B71" i="3" s="1"/>
  <c r="C10" i="3"/>
  <c r="D10" i="3"/>
  <c r="B27" i="3"/>
  <c r="C18" i="4" s="1"/>
  <c r="B16" i="3"/>
  <c r="B33" i="3" s="1"/>
  <c r="E16" i="3"/>
  <c r="E33" i="3" s="1"/>
  <c r="F10" i="3"/>
  <c r="E27" i="3"/>
  <c r="C21" i="5"/>
  <c r="I8" i="5"/>
  <c r="B4" i="7"/>
  <c r="D56" i="2"/>
  <c r="G51" i="2"/>
  <c r="G56" i="2" s="1"/>
  <c r="B9" i="7" s="1"/>
  <c r="G45" i="2"/>
  <c r="G30" i="4"/>
  <c r="B52" i="3" l="1"/>
  <c r="I7" i="7"/>
  <c r="I5" i="7"/>
  <c r="I6" i="7"/>
  <c r="I11" i="5"/>
  <c r="E56" i="2"/>
  <c r="B11" i="7"/>
  <c r="F17" i="4"/>
  <c r="E34" i="3"/>
  <c r="D16" i="3"/>
  <c r="D33" i="3" s="1"/>
  <c r="D27" i="3"/>
  <c r="B17" i="3"/>
  <c r="E17" i="3"/>
  <c r="C27" i="3"/>
  <c r="D18" i="4" s="1"/>
  <c r="C16" i="3"/>
  <c r="C33" i="3" s="1"/>
  <c r="F16" i="3"/>
  <c r="F33" i="3" s="1"/>
  <c r="F27" i="3"/>
  <c r="G18" i="4" s="1"/>
  <c r="I21" i="5"/>
  <c r="C17" i="4"/>
  <c r="B34" i="3"/>
  <c r="F18" i="4"/>
  <c r="E52" i="3" l="1"/>
  <c r="I8" i="7"/>
  <c r="I9" i="7"/>
  <c r="I11" i="7"/>
  <c r="B69" i="3"/>
  <c r="B124" i="3" s="1"/>
  <c r="C52" i="3"/>
  <c r="B18" i="3"/>
  <c r="B45" i="3" s="1"/>
  <c r="B91" i="3"/>
  <c r="B19" i="3"/>
  <c r="B46" i="3" s="1"/>
  <c r="B93" i="3"/>
  <c r="G17" i="4"/>
  <c r="F34" i="3"/>
  <c r="G12" i="4" s="1"/>
  <c r="C12" i="4"/>
  <c r="B41" i="3"/>
  <c r="B97" i="3" s="1"/>
  <c r="E91" i="3"/>
  <c r="E19" i="3"/>
  <c r="E46" i="3" s="1"/>
  <c r="E38" i="3"/>
  <c r="E93" i="3"/>
  <c r="E18" i="3"/>
  <c r="E45" i="3" s="1"/>
  <c r="F12" i="4"/>
  <c r="F41" i="3"/>
  <c r="F97" i="3" s="1"/>
  <c r="C20" i="4"/>
  <c r="F17" i="3"/>
  <c r="D17" i="3"/>
  <c r="D17" i="4"/>
  <c r="C34" i="3"/>
  <c r="E17" i="4"/>
  <c r="D34" i="3"/>
  <c r="E18" i="4"/>
  <c r="C17" i="3"/>
  <c r="B42" i="3" l="1"/>
  <c r="C69" i="3"/>
  <c r="C124" i="3" s="1"/>
  <c r="D20" i="4" s="1"/>
  <c r="D52" i="3"/>
  <c r="F52" i="3"/>
  <c r="F69" i="3" s="1"/>
  <c r="F124" i="3" s="1"/>
  <c r="G20" i="4" s="1"/>
  <c r="E69" i="3"/>
  <c r="E124" i="3" s="1"/>
  <c r="F20" i="4" s="1"/>
  <c r="F93" i="3"/>
  <c r="F91" i="3"/>
  <c r="F38" i="3"/>
  <c r="F42" i="3" s="1"/>
  <c r="F18" i="3"/>
  <c r="F45" i="3" s="1"/>
  <c r="F19" i="3"/>
  <c r="F46" i="3" s="1"/>
  <c r="G32" i="4"/>
  <c r="G15" i="6" s="1"/>
  <c r="G17" i="6" s="1"/>
  <c r="H16" i="5"/>
  <c r="E128" i="3"/>
  <c r="B127" i="3"/>
  <c r="C32" i="4"/>
  <c r="C15" i="6" s="1"/>
  <c r="C17" i="6" s="1"/>
  <c r="D16" i="5"/>
  <c r="B99" i="3"/>
  <c r="B43" i="3"/>
  <c r="B73" i="3"/>
  <c r="B70" i="3"/>
  <c r="E12" i="4"/>
  <c r="E41" i="3"/>
  <c r="E97" i="3" s="1"/>
  <c r="D38" i="3"/>
  <c r="D93" i="3"/>
  <c r="D19" i="3"/>
  <c r="D46" i="3" s="1"/>
  <c r="D91" i="3"/>
  <c r="D18" i="3"/>
  <c r="D45" i="3" s="1"/>
  <c r="G16" i="5"/>
  <c r="F32" i="4"/>
  <c r="F15" i="6" s="1"/>
  <c r="F17" i="6" s="1"/>
  <c r="C38" i="3"/>
  <c r="C93" i="3"/>
  <c r="C19" i="3"/>
  <c r="C46" i="3" s="1"/>
  <c r="C18" i="3"/>
  <c r="C45" i="3" s="1"/>
  <c r="C91" i="3"/>
  <c r="D12" i="4"/>
  <c r="D41" i="3"/>
  <c r="D97" i="3" s="1"/>
  <c r="E127" i="3"/>
  <c r="C41" i="3"/>
  <c r="C97" i="3" s="1"/>
  <c r="B128" i="3"/>
  <c r="F128" i="3" l="1"/>
  <c r="D69" i="3"/>
  <c r="D124" i="3"/>
  <c r="E20" i="4" s="1"/>
  <c r="F53" i="3"/>
  <c r="F99" i="3"/>
  <c r="F43" i="3"/>
  <c r="F73" i="3"/>
  <c r="F70" i="3"/>
  <c r="C19" i="6"/>
  <c r="B75" i="3"/>
  <c r="B77" i="3" s="1"/>
  <c r="C42" i="3"/>
  <c r="C128" i="3"/>
  <c r="D127" i="3"/>
  <c r="E42" i="3"/>
  <c r="E16" i="5"/>
  <c r="I16" i="5" s="1"/>
  <c r="D32" i="4"/>
  <c r="D15" i="6" s="1"/>
  <c r="D17" i="6" s="1"/>
  <c r="E32" i="4"/>
  <c r="E15" i="6" s="1"/>
  <c r="E17" i="6" s="1"/>
  <c r="F16" i="5"/>
  <c r="B101" i="3"/>
  <c r="B106" i="3"/>
  <c r="D128" i="3"/>
  <c r="F127" i="3"/>
  <c r="C127" i="3"/>
  <c r="D42" i="3"/>
  <c r="B109" i="3" l="1"/>
  <c r="B80" i="3"/>
  <c r="B132" i="3" s="1"/>
  <c r="B79" i="3"/>
  <c r="B131" i="3" s="1"/>
  <c r="D99" i="3"/>
  <c r="D73" i="3"/>
  <c r="D43" i="3"/>
  <c r="D53" i="3"/>
  <c r="D70" i="3"/>
  <c r="G19" i="6"/>
  <c r="F75" i="3"/>
  <c r="F77" i="3" s="1"/>
  <c r="E53" i="3"/>
  <c r="E43" i="3"/>
  <c r="E73" i="3"/>
  <c r="E99" i="3"/>
  <c r="E70" i="3"/>
  <c r="C99" i="3"/>
  <c r="C53" i="3"/>
  <c r="C73" i="3"/>
  <c r="C43" i="3"/>
  <c r="C70" i="3"/>
  <c r="G18" i="6"/>
  <c r="G21" i="6" s="1"/>
  <c r="G23" i="6" s="1"/>
  <c r="G11" i="4"/>
  <c r="F58" i="3"/>
  <c r="F60" i="3" s="1"/>
  <c r="F101" i="3"/>
  <c r="F106" i="3"/>
  <c r="F109" i="3" l="1"/>
  <c r="F80" i="3"/>
  <c r="F132" i="3" s="1"/>
  <c r="F79" i="3"/>
  <c r="F131" i="3" s="1"/>
  <c r="C101" i="3"/>
  <c r="C106" i="3"/>
  <c r="E106" i="3"/>
  <c r="E101" i="3"/>
  <c r="E18" i="6"/>
  <c r="E11" i="4"/>
  <c r="D58" i="3"/>
  <c r="D60" i="3" s="1"/>
  <c r="G9" i="4"/>
  <c r="G15" i="4" s="1"/>
  <c r="D19" i="6"/>
  <c r="C75" i="3"/>
  <c r="C77" i="3" s="1"/>
  <c r="D18" i="6"/>
  <c r="D21" i="6" s="1"/>
  <c r="D23" i="6" s="1"/>
  <c r="B53" i="3"/>
  <c r="D11" i="4"/>
  <c r="C58" i="3"/>
  <c r="C60" i="3" s="1"/>
  <c r="F19" i="6"/>
  <c r="E75" i="3"/>
  <c r="E77" i="3" s="1"/>
  <c r="F18" i="6"/>
  <c r="F11" i="4"/>
  <c r="G31" i="4" s="1"/>
  <c r="G34" i="4" s="1"/>
  <c r="H22" i="5" s="1"/>
  <c r="H23" i="5" s="1"/>
  <c r="E58" i="3"/>
  <c r="E60" i="3" s="1"/>
  <c r="E19" i="6"/>
  <c r="D75" i="3"/>
  <c r="D77" i="3" s="1"/>
  <c r="D101" i="3"/>
  <c r="D106" i="3"/>
  <c r="F62" i="3"/>
  <c r="F129" i="3" s="1"/>
  <c r="F130" i="3"/>
  <c r="F108" i="3"/>
  <c r="F111" i="3" s="1"/>
  <c r="E21" i="6" l="1"/>
  <c r="E23" i="6" s="1"/>
  <c r="G26" i="6"/>
  <c r="D9" i="7" s="1"/>
  <c r="F113" i="3"/>
  <c r="F115" i="3"/>
  <c r="C80" i="3"/>
  <c r="C132" i="3" s="1"/>
  <c r="C79" i="3"/>
  <c r="C131" i="3" s="1"/>
  <c r="C109" i="3"/>
  <c r="D108" i="3"/>
  <c r="D111" i="3" s="1"/>
  <c r="D130" i="3"/>
  <c r="D62" i="3"/>
  <c r="D129" i="3" s="1"/>
  <c r="D109" i="3"/>
  <c r="D79" i="3"/>
  <c r="D131" i="3" s="1"/>
  <c r="D80" i="3"/>
  <c r="D132" i="3" s="1"/>
  <c r="E80" i="3"/>
  <c r="E132" i="3" s="1"/>
  <c r="E79" i="3"/>
  <c r="E131" i="3" s="1"/>
  <c r="E109" i="3"/>
  <c r="C18" i="6"/>
  <c r="C21" i="6" s="1"/>
  <c r="C23" i="6" s="1"/>
  <c r="C11" i="4"/>
  <c r="B60" i="3"/>
  <c r="B58" i="3"/>
  <c r="E31" i="4"/>
  <c r="E34" i="4" s="1"/>
  <c r="F22" i="5" s="1"/>
  <c r="F23" i="5" s="1"/>
  <c r="F15" i="5"/>
  <c r="F18" i="5" s="1"/>
  <c r="C7" i="7" s="1"/>
  <c r="E9" i="4"/>
  <c r="E15" i="4" s="1"/>
  <c r="D31" i="4"/>
  <c r="D34" i="4" s="1"/>
  <c r="E22" i="5" s="1"/>
  <c r="E23" i="5" s="1"/>
  <c r="D9" i="4"/>
  <c r="D15" i="4" s="1"/>
  <c r="F133" i="3"/>
  <c r="G15" i="5"/>
  <c r="G18" i="5" s="1"/>
  <c r="C8" i="7" s="1"/>
  <c r="F31" i="4"/>
  <c r="F34" i="4" s="1"/>
  <c r="G22" i="5" s="1"/>
  <c r="G23" i="5" s="1"/>
  <c r="F9" i="4"/>
  <c r="F15" i="4" s="1"/>
  <c r="E108" i="3"/>
  <c r="E111" i="3" s="1"/>
  <c r="E130" i="3"/>
  <c r="E62" i="3"/>
  <c r="E129" i="3" s="1"/>
  <c r="C62" i="3"/>
  <c r="C129" i="3" s="1"/>
  <c r="C108" i="3"/>
  <c r="C130" i="3"/>
  <c r="H15" i="5"/>
  <c r="H18" i="5" s="1"/>
  <c r="H25" i="5" s="1"/>
  <c r="F21" i="6"/>
  <c r="F23" i="6" s="1"/>
  <c r="F134" i="3"/>
  <c r="F116" i="3" l="1"/>
  <c r="H9" i="7"/>
  <c r="F24" i="4"/>
  <c r="E133" i="3"/>
  <c r="D115" i="3"/>
  <c r="D113" i="3"/>
  <c r="E113" i="3"/>
  <c r="E115" i="3"/>
  <c r="B130" i="3"/>
  <c r="B133" i="3" s="1"/>
  <c r="B108" i="3"/>
  <c r="B111" i="3" s="1"/>
  <c r="B62" i="3"/>
  <c r="B129" i="3" s="1"/>
  <c r="C134" i="3"/>
  <c r="C133" i="3"/>
  <c r="E24" i="4"/>
  <c r="E134" i="3"/>
  <c r="D134" i="3"/>
  <c r="C111" i="3"/>
  <c r="D26" i="6"/>
  <c r="D6" i="7" s="1"/>
  <c r="E26" i="6"/>
  <c r="D7" i="7" s="1"/>
  <c r="F25" i="5"/>
  <c r="C31" i="4"/>
  <c r="C34" i="4" s="1"/>
  <c r="D22" i="5" s="1"/>
  <c r="D23" i="5" s="1"/>
  <c r="B11" i="4"/>
  <c r="C9" i="4"/>
  <c r="C15" i="4" s="1"/>
  <c r="D24" i="4" s="1"/>
  <c r="F26" i="6"/>
  <c r="D8" i="7" s="1"/>
  <c r="G25" i="5"/>
  <c r="D133" i="3"/>
  <c r="G24" i="4"/>
  <c r="E15" i="5"/>
  <c r="E18" i="5" s="1"/>
  <c r="C6" i="7" s="1"/>
  <c r="E25" i="5" l="1"/>
  <c r="D116" i="3"/>
  <c r="H7" i="7"/>
  <c r="E116" i="3"/>
  <c r="H8" i="7"/>
  <c r="F117" i="3"/>
  <c r="E9" i="7"/>
  <c r="B115" i="3"/>
  <c r="B113" i="3"/>
  <c r="C115" i="3"/>
  <c r="H6" i="7" s="1"/>
  <c r="C113" i="3"/>
  <c r="B134" i="3"/>
  <c r="C26" i="6"/>
  <c r="D5" i="7" s="1"/>
  <c r="C15" i="5"/>
  <c r="B31" i="4"/>
  <c r="B34" i="4" s="1"/>
  <c r="C22" i="5" s="1"/>
  <c r="B9" i="4"/>
  <c r="B15" i="4" s="1"/>
  <c r="B22" i="4" s="1"/>
  <c r="D15" i="5"/>
  <c r="D18" i="5" s="1"/>
  <c r="C5" i="7" s="1"/>
  <c r="B116" i="3" l="1"/>
  <c r="H5" i="7"/>
  <c r="F119" i="3"/>
  <c r="F9" i="7"/>
  <c r="E117" i="3"/>
  <c r="E8" i="7"/>
  <c r="D117" i="3"/>
  <c r="E7" i="7"/>
  <c r="B25" i="4"/>
  <c r="B36" i="4" s="1"/>
  <c r="B24" i="4"/>
  <c r="C116" i="3"/>
  <c r="D25" i="5"/>
  <c r="I22" i="5"/>
  <c r="C23" i="5"/>
  <c r="I15" i="5"/>
  <c r="C18" i="5"/>
  <c r="C4" i="7" s="1"/>
  <c r="C24" i="4"/>
  <c r="H11" i="7" l="1"/>
  <c r="C117" i="3"/>
  <c r="F6" i="7" s="1"/>
  <c r="E6" i="7"/>
  <c r="D119" i="3"/>
  <c r="F7" i="7"/>
  <c r="G7" i="7" s="1"/>
  <c r="E119" i="3"/>
  <c r="F8" i="7"/>
  <c r="G8" i="7" s="1"/>
  <c r="F123" i="3"/>
  <c r="F125" i="3" s="1"/>
  <c r="F120" i="3"/>
  <c r="G19" i="4" s="1"/>
  <c r="G22" i="4" s="1"/>
  <c r="B117" i="3"/>
  <c r="E5" i="7"/>
  <c r="C25" i="5"/>
  <c r="I25" i="5" s="1"/>
  <c r="I23" i="5"/>
  <c r="B26" i="6"/>
  <c r="I18" i="5"/>
  <c r="C9" i="7" s="1"/>
  <c r="G9" i="7" s="1"/>
  <c r="C119" i="3"/>
  <c r="E11" i="7" l="1"/>
  <c r="G6" i="7"/>
  <c r="C11" i="7"/>
  <c r="B119" i="3"/>
  <c r="F5" i="7"/>
  <c r="F11" i="7" s="1"/>
  <c r="E123" i="3"/>
  <c r="E125" i="3" s="1"/>
  <c r="E120" i="3"/>
  <c r="F19" i="4" s="1"/>
  <c r="F22" i="4" s="1"/>
  <c r="F25" i="4" s="1"/>
  <c r="F36" i="4" s="1"/>
  <c r="D120" i="3"/>
  <c r="E19" i="4" s="1"/>
  <c r="E22" i="4" s="1"/>
  <c r="D123" i="3"/>
  <c r="D125" i="3" s="1"/>
  <c r="D4" i="7"/>
  <c r="B27" i="6"/>
  <c r="C123" i="3"/>
  <c r="C125" i="3" s="1"/>
  <c r="C120" i="3"/>
  <c r="D19" i="4" s="1"/>
  <c r="D22" i="4" s="1"/>
  <c r="B120" i="3" l="1"/>
  <c r="C19" i="4" s="1"/>
  <c r="C22" i="4" s="1"/>
  <c r="C25" i="4" s="1"/>
  <c r="C36" i="4" s="1"/>
  <c r="B123" i="3"/>
  <c r="B125" i="3" s="1"/>
  <c r="G5" i="7"/>
  <c r="G25" i="4"/>
  <c r="G36" i="4" s="1"/>
  <c r="D11" i="7"/>
  <c r="G4" i="7"/>
  <c r="B28" i="6"/>
  <c r="C25" i="6"/>
  <c r="D25" i="4"/>
  <c r="D36" i="4" s="1"/>
  <c r="E25" i="4"/>
  <c r="E36" i="4" s="1"/>
  <c r="B30" i="6" l="1"/>
  <c r="J4" i="7"/>
  <c r="G11" i="7"/>
  <c r="C27" i="6"/>
  <c r="D25" i="6" s="1"/>
  <c r="K4" i="7" l="1"/>
  <c r="C28" i="6"/>
  <c r="D27" i="6"/>
  <c r="E25" i="6" s="1"/>
  <c r="L4" i="7" l="1"/>
  <c r="C30" i="6"/>
  <c r="J5" i="7"/>
  <c r="D28" i="6"/>
  <c r="E27" i="6"/>
  <c r="F25" i="6" s="1"/>
  <c r="K5" i="7" l="1"/>
  <c r="M4" i="7"/>
  <c r="D30" i="6"/>
  <c r="J6" i="7"/>
  <c r="K6" i="7" s="1"/>
  <c r="L6" i="7" s="1"/>
  <c r="E28" i="6"/>
  <c r="F27" i="6"/>
  <c r="G25" i="6" s="1"/>
  <c r="G27" i="6" s="1"/>
  <c r="G28" i="6" s="1"/>
  <c r="G30" i="6" l="1"/>
  <c r="J9" i="7"/>
  <c r="K9" i="7" s="1"/>
  <c r="L9" i="7" s="1"/>
  <c r="F28" i="6"/>
  <c r="E30" i="6"/>
  <c r="J7" i="7"/>
  <c r="K7" i="7" s="1"/>
  <c r="L7" i="7" s="1"/>
  <c r="L5" i="7"/>
  <c r="M5" i="7" l="1"/>
  <c r="M6" i="7" s="1"/>
  <c r="M7" i="7" s="1"/>
  <c r="M8" i="7" s="1"/>
  <c r="F30" i="6"/>
  <c r="J8" i="7"/>
  <c r="K8" i="7" s="1"/>
  <c r="L8" i="7" s="1"/>
  <c r="L11" i="7" s="1"/>
  <c r="D13" i="7" l="1"/>
  <c r="D15" i="7"/>
  <c r="M9" i="7"/>
  <c r="D14" i="7"/>
  <c r="K11" i="7"/>
  <c r="J11" i="7"/>
</calcChain>
</file>

<file path=xl/comments1.xml><?xml version="1.0" encoding="utf-8"?>
<comments xmlns="http://schemas.openxmlformats.org/spreadsheetml/2006/main">
  <authors>
    <author>Agustin</author>
  </authors>
  <commentList>
    <comment ref="C44" authorId="0">
      <text>
        <r>
          <rPr>
            <b/>
            <sz val="9"/>
            <color indexed="81"/>
            <rFont val="Tahoma"/>
            <family val="2"/>
          </rPr>
          <t>Agustin:</t>
        </r>
        <r>
          <rPr>
            <sz val="9"/>
            <color indexed="81"/>
            <rFont val="Tahoma"/>
            <family val="2"/>
          </rPr>
          <t xml:space="preserve">
el edificio si se amortiza</t>
        </r>
      </text>
    </comment>
  </commentList>
</comments>
</file>

<file path=xl/sharedStrings.xml><?xml version="1.0" encoding="utf-8"?>
<sst xmlns="http://schemas.openxmlformats.org/spreadsheetml/2006/main" count="834" uniqueCount="485">
  <si>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</si>
  <si>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</si>
  <si>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</si>
  <si>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</si>
  <si>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</si>
  <si>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</si>
  <si>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</si>
  <si>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</si>
  <si>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</si>
  <si>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</si>
  <si>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</si>
  <si>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</si>
  <si>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</si>
  <si>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</si>
  <si>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</si>
  <si>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</si>
  <si>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</si>
  <si>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MATAFUEGOS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</si>
  <si>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</si>
  <si>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</si>
  <si>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</si>
  <si>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</si>
  <si>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</si>
  <si>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</si>
  <si>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</si>
  <si>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</si>
  <si>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</si>
  <si>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</si>
  <si>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</si>
  <si>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</si>
  <si>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</si>
  <si>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</si>
  <si>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</si>
  <si>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</si>
  <si>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</si>
  <si>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</si>
  <si>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</si>
  <si>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</si>
  <si>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</si>
  <si>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</si>
  <si>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</si>
  <si>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</si>
  <si>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</si>
  <si>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Redondos</t>
  </si>
  <si>
    <t>ESTA PLANILLA PUEDE SER UTILIZADA SOLAMENTE PARA EL TRABAJO PRACTICO</t>
  </si>
  <si>
    <t>Inversión Inicial en Activo Fijo</t>
  </si>
  <si>
    <t>Gasto interno (en $)</t>
  </si>
  <si>
    <t>Gasto Externo (en $)</t>
  </si>
  <si>
    <t>Gasto Total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</si>
  <si>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</si>
  <si>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</si>
  <si>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</si>
  <si>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</si>
  <si>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</si>
  <si>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</si>
  <si>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</si>
  <si>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</si>
  <si>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</si>
  <si>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</si>
  <si>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 xml:space="preserve">Transporte y montaje de la maquinaria 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</si>
  <si>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</si>
  <si>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</si>
  <si>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</si>
  <si>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</si>
  <si>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</si>
  <si>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</si>
  <si>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</si>
  <si>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</si>
  <si>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</si>
  <si>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</si>
  <si>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</si>
  <si>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</si>
  <si>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</si>
  <si>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</si>
  <si>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</si>
  <si>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</si>
  <si>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</si>
  <si>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</si>
  <si>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</si>
  <si>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</si>
  <si>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</si>
  <si>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</si>
  <si>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</si>
  <si>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</si>
  <si>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</si>
  <si>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</si>
  <si>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</si>
  <si>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</si>
  <si>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</si>
  <si>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</si>
  <si>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</si>
  <si>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</si>
  <si>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</si>
  <si>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</si>
  <si>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</si>
  <si>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</si>
  <si>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</si>
  <si>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</si>
  <si>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</si>
  <si>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</si>
  <si>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</si>
  <si>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</si>
  <si>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</si>
  <si>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</si>
  <si>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</si>
  <si>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</si>
  <si>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</si>
  <si>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</si>
  <si>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</si>
  <si>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</si>
  <si>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</si>
  <si>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</si>
  <si>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</si>
  <si>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</si>
  <si>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</si>
  <si>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</si>
  <si>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</si>
  <si>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</si>
  <si>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</si>
  <si>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</si>
  <si>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</si>
  <si>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</si>
  <si>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</si>
  <si>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</si>
  <si>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</si>
  <si>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</si>
  <si>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</si>
  <si>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</si>
  <si>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</si>
  <si>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</si>
  <si>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</si>
  <si>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</si>
  <si>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</si>
  <si>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</si>
  <si>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</si>
  <si>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</si>
  <si>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</si>
  <si>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</si>
  <si>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</si>
  <si>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</si>
  <si>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</si>
  <si>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</si>
  <si>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</si>
  <si>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</si>
  <si>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</si>
  <si>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</si>
  <si>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</si>
  <si>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</si>
  <si>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</si>
  <si>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</si>
  <si>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</si>
  <si>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</si>
  <si>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</si>
  <si>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</si>
  <si>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</si>
  <si>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</si>
  <si>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</si>
  <si>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</si>
  <si>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</si>
  <si>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</si>
  <si>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</si>
  <si>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</si>
  <si>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</si>
  <si>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</si>
  <si>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</si>
  <si>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</si>
  <si>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</si>
  <si>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</si>
  <si>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</si>
  <si>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</si>
  <si>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</si>
  <si>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</si>
  <si>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</si>
  <si>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</si>
  <si>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</si>
  <si>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</si>
  <si>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</si>
  <si>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</si>
  <si>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</si>
  <si>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</si>
  <si>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</si>
  <si>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</si>
  <si>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</si>
  <si>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</si>
  <si>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</si>
  <si>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</si>
  <si>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</si>
  <si>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</si>
  <si>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</si>
  <si>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</si>
  <si>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</si>
  <si>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</si>
  <si>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</si>
  <si>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</si>
  <si>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</si>
  <si>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</si>
  <si>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</si>
  <si>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</si>
  <si>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</si>
  <si>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</si>
  <si>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</si>
  <si>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</si>
  <si>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</si>
  <si>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</si>
  <si>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</si>
  <si>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</si>
  <si>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</si>
  <si>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</si>
  <si>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</si>
  <si>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</si>
  <si>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</si>
  <si>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</si>
  <si>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</si>
  <si>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</si>
  <si>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</si>
  <si>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</si>
  <si>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</si>
  <si>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</si>
  <si>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</si>
  <si>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</si>
  <si>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</si>
  <si>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</si>
  <si>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</si>
  <si>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</si>
  <si>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</si>
  <si>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</si>
  <si>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</si>
  <si>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</si>
  <si>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</si>
  <si>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</si>
  <si>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</si>
  <si>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</si>
  <si>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</si>
  <si>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</si>
  <si>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</si>
  <si>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</si>
  <si>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</si>
  <si>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</si>
  <si>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</si>
  <si>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</si>
  <si>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</si>
  <si>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</si>
  <si>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</si>
  <si>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</si>
  <si>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</si>
  <si>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</si>
  <si>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</si>
  <si>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</si>
  <si>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</si>
  <si>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</si>
  <si>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</si>
  <si>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</si>
  <si>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</si>
  <si>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</si>
  <si>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</si>
  <si>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</si>
  <si>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</si>
  <si>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</si>
  <si>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</si>
  <si>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</si>
  <si>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</si>
  <si>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</si>
  <si>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</si>
  <si>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</si>
  <si>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</si>
  <si>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</si>
  <si>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</si>
  <si>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</si>
  <si>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</si>
  <si>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</si>
  <si>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</si>
  <si>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</si>
  <si>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</si>
  <si>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</si>
  <si>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</si>
  <si>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</si>
  <si>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</si>
  <si>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</si>
  <si>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</si>
  <si>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</si>
  <si>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</si>
  <si>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</si>
  <si>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</si>
  <si>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</si>
  <si>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</si>
  <si>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</si>
  <si>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</si>
  <si>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</si>
  <si>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</si>
  <si>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</si>
  <si>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</si>
  <si>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</si>
  <si>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</si>
  <si>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</si>
  <si>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</si>
  <si>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</si>
  <si>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</si>
  <si>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</si>
  <si>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</si>
  <si>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</si>
  <si>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</si>
  <si>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</si>
  <si>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</si>
  <si>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</si>
  <si>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</si>
  <si>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</si>
  <si>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</si>
  <si>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</si>
  <si>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</si>
  <si>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</si>
  <si>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</si>
  <si>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</si>
  <si>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</si>
  <si>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</si>
  <si>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</si>
  <si>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</si>
  <si>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</si>
  <si>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</si>
  <si>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</si>
  <si>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</si>
  <si>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</si>
  <si>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</si>
  <si>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</si>
  <si>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</si>
  <si>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</si>
  <si>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</si>
  <si>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</si>
  <si>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</si>
  <si>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</si>
  <si>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</si>
  <si>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</si>
  <si>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</si>
  <si>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</si>
  <si>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</si>
  <si>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</si>
  <si>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</si>
  <si>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</si>
  <si>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</si>
  <si>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</si>
  <si>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</si>
  <si>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</si>
  <si>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</si>
  <si>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</si>
  <si>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</si>
  <si>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</si>
  <si>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</si>
  <si>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</si>
  <si>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</si>
  <si>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</si>
  <si>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</si>
  <si>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</si>
  <si>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</si>
  <si>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</si>
  <si>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</si>
  <si>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</si>
  <si>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</si>
  <si>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</si>
  <si>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</si>
  <si>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</si>
  <si>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</si>
  <si>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</si>
  <si>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</si>
  <si>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</si>
  <si>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</si>
  <si>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</si>
  <si>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</si>
  <si>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</si>
  <si>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</si>
  <si>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</si>
  <si>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</si>
  <si>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</si>
  <si>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</si>
  <si>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</si>
  <si>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</si>
  <si>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</si>
  <si>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</si>
  <si>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</si>
  <si>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</si>
  <si>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</si>
  <si>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</si>
  <si>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</si>
  <si>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para el inversor</t>
  </si>
  <si>
    <t>en años para el inversor</t>
  </si>
  <si>
    <t>TOR</t>
  </si>
  <si>
    <t>Consumo de materia prima</t>
  </si>
  <si>
    <t>Meses</t>
  </si>
  <si>
    <t>Para fabricar 1 extinor</t>
  </si>
  <si>
    <t>4-11,5</t>
  </si>
  <si>
    <t>Total PM</t>
  </si>
  <si>
    <t>$</t>
  </si>
  <si>
    <t>Láminas de acero de 1,5x3m para cuerpo:</t>
  </si>
  <si>
    <t>láminas</t>
  </si>
  <si>
    <t>Polvo químico ABC:</t>
  </si>
  <si>
    <t>kg</t>
  </si>
  <si>
    <t>Nitrógeno:</t>
  </si>
  <si>
    <t>gr</t>
  </si>
  <si>
    <t>Válvula:</t>
  </si>
  <si>
    <t>Manija:</t>
  </si>
  <si>
    <t>Manómetro:</t>
  </si>
  <si>
    <t>Sunchos:</t>
  </si>
  <si>
    <t>Cuello roscado:</t>
  </si>
  <si>
    <t>Manguera:</t>
  </si>
  <si>
    <t>O'ring (caucho):</t>
  </si>
  <si>
    <t>Pintura:</t>
  </si>
  <si>
    <t>litros</t>
  </si>
  <si>
    <t>Sellador:</t>
  </si>
  <si>
    <t xml:space="preserve"> Alambre (para el seguro):</t>
  </si>
  <si>
    <t>Años 2 a 10</t>
  </si>
  <si>
    <t>Périodo Inst</t>
  </si>
  <si>
    <t>Años 2-10</t>
  </si>
  <si>
    <t>Ventas</t>
  </si>
  <si>
    <t>Stock promedio de elaborado</t>
  </si>
  <si>
    <t>Producción</t>
  </si>
  <si>
    <t>Desperdicio no recuperables</t>
  </si>
  <si>
    <t>Acero (m2)</t>
  </si>
  <si>
    <t>Polvo (kg)</t>
  </si>
  <si>
    <t>Nitrógeno (g)</t>
  </si>
  <si>
    <t>En curso y semielaborados</t>
  </si>
  <si>
    <t>Láminas (u)</t>
  </si>
  <si>
    <t>Consumo MP</t>
  </si>
  <si>
    <t>Stock de MP</t>
  </si>
  <si>
    <t>Compra</t>
  </si>
  <si>
    <t>Stock de láminas de acero</t>
  </si>
  <si>
    <t>Stock de polvo químico</t>
  </si>
  <si>
    <t>Stock de nitrógeno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</si>
  <si>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</si>
  <si>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</si>
  <si>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</si>
  <si>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</si>
  <si>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</si>
  <si>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</si>
  <si>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</si>
  <si>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</si>
  <si>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</si>
  <si>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</si>
  <si>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</si>
  <si>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</si>
  <si>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</si>
  <si>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</si>
  <si>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</si>
  <si>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</si>
  <si>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</si>
  <si>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Stock de válvulas, manijas, manómetros, sunchos, cuellos roscados, mangueras y o'rings</t>
  </si>
  <si>
    <t>Stock de pintura</t>
  </si>
  <si>
    <t>Años 1/5</t>
  </si>
  <si>
    <t>Gerente general</t>
  </si>
  <si>
    <t>Gerente de administración</t>
  </si>
  <si>
    <t>Administradores</t>
  </si>
  <si>
    <t>Jefe de planta</t>
  </si>
  <si>
    <t>Ritmo de trabajo</t>
  </si>
  <si>
    <t>Operarios (3)</t>
  </si>
  <si>
    <t>Gerente de producción</t>
  </si>
  <si>
    <t>Se trabaja con:</t>
  </si>
  <si>
    <t>Gerente de ventas</t>
  </si>
  <si>
    <t>turno</t>
  </si>
  <si>
    <t>días/año</t>
  </si>
  <si>
    <t>hs/turno</t>
  </si>
  <si>
    <t>días de vacaciones</t>
  </si>
  <si>
    <t>Total MOD</t>
  </si>
  <si>
    <t>días/semana</t>
  </si>
  <si>
    <t>feriados obligatorios</t>
  </si>
  <si>
    <t>Total MOI</t>
  </si>
  <si>
    <t>domingos</t>
  </si>
  <si>
    <t>Salarios Producción</t>
  </si>
  <si>
    <t>Horas/año trabajadas:</t>
  </si>
  <si>
    <t>hs/año</t>
  </si>
  <si>
    <t>$/hs operario</t>
  </si>
  <si>
    <t>Gasto anual año 2 a 5</t>
  </si>
  <si>
    <t>e) Recupero de Credito Fiscal</t>
  </si>
  <si>
    <t>Punto de equilibrio</t>
  </si>
  <si>
    <t>Costo constante</t>
  </si>
  <si>
    <t>Costo total</t>
  </si>
  <si>
    <t>Ingresos</t>
  </si>
  <si>
    <t>???</t>
  </si>
  <si>
    <t>Para que estaria esta columna? Tomen los datos de adentro de las tablas</t>
  </si>
  <si>
    <t>Pongan las formulas aca tambien, si les da cero, es por la formula</t>
  </si>
  <si>
    <t>Cortar y pegarla abajo</t>
  </si>
  <si>
    <t>Mejorar planilla de salarios, justifiquen numeros</t>
  </si>
  <si>
    <t>Hay errores en la planilla de Consumo MP</t>
  </si>
  <si>
    <t>Precios de MP?</t>
  </si>
  <si>
    <t>Revisar como se hace la imputacion de MP a la MCySE</t>
  </si>
  <si>
    <t>No hay gastos de PM?</t>
  </si>
  <si>
    <t>Formula</t>
  </si>
  <si>
    <t>Es con todos los gastos y costos de produccion, por lo que hay que sumar tabla 1 y 3</t>
  </si>
  <si>
    <t>Por que se multiplica por 0.9?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</si>
</sst>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(\$* #,##0.00_);_(\$* \(#,##0.00\);_(\$* \-??_);_(@_)"/>
    <numFmt numFmtId="165" formatCode="0.0"/>
    <numFmt numFmtId="166" formatCode="0.000"/>
    <numFmt numFmtId="167" formatCode="_(* #,##0.00_);_(* \(#,##0.00\);_(* \-??_);_(@_)"/>
    <numFmt numFmtId="168" formatCode="d&quot; de &quot;mmm&quot; de &quot;yy"/>
    <numFmt numFmtId="169" formatCode="&quot;$&quot;\ #,##0"/>
    <numFmt numFmtId="170" formatCode="_-[$$-2C0A]* #,##0.00_-;\-[$$-2C0A]* #,##0.00_-;_-[$$-2C0A]* &quot;-&quot;??_-;_-@_-"/>
    <numFmt numFmtId="171" formatCode="[$$-2C0A]#,##0"/>
  </numFmts>
  <fonts count="14" x14ac:knownFonts="1"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31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/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/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/>
      <top style="double">
        <color indexed="63"/>
      </top>
      <bottom style="hair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 style="double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double">
        <color indexed="63"/>
      </right>
      <top style="hair">
        <color indexed="63"/>
      </top>
      <bottom/>
      <diagonal/>
    </border>
    <border>
      <left style="double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3"/>
      </left>
      <right/>
      <top style="hair">
        <color indexed="63"/>
      </top>
      <bottom style="double">
        <color indexed="63"/>
      </bottom>
      <diagonal/>
    </border>
    <border>
      <left style="thin">
        <color indexed="63"/>
      </left>
      <right/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 style="double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hair">
        <color indexed="63"/>
      </bottom>
      <diagonal/>
    </border>
    <border>
      <left/>
      <right style="thin">
        <color indexed="63"/>
      </right>
      <top/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hair">
        <color indexed="63"/>
      </top>
      <bottom style="double">
        <color indexed="63"/>
      </bottom>
      <diagonal/>
    </border>
    <border>
      <left/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 style="double">
        <color indexed="63"/>
      </left>
      <right style="thin">
        <color indexed="63"/>
      </right>
      <top/>
      <bottom style="double">
        <color indexed="63"/>
      </bottom>
      <diagonal/>
    </border>
    <border>
      <left style="thin">
        <color indexed="63"/>
      </left>
      <right style="thin">
        <color indexed="63"/>
      </right>
      <top/>
      <bottom style="double">
        <color indexed="63"/>
      </bottom>
      <diagonal/>
    </border>
    <border>
      <left style="thin">
        <color indexed="63"/>
      </left>
      <right style="double">
        <color indexed="63"/>
      </right>
      <top/>
      <bottom style="double">
        <color indexed="63"/>
      </bottom>
      <diagonal/>
    </border>
    <border>
      <left style="double">
        <color indexed="63"/>
      </left>
      <right/>
      <top/>
      <bottom style="double">
        <color indexed="63"/>
      </bottom>
      <diagonal/>
    </border>
    <border>
      <left style="thin">
        <color indexed="63"/>
      </left>
      <right/>
      <top style="double">
        <color indexed="63"/>
      </top>
      <bottom style="hair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6" fillId="0" borderId="0" applyFill="0" applyBorder="0" applyAlignment="0" applyProtection="0"/>
    <xf numFmtId="164" fontId="6" fillId="0" borderId="0" applyFill="0" applyBorder="0" applyAlignment="0" applyProtection="0"/>
    <xf numFmtId="0" fontId="7" fillId="0" borderId="0"/>
    <xf numFmtId="9" fontId="6" fillId="0" borderId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9" fontId="2" fillId="2" borderId="1" xfId="4" applyFont="1" applyFill="1" applyBorder="1" applyAlignment="1" applyProtection="1"/>
    <xf numFmtId="0" fontId="3" fillId="0" borderId="0" xfId="0" applyFont="1"/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2" fillId="0" borderId="0" xfId="0" applyFont="1"/>
    <xf numFmtId="0" fontId="0" fillId="3" borderId="6" xfId="0" applyFill="1" applyBorder="1" applyProtection="1">
      <protection locked="0"/>
    </xf>
    <xf numFmtId="0" fontId="0" fillId="0" borderId="0" xfId="0" applyFill="1"/>
    <xf numFmtId="0" fontId="4" fillId="0" borderId="7" xfId="0" applyFont="1" applyFill="1" applyBorder="1"/>
    <xf numFmtId="0" fontId="4" fillId="0" borderId="10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2" fillId="0" borderId="15" xfId="0" applyFont="1" applyFill="1" applyBorder="1"/>
    <xf numFmtId="0" fontId="0" fillId="0" borderId="16" xfId="0" applyFill="1" applyBorder="1"/>
    <xf numFmtId="0" fontId="0" fillId="0" borderId="15" xfId="0" applyFont="1" applyFill="1" applyBorder="1"/>
    <xf numFmtId="164" fontId="0" fillId="0" borderId="16" xfId="2" applyFont="1" applyFill="1" applyBorder="1" applyAlignment="1" applyProtection="1">
      <protection locked="0"/>
    </xf>
    <xf numFmtId="0" fontId="0" fillId="0" borderId="15" xfId="0" applyFont="1" applyFill="1" applyBorder="1" applyAlignment="1">
      <alignment horizontal="left"/>
    </xf>
    <xf numFmtId="164" fontId="0" fillId="0" borderId="16" xfId="2" applyFont="1" applyFill="1" applyBorder="1" applyAlignment="1" applyProtection="1"/>
    <xf numFmtId="0" fontId="2" fillId="0" borderId="10" xfId="0" applyFont="1" applyFill="1" applyBorder="1" applyAlignment="1">
      <alignment horizontal="left"/>
    </xf>
    <xf numFmtId="164" fontId="0" fillId="0" borderId="11" xfId="2" applyFont="1" applyFill="1" applyBorder="1" applyAlignment="1" applyProtection="1">
      <protection locked="0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2" xfId="0" applyFont="1" applyFill="1" applyBorder="1"/>
    <xf numFmtId="0" fontId="2" fillId="0" borderId="7" xfId="0" applyFont="1" applyFill="1" applyBorder="1"/>
    <xf numFmtId="164" fontId="0" fillId="0" borderId="8" xfId="2" applyFont="1" applyFill="1" applyBorder="1" applyAlignment="1" applyProtection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2" fillId="0" borderId="13" xfId="0" applyFont="1" applyFill="1" applyBorder="1"/>
    <xf numFmtId="164" fontId="0" fillId="0" borderId="14" xfId="2" applyFont="1" applyFill="1" applyBorder="1" applyAlignment="1" applyProtection="1"/>
    <xf numFmtId="0" fontId="0" fillId="0" borderId="14" xfId="0" applyFill="1" applyBorder="1" applyAlignment="1">
      <alignment horizontal="center"/>
    </xf>
    <xf numFmtId="0" fontId="0" fillId="0" borderId="17" xfId="0" applyFill="1" applyBorder="1"/>
    <xf numFmtId="164" fontId="0" fillId="0" borderId="18" xfId="2" applyFont="1" applyFill="1" applyBorder="1" applyAlignment="1" applyProtection="1">
      <protection locked="0"/>
    </xf>
    <xf numFmtId="0" fontId="2" fillId="0" borderId="15" xfId="0" applyFont="1" applyFill="1" applyBorder="1" applyAlignment="1">
      <alignment horizontal="left"/>
    </xf>
    <xf numFmtId="165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65" fontId="0" fillId="0" borderId="16" xfId="0" applyNumberFormat="1" applyFill="1" applyBorder="1"/>
    <xf numFmtId="165" fontId="0" fillId="0" borderId="18" xfId="0" applyNumberFormat="1" applyFill="1" applyBorder="1"/>
    <xf numFmtId="165" fontId="2" fillId="0" borderId="16" xfId="0" applyNumberFormat="1" applyFon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165" fontId="0" fillId="0" borderId="0" xfId="0" applyNumberFormat="1" applyFill="1"/>
    <xf numFmtId="164" fontId="0" fillId="0" borderId="12" xfId="2" applyFont="1" applyFill="1" applyBorder="1" applyAlignment="1" applyProtection="1">
      <protection locked="0"/>
    </xf>
    <xf numFmtId="165" fontId="2" fillId="0" borderId="0" xfId="0" applyNumberFormat="1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0" fillId="0" borderId="14" xfId="2" applyFont="1" applyFill="1" applyBorder="1" applyAlignment="1" applyProtection="1">
      <alignment horizontal="center"/>
      <protection locked="0"/>
    </xf>
    <xf numFmtId="164" fontId="0" fillId="0" borderId="17" xfId="2" applyFont="1" applyFill="1" applyBorder="1" applyAlignment="1" applyProtection="1">
      <alignment horizontal="center"/>
      <protection locked="0"/>
    </xf>
    <xf numFmtId="164" fontId="0" fillId="0" borderId="16" xfId="2" applyFont="1" applyFill="1" applyBorder="1" applyAlignment="1" applyProtection="1">
      <alignment horizontal="center"/>
      <protection locked="0"/>
    </xf>
    <xf numFmtId="164" fontId="0" fillId="0" borderId="18" xfId="2" applyFont="1" applyFill="1" applyBorder="1" applyAlignment="1" applyProtection="1">
      <alignment horizontal="center"/>
      <protection locked="0"/>
    </xf>
    <xf numFmtId="165" fontId="0" fillId="0" borderId="22" xfId="0" applyNumberFormat="1" applyFill="1" applyBorder="1" applyAlignment="1">
      <alignment horizontal="center"/>
    </xf>
    <xf numFmtId="165" fontId="0" fillId="0" borderId="23" xfId="0" applyNumberFormat="1" applyFill="1" applyBorder="1"/>
    <xf numFmtId="0" fontId="2" fillId="0" borderId="24" xfId="0" applyFont="1" applyFill="1" applyBorder="1"/>
    <xf numFmtId="164" fontId="0" fillId="0" borderId="11" xfId="2" applyFont="1" applyFill="1" applyBorder="1" applyAlignment="1" applyProtection="1">
      <alignment horizontal="center"/>
      <protection locked="0"/>
    </xf>
    <xf numFmtId="164" fontId="0" fillId="0" borderId="12" xfId="2" applyFont="1" applyFill="1" applyBorder="1" applyAlignment="1" applyProtection="1">
      <alignment horizontal="center"/>
      <protection locked="0"/>
    </xf>
    <xf numFmtId="0" fontId="0" fillId="0" borderId="7" xfId="0" applyFill="1" applyBorder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2" fillId="0" borderId="0" xfId="0" applyFont="1" applyFill="1"/>
    <xf numFmtId="166" fontId="0" fillId="0" borderId="0" xfId="0" applyNumberFormat="1" applyFill="1" applyAlignment="1">
      <alignment horizontal="center"/>
    </xf>
    <xf numFmtId="166" fontId="2" fillId="0" borderId="8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164" fontId="0" fillId="0" borderId="22" xfId="2" applyFont="1" applyFill="1" applyBorder="1" applyAlignment="1" applyProtection="1">
      <alignment horizontal="center"/>
      <protection locked="0"/>
    </xf>
    <xf numFmtId="164" fontId="0" fillId="0" borderId="23" xfId="2" applyFont="1" applyFill="1" applyBorder="1" applyAlignment="1" applyProtection="1">
      <alignment horizontal="center"/>
      <protection locked="0"/>
    </xf>
    <xf numFmtId="9" fontId="0" fillId="0" borderId="11" xfId="4" applyFont="1" applyFill="1" applyBorder="1" applyAlignment="1" applyProtection="1">
      <alignment horizontal="center"/>
      <protection locked="0"/>
    </xf>
    <xf numFmtId="9" fontId="0" fillId="0" borderId="12" xfId="4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center"/>
    </xf>
    <xf numFmtId="164" fontId="0" fillId="0" borderId="8" xfId="2" applyFont="1" applyFill="1" applyBorder="1" applyAlignment="1" applyProtection="1">
      <alignment horizontal="center"/>
      <protection locked="0"/>
    </xf>
    <xf numFmtId="164" fontId="0" fillId="0" borderId="9" xfId="2" applyFont="1" applyFill="1" applyBorder="1" applyAlignment="1" applyProtection="1">
      <alignment horizontal="center"/>
      <protection locked="0"/>
    </xf>
    <xf numFmtId="164" fontId="0" fillId="0" borderId="16" xfId="2" applyFont="1" applyFill="1" applyBorder="1" applyAlignment="1" applyProtection="1">
      <alignment horizontal="center"/>
    </xf>
    <xf numFmtId="164" fontId="0" fillId="0" borderId="18" xfId="2" applyFont="1" applyFill="1" applyBorder="1" applyAlignment="1" applyProtection="1">
      <alignment horizontal="center"/>
    </xf>
    <xf numFmtId="9" fontId="0" fillId="0" borderId="16" xfId="4" applyFont="1" applyFill="1" applyBorder="1" applyAlignment="1" applyProtection="1">
      <alignment horizontal="center"/>
      <protection locked="0"/>
    </xf>
    <xf numFmtId="9" fontId="0" fillId="0" borderId="18" xfId="4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7" fontId="0" fillId="0" borderId="16" xfId="1" applyFont="1" applyFill="1" applyBorder="1" applyAlignment="1" applyProtection="1">
      <alignment horizontal="center"/>
      <protection locked="0"/>
    </xf>
    <xf numFmtId="167" fontId="0" fillId="0" borderId="18" xfId="1" applyFont="1" applyFill="1" applyBorder="1" applyAlignment="1" applyProtection="1">
      <alignment horizontal="center"/>
      <protection locked="0"/>
    </xf>
    <xf numFmtId="164" fontId="2" fillId="0" borderId="16" xfId="2" applyFont="1" applyFill="1" applyBorder="1" applyAlignment="1" applyProtection="1">
      <alignment horizontal="center"/>
      <protection locked="0"/>
    </xf>
    <xf numFmtId="164" fontId="2" fillId="0" borderId="18" xfId="2" applyFont="1" applyFill="1" applyBorder="1" applyAlignment="1" applyProtection="1">
      <alignment horizontal="center"/>
      <protection locked="0"/>
    </xf>
    <xf numFmtId="164" fontId="2" fillId="0" borderId="16" xfId="2" applyFont="1" applyFill="1" applyBorder="1" applyAlignment="1" applyProtection="1">
      <alignment horizontal="center"/>
    </xf>
    <xf numFmtId="164" fontId="2" fillId="0" borderId="18" xfId="2" applyFont="1" applyFill="1" applyBorder="1" applyAlignment="1" applyProtection="1">
      <alignment horizontal="center"/>
    </xf>
    <xf numFmtId="9" fontId="0" fillId="0" borderId="16" xfId="4" applyFont="1" applyFill="1" applyBorder="1" applyAlignment="1" applyProtection="1">
      <protection locked="0"/>
    </xf>
    <xf numFmtId="9" fontId="0" fillId="0" borderId="18" xfId="4" applyFont="1" applyFill="1" applyBorder="1" applyAlignment="1" applyProtection="1">
      <protection locked="0"/>
    </xf>
    <xf numFmtId="9" fontId="0" fillId="0" borderId="16" xfId="4" applyFont="1" applyFill="1" applyBorder="1" applyAlignment="1" applyProtection="1"/>
    <xf numFmtId="9" fontId="0" fillId="0" borderId="18" xfId="4" applyFont="1" applyFill="1" applyBorder="1" applyAlignment="1" applyProtection="1"/>
    <xf numFmtId="164" fontId="0" fillId="0" borderId="18" xfId="2" applyFont="1" applyFill="1" applyBorder="1" applyAlignment="1" applyProtection="1"/>
    <xf numFmtId="0" fontId="4" fillId="0" borderId="0" xfId="0" applyFont="1" applyFill="1"/>
    <xf numFmtId="0" fontId="0" fillId="0" borderId="0" xfId="0" applyBorder="1"/>
    <xf numFmtId="0" fontId="2" fillId="0" borderId="25" xfId="0" applyFont="1" applyFill="1" applyBorder="1"/>
    <xf numFmtId="164" fontId="0" fillId="0" borderId="14" xfId="2" applyFont="1" applyFill="1" applyBorder="1" applyAlignment="1" applyProtection="1">
      <alignment horizontal="center"/>
    </xf>
    <xf numFmtId="164" fontId="0" fillId="0" borderId="17" xfId="2" applyFont="1" applyFill="1" applyBorder="1" applyAlignment="1" applyProtection="1">
      <alignment horizontal="center"/>
    </xf>
    <xf numFmtId="0" fontId="0" fillId="0" borderId="25" xfId="0" applyFill="1" applyBorder="1"/>
    <xf numFmtId="0" fontId="2" fillId="0" borderId="26" xfId="0" applyFont="1" applyFill="1" applyBorder="1"/>
    <xf numFmtId="0" fontId="2" fillId="0" borderId="11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/>
    </xf>
    <xf numFmtId="164" fontId="0" fillId="0" borderId="28" xfId="2" applyFont="1" applyFill="1" applyBorder="1" applyAlignment="1" applyProtection="1">
      <alignment horizontal="center"/>
    </xf>
    <xf numFmtId="0" fontId="0" fillId="0" borderId="25" xfId="0" applyFont="1" applyFill="1" applyBorder="1"/>
    <xf numFmtId="164" fontId="0" fillId="0" borderId="29" xfId="2" applyFont="1" applyFill="1" applyBorder="1" applyAlignment="1" applyProtection="1">
      <alignment horizontal="center"/>
      <protection locked="0"/>
    </xf>
    <xf numFmtId="164" fontId="0" fillId="0" borderId="29" xfId="2" applyFont="1" applyFill="1" applyBorder="1" applyAlignment="1" applyProtection="1">
      <alignment horizontal="center"/>
    </xf>
    <xf numFmtId="164" fontId="0" fillId="0" borderId="27" xfId="2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32" xfId="0" applyFont="1" applyFill="1" applyBorder="1"/>
    <xf numFmtId="164" fontId="0" fillId="0" borderId="33" xfId="2" applyFont="1" applyFill="1" applyBorder="1" applyAlignment="1" applyProtection="1">
      <alignment horizontal="center"/>
    </xf>
    <xf numFmtId="0" fontId="0" fillId="0" borderId="34" xfId="0" applyFont="1" applyFill="1" applyBorder="1"/>
    <xf numFmtId="164" fontId="0" fillId="0" borderId="35" xfId="2" applyFont="1" applyFill="1" applyBorder="1" applyAlignment="1" applyProtection="1">
      <alignment horizontal="center"/>
      <protection locked="0"/>
    </xf>
    <xf numFmtId="0" fontId="2" fillId="0" borderId="34" xfId="0" applyFont="1" applyFill="1" applyBorder="1"/>
    <xf numFmtId="164" fontId="0" fillId="0" borderId="35" xfId="2" applyFont="1" applyFill="1" applyBorder="1" applyAlignment="1" applyProtection="1">
      <alignment horizontal="center"/>
    </xf>
    <xf numFmtId="0" fontId="2" fillId="0" borderId="34" xfId="0" applyFont="1" applyFill="1" applyBorder="1" applyAlignment="1">
      <alignment horizontal="left"/>
    </xf>
    <xf numFmtId="0" fontId="2" fillId="0" borderId="36" xfId="0" applyFont="1" applyFill="1" applyBorder="1"/>
    <xf numFmtId="164" fontId="0" fillId="0" borderId="37" xfId="2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/>
    </xf>
    <xf numFmtId="164" fontId="0" fillId="0" borderId="33" xfId="2" applyFont="1" applyFill="1" applyBorder="1" applyAlignment="1" applyProtection="1">
      <alignment horizontal="center"/>
      <protection locked="0"/>
    </xf>
    <xf numFmtId="164" fontId="0" fillId="0" borderId="28" xfId="2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4" fontId="0" fillId="0" borderId="1" xfId="2" applyFont="1" applyFill="1" applyBorder="1" applyAlignment="1" applyProtection="1">
      <protection locked="0"/>
    </xf>
    <xf numFmtId="0" fontId="0" fillId="0" borderId="1" xfId="0" applyFill="1" applyBorder="1" applyProtection="1">
      <protection locked="0"/>
    </xf>
    <xf numFmtId="9" fontId="0" fillId="0" borderId="1" xfId="4" applyFont="1" applyFill="1" applyBorder="1" applyAlignment="1" applyProtection="1">
      <protection locked="0"/>
    </xf>
    <xf numFmtId="0" fontId="0" fillId="0" borderId="1" xfId="0" applyBorder="1"/>
    <xf numFmtId="0" fontId="4" fillId="0" borderId="7" xfId="0" applyFont="1" applyFill="1" applyBorder="1" applyAlignment="1">
      <alignment horizontal="left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164" fontId="2" fillId="0" borderId="11" xfId="2" applyFont="1" applyFill="1" applyBorder="1" applyAlignment="1" applyProtection="1">
      <alignment horizontal="center"/>
      <protection locked="0"/>
    </xf>
    <xf numFmtId="9" fontId="2" fillId="0" borderId="11" xfId="4" applyFont="1" applyFill="1" applyBorder="1" applyAlignment="1" applyProtection="1">
      <alignment horizontal="center"/>
      <protection locked="0"/>
    </xf>
    <xf numFmtId="9" fontId="2" fillId="0" borderId="12" xfId="4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Alignment="1">
      <alignment horizontal="center"/>
    </xf>
    <xf numFmtId="0" fontId="4" fillId="0" borderId="38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168" fontId="0" fillId="0" borderId="7" xfId="0" applyNumberFormat="1" applyFont="1" applyFill="1" applyBorder="1" applyProtection="1">
      <protection locked="0"/>
    </xf>
    <xf numFmtId="164" fontId="0" fillId="0" borderId="8" xfId="2" applyFont="1" applyFill="1" applyBorder="1" applyAlignment="1" applyProtection="1">
      <protection locked="0"/>
    </xf>
    <xf numFmtId="9" fontId="0" fillId="0" borderId="8" xfId="4" applyFont="1" applyFill="1" applyBorder="1" applyAlignment="1" applyProtection="1">
      <protection locked="0"/>
    </xf>
    <xf numFmtId="168" fontId="0" fillId="0" borderId="15" xfId="0" applyNumberFormat="1" applyFont="1" applyFill="1" applyBorder="1" applyProtection="1">
      <protection locked="0"/>
    </xf>
    <xf numFmtId="168" fontId="0" fillId="0" borderId="10" xfId="0" applyNumberFormat="1" applyFont="1" applyFill="1" applyBorder="1" applyProtection="1">
      <protection locked="0"/>
    </xf>
    <xf numFmtId="9" fontId="0" fillId="0" borderId="11" xfId="4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right"/>
    </xf>
    <xf numFmtId="164" fontId="2" fillId="0" borderId="0" xfId="2" applyFont="1" applyFill="1" applyBorder="1" applyAlignment="1" applyProtection="1">
      <alignment horizontal="center"/>
    </xf>
    <xf numFmtId="164" fontId="2" fillId="0" borderId="1" xfId="2" applyFont="1" applyFill="1" applyBorder="1" applyAlignment="1" applyProtection="1">
      <alignment horizontal="center"/>
      <protection locked="0"/>
    </xf>
    <xf numFmtId="164" fontId="2" fillId="0" borderId="0" xfId="2" applyFont="1" applyFill="1" applyBorder="1" applyAlignment="1" applyProtection="1"/>
    <xf numFmtId="9" fontId="0" fillId="0" borderId="0" xfId="4" applyFont="1" applyFill="1" applyBorder="1" applyAlignment="1" applyProtection="1"/>
    <xf numFmtId="168" fontId="0" fillId="0" borderId="15" xfId="0" applyNumberFormat="1" applyFont="1" applyFill="1" applyBorder="1" applyAlignment="1" applyProtection="1">
      <alignment horizontal="left"/>
      <protection locked="0"/>
    </xf>
    <xf numFmtId="164" fontId="2" fillId="0" borderId="11" xfId="2" applyFont="1" applyFill="1" applyBorder="1" applyAlignment="1" applyProtection="1"/>
    <xf numFmtId="9" fontId="2" fillId="0" borderId="11" xfId="4" applyFont="1" applyFill="1" applyBorder="1" applyAlignment="1" applyProtection="1"/>
    <xf numFmtId="164" fontId="2" fillId="0" borderId="12" xfId="2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4" fillId="0" borderId="19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2" fillId="0" borderId="26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0" fillId="0" borderId="47" xfId="0" applyFill="1" applyBorder="1" applyProtection="1"/>
    <xf numFmtId="164" fontId="2" fillId="0" borderId="17" xfId="2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2" fillId="0" borderId="15" xfId="0" applyFont="1" applyFill="1" applyBorder="1" applyAlignment="1" applyProtection="1">
      <alignment horizontal="left"/>
    </xf>
    <xf numFmtId="0" fontId="2" fillId="0" borderId="10" xfId="0" applyFont="1" applyFill="1" applyBorder="1" applyProtection="1"/>
    <xf numFmtId="0" fontId="4" fillId="0" borderId="0" xfId="0" applyFont="1" applyFill="1" applyProtection="1"/>
    <xf numFmtId="0" fontId="4" fillId="0" borderId="30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wrapText="1"/>
    </xf>
    <xf numFmtId="0" fontId="2" fillId="0" borderId="32" xfId="0" applyFont="1" applyFill="1" applyBorder="1" applyProtection="1"/>
    <xf numFmtId="0" fontId="0" fillId="0" borderId="34" xfId="0" applyFont="1" applyFill="1" applyBorder="1" applyProtection="1"/>
    <xf numFmtId="0" fontId="0" fillId="0" borderId="34" xfId="0" applyFont="1" applyFill="1" applyBorder="1" applyAlignment="1" applyProtection="1">
      <alignment horizontal="left"/>
    </xf>
    <xf numFmtId="0" fontId="2" fillId="0" borderId="34" xfId="0" applyFont="1" applyFill="1" applyBorder="1" applyProtection="1"/>
    <xf numFmtId="0" fontId="2" fillId="0" borderId="34" xfId="0" applyFont="1" applyFill="1" applyBorder="1" applyAlignment="1" applyProtection="1">
      <alignment horizontal="left"/>
    </xf>
    <xf numFmtId="0" fontId="2" fillId="0" borderId="36" xfId="0" applyFont="1" applyFill="1" applyBorder="1" applyProtection="1"/>
    <xf numFmtId="0" fontId="0" fillId="0" borderId="0" xfId="0" applyProtection="1"/>
    <xf numFmtId="0" fontId="4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center"/>
    </xf>
    <xf numFmtId="0" fontId="4" fillId="0" borderId="4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2" fillId="0" borderId="16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167" fontId="0" fillId="0" borderId="29" xfId="1" applyFont="1" applyFill="1" applyBorder="1" applyAlignment="1" applyProtection="1">
      <alignment horizontal="center"/>
      <protection locked="0"/>
    </xf>
    <xf numFmtId="167" fontId="0" fillId="0" borderId="16" xfId="1" applyFont="1" applyFill="1" applyBorder="1" applyAlignment="1" applyProtection="1">
      <protection locked="0"/>
    </xf>
    <xf numFmtId="167" fontId="0" fillId="0" borderId="29" xfId="1" applyFont="1" applyFill="1" applyBorder="1" applyAlignment="1" applyProtection="1">
      <protection locked="0"/>
    </xf>
    <xf numFmtId="167" fontId="0" fillId="0" borderId="18" xfId="1" applyFont="1" applyFill="1" applyBorder="1" applyAlignment="1" applyProtection="1">
      <protection locked="0"/>
    </xf>
    <xf numFmtId="164" fontId="2" fillId="0" borderId="29" xfId="2" applyFont="1" applyFill="1" applyBorder="1" applyAlignment="1" applyProtection="1">
      <alignment horizontal="center"/>
      <protection locked="0"/>
    </xf>
    <xf numFmtId="164" fontId="0" fillId="0" borderId="27" xfId="2" applyFont="1" applyFill="1" applyBorder="1" applyAlignment="1" applyProtection="1">
      <protection locked="0"/>
    </xf>
    <xf numFmtId="0" fontId="0" fillId="0" borderId="24" xfId="0" applyFill="1" applyBorder="1" applyProtection="1"/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7" xfId="0" applyFont="1" applyFill="1" applyBorder="1" applyProtection="1"/>
    <xf numFmtId="167" fontId="0" fillId="0" borderId="8" xfId="1" applyFont="1" applyFill="1" applyBorder="1" applyAlignment="1" applyProtection="1">
      <alignment horizontal="center"/>
      <protection locked="0"/>
    </xf>
    <xf numFmtId="167" fontId="0" fillId="0" borderId="9" xfId="1" applyFont="1" applyFill="1" applyBorder="1" applyAlignment="1" applyProtection="1">
      <alignment horizontal="center"/>
      <protection locked="0"/>
    </xf>
    <xf numFmtId="167" fontId="0" fillId="0" borderId="16" xfId="1" applyFont="1" applyFill="1" applyBorder="1" applyAlignment="1" applyProtection="1">
      <alignment horizontal="center"/>
    </xf>
    <xf numFmtId="167" fontId="0" fillId="0" borderId="18" xfId="1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 wrapText="1"/>
    </xf>
    <xf numFmtId="0" fontId="2" fillId="0" borderId="12" xfId="0" applyFont="1" applyFill="1" applyBorder="1" applyAlignment="1" applyProtection="1">
      <alignment horizontal="center" wrapText="1"/>
    </xf>
    <xf numFmtId="0" fontId="2" fillId="0" borderId="32" xfId="0" applyFont="1" applyFill="1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0" fontId="5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3" fontId="0" fillId="3" borderId="1" xfId="0" applyNumberFormat="1" applyFill="1" applyBorder="1" applyProtection="1">
      <protection locked="0"/>
    </xf>
    <xf numFmtId="43" fontId="0" fillId="0" borderId="0" xfId="0" applyNumberFormat="1" applyFill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0" applyNumberFormat="1" applyFill="1"/>
    <xf numFmtId="44" fontId="0" fillId="0" borderId="16" xfId="2" applyNumberFormat="1" applyFont="1" applyFill="1" applyBorder="1" applyAlignment="1" applyProtection="1">
      <alignment horizontal="center"/>
      <protection locked="0"/>
    </xf>
    <xf numFmtId="44" fontId="0" fillId="0" borderId="18" xfId="2" applyNumberFormat="1" applyFont="1" applyFill="1" applyBorder="1" applyAlignment="1" applyProtection="1">
      <protection locked="0"/>
    </xf>
    <xf numFmtId="44" fontId="0" fillId="0" borderId="18" xfId="2" applyNumberFormat="1" applyFont="1" applyFill="1" applyBorder="1" applyAlignment="1" applyProtection="1">
      <alignment horizontal="center"/>
      <protection locked="0"/>
    </xf>
    <xf numFmtId="44" fontId="0" fillId="0" borderId="22" xfId="0" applyNumberFormat="1" applyFill="1" applyBorder="1" applyAlignment="1">
      <alignment horizontal="center"/>
    </xf>
    <xf numFmtId="10" fontId="0" fillId="0" borderId="22" xfId="0" applyNumberFormat="1" applyFill="1" applyBorder="1" applyAlignment="1" applyProtection="1">
      <alignment horizontal="center"/>
      <protection locked="0"/>
    </xf>
    <xf numFmtId="10" fontId="0" fillId="0" borderId="11" xfId="2" applyNumberFormat="1" applyFont="1" applyFill="1" applyBorder="1" applyAlignment="1" applyProtection="1">
      <alignment horizontal="center"/>
      <protection locked="0"/>
    </xf>
    <xf numFmtId="10" fontId="0" fillId="0" borderId="16" xfId="4" applyNumberFormat="1" applyFont="1" applyFill="1" applyBorder="1" applyAlignment="1" applyProtection="1">
      <alignment horizontal="center"/>
      <protection locked="0"/>
    </xf>
    <xf numFmtId="167" fontId="2" fillId="0" borderId="16" xfId="2" applyNumberFormat="1" applyFont="1" applyFill="1" applyBorder="1" applyAlignment="1" applyProtection="1">
      <alignment horizontal="center"/>
      <protection locked="0"/>
    </xf>
    <xf numFmtId="164" fontId="0" fillId="0" borderId="16" xfId="4" applyNumberFormat="1" applyFont="1" applyFill="1" applyBorder="1" applyAlignment="1" applyProtection="1">
      <protection locked="0"/>
    </xf>
    <xf numFmtId="44" fontId="0" fillId="0" borderId="16" xfId="4" applyNumberFormat="1" applyFont="1" applyFill="1" applyBorder="1" applyAlignment="1" applyProtection="1">
      <protection locked="0"/>
    </xf>
    <xf numFmtId="169" fontId="0" fillId="0" borderId="16" xfId="4" applyNumberFormat="1" applyFont="1" applyFill="1" applyBorder="1" applyAlignment="1" applyProtection="1">
      <protection locked="0"/>
    </xf>
    <xf numFmtId="0" fontId="7" fillId="0" borderId="0" xfId="3"/>
    <xf numFmtId="0" fontId="7" fillId="0" borderId="0" xfId="3" applyAlignment="1">
      <alignment wrapText="1"/>
    </xf>
    <xf numFmtId="0" fontId="8" fillId="0" borderId="0" xfId="3" applyFont="1"/>
    <xf numFmtId="0" fontId="9" fillId="0" borderId="0" xfId="3" applyFont="1"/>
    <xf numFmtId="0" fontId="7" fillId="0" borderId="50" xfId="3" applyBorder="1"/>
    <xf numFmtId="1" fontId="7" fillId="0" borderId="50" xfId="3" applyNumberFormat="1" applyBorder="1"/>
    <xf numFmtId="2" fontId="7" fillId="0" borderId="50" xfId="3" applyNumberFormat="1" applyBorder="1"/>
    <xf numFmtId="0" fontId="7" fillId="4" borderId="50" xfId="3" applyFill="1" applyBorder="1"/>
    <xf numFmtId="0" fontId="8" fillId="4" borderId="50" xfId="3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0" fontId="0" fillId="0" borderId="11" xfId="4" applyNumberFormat="1" applyFont="1" applyFill="1" applyBorder="1" applyAlignment="1" applyProtection="1">
      <alignment horizontal="center"/>
      <protection locked="0"/>
    </xf>
    <xf numFmtId="10" fontId="0" fillId="0" borderId="11" xfId="2" applyNumberFormat="1" applyFont="1" applyFill="1" applyBorder="1" applyAlignment="1" applyProtection="1">
      <protection locked="0"/>
    </xf>
    <xf numFmtId="170" fontId="0" fillId="0" borderId="0" xfId="0" applyNumberFormat="1" applyFill="1"/>
    <xf numFmtId="170" fontId="0" fillId="0" borderId="22" xfId="0" applyNumberFormat="1" applyFill="1" applyBorder="1" applyAlignment="1" applyProtection="1">
      <alignment horizontal="center"/>
      <protection locked="0"/>
    </xf>
    <xf numFmtId="170" fontId="0" fillId="0" borderId="16" xfId="2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43" fontId="0" fillId="0" borderId="1" xfId="0" applyNumberFormat="1" applyFill="1" applyBorder="1" applyProtection="1">
      <protection locked="0"/>
    </xf>
    <xf numFmtId="171" fontId="0" fillId="0" borderId="50" xfId="0" applyNumberFormat="1" applyBorder="1"/>
    <xf numFmtId="10" fontId="0" fillId="0" borderId="50" xfId="0" applyNumberFormat="1" applyBorder="1"/>
    <xf numFmtId="0" fontId="2" fillId="0" borderId="50" xfId="0" applyFont="1" applyBorder="1" applyAlignment="1">
      <alignment horizontal="center"/>
    </xf>
    <xf numFmtId="9" fontId="0" fillId="0" borderId="50" xfId="0" applyNumberFormat="1" applyBorder="1"/>
    <xf numFmtId="0" fontId="10" fillId="0" borderId="0" xfId="0" applyFont="1"/>
    <xf numFmtId="0" fontId="0" fillId="3" borderId="1" xfId="0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9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0" fillId="5" borderId="1" xfId="0" applyFill="1" applyBorder="1" applyProtection="1">
      <protection locked="0"/>
    </xf>
    <xf numFmtId="0" fontId="0" fillId="5" borderId="5" xfId="0" applyFill="1" applyBorder="1" applyProtection="1">
      <protection locked="0"/>
    </xf>
    <xf numFmtId="164" fontId="0" fillId="6" borderId="16" xfId="2" applyFont="1" applyFill="1" applyBorder="1" applyAlignment="1" applyProtection="1">
      <protection locked="0"/>
    </xf>
    <xf numFmtId="0" fontId="2" fillId="6" borderId="0" xfId="0" applyFont="1" applyFill="1" applyAlignment="1">
      <alignment horizontal="center"/>
    </xf>
    <xf numFmtId="0" fontId="11" fillId="0" borderId="0" xfId="0" applyFont="1" applyFill="1"/>
    <xf numFmtId="164" fontId="0" fillId="6" borderId="18" xfId="2" applyFont="1" applyFill="1" applyBorder="1" applyAlignment="1" applyProtection="1">
      <protection locked="0"/>
    </xf>
    <xf numFmtId="164" fontId="0" fillId="6" borderId="0" xfId="0" applyNumberFormat="1" applyFill="1"/>
    <xf numFmtId="0" fontId="0" fillId="6" borderId="0" xfId="0" applyFill="1"/>
    <xf numFmtId="43" fontId="0" fillId="6" borderId="0" xfId="0" applyNumberFormat="1" applyFill="1"/>
    <xf numFmtId="44" fontId="0" fillId="6" borderId="14" xfId="2" applyNumberFormat="1" applyFont="1" applyFill="1" applyBorder="1" applyAlignment="1" applyProtection="1">
      <alignment horizontal="center"/>
      <protection locked="0"/>
    </xf>
    <xf numFmtId="44" fontId="0" fillId="6" borderId="16" xfId="2" applyNumberFormat="1" applyFont="1" applyFill="1" applyBorder="1" applyAlignment="1" applyProtection="1">
      <alignment horizontal="center"/>
      <protection locked="0"/>
    </xf>
    <xf numFmtId="164" fontId="6" fillId="0" borderId="0" xfId="2"/>
    <xf numFmtId="164" fontId="0" fillId="6" borderId="14" xfId="2" applyFont="1" applyFill="1" applyBorder="1" applyAlignment="1" applyProtection="1">
      <alignment horizontal="center"/>
      <protection locked="0"/>
    </xf>
    <xf numFmtId="0" fontId="0" fillId="6" borderId="7" xfId="0" applyFill="1" applyBorder="1"/>
    <xf numFmtId="0" fontId="2" fillId="6" borderId="8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0" fillId="6" borderId="15" xfId="0" applyFont="1" applyFill="1" applyBorder="1"/>
    <xf numFmtId="164" fontId="0" fillId="6" borderId="16" xfId="2" applyFont="1" applyFill="1" applyBorder="1" applyAlignment="1" applyProtection="1">
      <alignment horizontal="center"/>
      <protection locked="0"/>
    </xf>
    <xf numFmtId="166" fontId="11" fillId="0" borderId="0" xfId="0" applyNumberFormat="1" applyFont="1" applyFill="1" applyAlignment="1">
      <alignment horizontal="left"/>
    </xf>
    <xf numFmtId="164" fontId="0" fillId="6" borderId="22" xfId="2" applyFont="1" applyFill="1" applyBorder="1" applyAlignment="1" applyProtection="1">
      <alignment horizontal="center"/>
      <protection locked="0"/>
    </xf>
    <xf numFmtId="166" fontId="11" fillId="0" borderId="0" xfId="0" applyNumberFormat="1" applyFont="1" applyFill="1" applyAlignment="1">
      <alignment horizontal="center"/>
    </xf>
    <xf numFmtId="0" fontId="2" fillId="6" borderId="24" xfId="0" applyFont="1" applyFill="1" applyBorder="1"/>
    <xf numFmtId="9" fontId="0" fillId="6" borderId="22" xfId="4" applyFont="1" applyFill="1" applyBorder="1" applyAlignment="1" applyProtection="1">
      <alignment horizontal="center"/>
      <protection locked="0"/>
    </xf>
    <xf numFmtId="0" fontId="2" fillId="6" borderId="10" xfId="0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Constante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equilibrio'!$D$14:$E$14</c:f>
              <c:numCache>
                <c:formatCode>[$$-2C0A]#,##0</c:formatCode>
                <c:ptCount val="2"/>
                <c:pt idx="0">
                  <c:v>5488368.7348003024</c:v>
                </c:pt>
                <c:pt idx="1">
                  <c:v>5488368.7348003024</c:v>
                </c:pt>
              </c:numCache>
            </c:numRef>
          </c:yVal>
          <c:smooth val="0"/>
        </c:ser>
        <c:ser>
          <c:idx val="1"/>
          <c:order val="1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equilibrio'!$D$15:$E$15</c:f>
              <c:numCache>
                <c:formatCode>[$$-2C0A]#,##0</c:formatCode>
                <c:ptCount val="2"/>
                <c:pt idx="0">
                  <c:v>5488368.7348003024</c:v>
                </c:pt>
                <c:pt idx="1">
                  <c:v>17925481.683296282</c:v>
                </c:pt>
              </c:numCache>
            </c:numRef>
          </c:yVal>
          <c:smooth val="0"/>
        </c:ser>
        <c:ser>
          <c:idx val="2"/>
          <c:order val="2"/>
          <c:tx>
            <c:v>Ingreso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equilibrio'!$D$16:$E$16</c:f>
              <c:numCache>
                <c:formatCode>[$$-2C0A]#,##0</c:formatCode>
                <c:ptCount val="2"/>
                <c:pt idx="0">
                  <c:v>0</c:v>
                </c:pt>
                <c:pt idx="1">
                  <c:v>18801391.304347828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52224"/>
        <c:axId val="102053760"/>
      </c:scatterChart>
      <c:valAx>
        <c:axId val="1020522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2053760"/>
        <c:crosses val="autoZero"/>
        <c:crossBetween val="midCat"/>
      </c:valAx>
      <c:valAx>
        <c:axId val="10205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C0A]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205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Constante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equilibrio'!$M$14:$N$14</c:f>
              <c:numCache>
                <c:formatCode>[$$-2C0A]#,##0</c:formatCode>
                <c:ptCount val="2"/>
                <c:pt idx="0">
                  <c:v>5491288.0613762848</c:v>
                </c:pt>
                <c:pt idx="1">
                  <c:v>5491288.0613762848</c:v>
                </c:pt>
              </c:numCache>
            </c:numRef>
          </c:yVal>
          <c:smooth val="0"/>
        </c:ser>
        <c:ser>
          <c:idx val="1"/>
          <c:order val="1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equilibrio'!$M$15:$N$15</c:f>
              <c:numCache>
                <c:formatCode>[$$-2C0A]#,##0</c:formatCode>
                <c:ptCount val="2"/>
                <c:pt idx="0">
                  <c:v>5491288.0613762848</c:v>
                </c:pt>
                <c:pt idx="1">
                  <c:v>19371350.673681967</c:v>
                </c:pt>
              </c:numCache>
            </c:numRef>
          </c:yVal>
          <c:smooth val="0"/>
        </c:ser>
        <c:ser>
          <c:idx val="2"/>
          <c:order val="2"/>
          <c:tx>
            <c:v>Ingresos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equilibrio'!$M$16:$N$16</c:f>
              <c:numCache>
                <c:formatCode>[$$-2C0A]#,##0</c:formatCode>
                <c:ptCount val="2"/>
                <c:pt idx="0">
                  <c:v>0</c:v>
                </c:pt>
                <c:pt idx="1">
                  <c:v>21600000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92800"/>
        <c:axId val="102094336"/>
      </c:scatterChart>
      <c:valAx>
        <c:axId val="102092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2094336"/>
        <c:crosses val="autoZero"/>
        <c:crossBetween val="midCat"/>
      </c:valAx>
      <c:valAx>
        <c:axId val="10209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C0A]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2092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133350</xdr:rowOff>
    </xdr:from>
    <xdr:to>
      <xdr:col>8</xdr:col>
      <xdr:colOff>400049</xdr:colOff>
      <xdr:row>41</xdr:row>
      <xdr:rowOff>61912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4761</xdr:colOff>
      <xdr:row>18</xdr:row>
      <xdr:rowOff>119062</xdr:rowOff>
    </xdr:from>
    <xdr:to>
      <xdr:col>17</xdr:col>
      <xdr:colOff>638175</xdr:colOff>
      <xdr:row>40</xdr:row>
      <xdr:rowOff>152400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61"/>
  <sheetViews>
    <sheetView workbookViewId="0">
      <selection activeCell="C38" sqref="C38"/>
    </sheetView>
  </sheetViews>
  <sheetFormatPr defaultColWidth="9.140625" defaultRowHeight="12.75" x14ac:dyDescent="0.2"/>
  <cols>
    <col min="1" max="1" width="42.28515625" customWidth="1"/>
    <col min="2" max="3" width="11.42578125" customWidth="1"/>
    <col min="4" max="4" width="17.42578125" customWidth="1"/>
    <col min="5" max="256" width="11.42578125" customWidth="1"/>
  </cols>
  <sheetData>
    <row r="1" spans="1:7" x14ac:dyDescent="0.2">
      <c r="A1" s="1" t="s">
        <v>0</v>
      </c>
      <c r="E1" s="2"/>
    </row>
    <row r="3" spans="1:7" x14ac:dyDescent="0.2">
      <c r="A3" s="3" t="s">
        <v>1</v>
      </c>
      <c r="B3" s="4">
        <v>0.21</v>
      </c>
    </row>
    <row r="4" spans="1:7" x14ac:dyDescent="0.2">
      <c r="A4" s="3" t="s">
        <v>2</v>
      </c>
      <c r="B4" s="4">
        <v>0.35</v>
      </c>
    </row>
    <row r="5" spans="1:7" x14ac:dyDescent="0.2">
      <c r="A5" s="3" t="s">
        <v>3</v>
      </c>
      <c r="B5" s="4">
        <v>0.03</v>
      </c>
      <c r="C5" t="s">
        <v>4</v>
      </c>
      <c r="G5" s="5"/>
    </row>
    <row r="7" spans="1:7" x14ac:dyDescent="0.2">
      <c r="A7" s="3" t="s">
        <v>5</v>
      </c>
      <c r="B7" t="s">
        <v>6</v>
      </c>
    </row>
    <row r="8" spans="1:7" x14ac:dyDescent="0.2">
      <c r="A8" s="6" t="s">
        <v>7</v>
      </c>
      <c r="B8" s="7">
        <f>InfoInicial!B293</f>
        <v>0</v>
      </c>
      <c r="C8" t="s">
        <v>8</v>
      </c>
    </row>
    <row r="9" spans="1:7" x14ac:dyDescent="0.2">
      <c r="A9" s="6" t="s">
        <v>9</v>
      </c>
      <c r="B9" s="7">
        <v>10</v>
      </c>
      <c r="C9" t="s">
        <v>8</v>
      </c>
    </row>
    <row r="10" spans="1:7" x14ac:dyDescent="0.2">
      <c r="A10" s="6" t="s">
        <v>10</v>
      </c>
      <c r="B10" s="7">
        <v>10</v>
      </c>
      <c r="C10" t="s">
        <v>8</v>
      </c>
    </row>
    <row r="11" spans="1:7" x14ac:dyDescent="0.2">
      <c r="A11" s="6" t="s">
        <v>11</v>
      </c>
      <c r="B11" s="7">
        <v>5</v>
      </c>
      <c r="C11" t="s">
        <v>8</v>
      </c>
    </row>
    <row r="12" spans="1:7" x14ac:dyDescent="0.2">
      <c r="A12" s="6" t="s">
        <v>12</v>
      </c>
      <c r="B12" s="7">
        <v>5</v>
      </c>
      <c r="C12" t="s">
        <v>8</v>
      </c>
    </row>
    <row r="13" spans="1:7" x14ac:dyDescent="0.2">
      <c r="A13" s="6" t="s">
        <v>13</v>
      </c>
      <c r="B13" s="7">
        <v>3</v>
      </c>
      <c r="C13" t="s">
        <v>8</v>
      </c>
    </row>
    <row r="14" spans="1:7" x14ac:dyDescent="0.2">
      <c r="A14" s="6" t="s">
        <v>14</v>
      </c>
      <c r="B14" s="7">
        <v>5</v>
      </c>
      <c r="C14" t="s">
        <v>8</v>
      </c>
    </row>
    <row r="15" spans="1:7" x14ac:dyDescent="0.2">
      <c r="A15" s="6" t="s">
        <v>15</v>
      </c>
      <c r="B15" s="8">
        <v>0.04</v>
      </c>
    </row>
    <row r="17" spans="1:7" x14ac:dyDescent="0.2">
      <c r="A17" s="3" t="s">
        <v>16</v>
      </c>
      <c r="B17" s="9" t="s">
        <v>17</v>
      </c>
      <c r="C17" s="10"/>
      <c r="D17" s="10"/>
      <c r="E17" s="10"/>
      <c r="F17" s="10"/>
      <c r="G17" s="11"/>
    </row>
    <row r="19" spans="1:7" x14ac:dyDescent="0.2">
      <c r="A19" s="3" t="s">
        <v>18</v>
      </c>
      <c r="B19" s="236">
        <v>24000</v>
      </c>
      <c r="C19" t="s">
        <v>19</v>
      </c>
    </row>
    <row r="20" spans="1:7" x14ac:dyDescent="0.2">
      <c r="A20" s="3" t="s">
        <v>20</v>
      </c>
      <c r="B20" s="12">
        <v>900</v>
      </c>
      <c r="C20" t="s">
        <v>21</v>
      </c>
    </row>
    <row r="22" spans="1:7" x14ac:dyDescent="0.2">
      <c r="A22" s="3" t="s">
        <v>22</v>
      </c>
    </row>
    <row r="23" spans="1:7" x14ac:dyDescent="0.2">
      <c r="A23" s="3" t="s">
        <v>23</v>
      </c>
      <c r="B23" s="12">
        <v>5</v>
      </c>
      <c r="C23" t="s">
        <v>24</v>
      </c>
    </row>
    <row r="24" spans="1:7" x14ac:dyDescent="0.2">
      <c r="A24" s="3" t="s">
        <v>25</v>
      </c>
      <c r="B24" s="12">
        <v>2</v>
      </c>
      <c r="C24" t="s">
        <v>24</v>
      </c>
    </row>
    <row r="25" spans="1:7" x14ac:dyDescent="0.2">
      <c r="A25" s="3" t="s">
        <v>26</v>
      </c>
      <c r="B25" s="12">
        <v>2</v>
      </c>
      <c r="C25" t="s">
        <v>24</v>
      </c>
    </row>
    <row r="27" spans="1:7" x14ac:dyDescent="0.2">
      <c r="A27" s="3" t="s">
        <v>27</v>
      </c>
      <c r="B27" s="12">
        <v>525</v>
      </c>
      <c r="C27" t="s">
        <v>28</v>
      </c>
    </row>
    <row r="28" spans="1:7" x14ac:dyDescent="0.2">
      <c r="A28" s="3" t="s">
        <v>29</v>
      </c>
      <c r="B28" s="12">
        <v>11</v>
      </c>
      <c r="C28" t="s">
        <v>30</v>
      </c>
    </row>
    <row r="29" spans="1:7" x14ac:dyDescent="0.2">
      <c r="A29" s="3" t="s">
        <v>31</v>
      </c>
      <c r="B29" s="12">
        <v>3</v>
      </c>
      <c r="C29" t="s">
        <v>30</v>
      </c>
    </row>
    <row r="32" spans="1:7" x14ac:dyDescent="0.2">
      <c r="A32" s="3" t="s">
        <v>32</v>
      </c>
      <c r="B32" s="12">
        <v>15.2</v>
      </c>
      <c r="C32" t="s">
        <v>33</v>
      </c>
      <c r="D32" s="12">
        <v>1</v>
      </c>
      <c r="E32" t="s">
        <v>34</v>
      </c>
    </row>
    <row r="33" spans="1:7" x14ac:dyDescent="0.2">
      <c r="A33" s="13"/>
    </row>
    <row r="34" spans="1:7" x14ac:dyDescent="0.2">
      <c r="A34" s="13"/>
    </row>
    <row r="35" spans="1:7" x14ac:dyDescent="0.2">
      <c r="A35" s="3" t="s">
        <v>35</v>
      </c>
      <c r="B35" s="289">
        <v>42.5</v>
      </c>
      <c r="C35" t="s">
        <v>36</v>
      </c>
      <c r="G35" s="5" t="s">
        <v>37</v>
      </c>
    </row>
    <row r="36" spans="1:7" x14ac:dyDescent="0.2">
      <c r="A36" s="3" t="s">
        <v>38</v>
      </c>
      <c r="B36" s="278"/>
      <c r="C36" s="278"/>
      <c r="D36" s="278"/>
    </row>
    <row r="37" spans="1:7" x14ac:dyDescent="0.2">
      <c r="A37" s="3" t="s">
        <v>39</v>
      </c>
      <c r="B37" s="14"/>
    </row>
    <row r="38" spans="1:7" x14ac:dyDescent="0.2">
      <c r="A38" s="3"/>
    </row>
    <row r="39" spans="1:7" x14ac:dyDescent="0.2">
      <c r="A39" s="3" t="s">
        <v>40</v>
      </c>
      <c r="B39" s="288" t="s">
        <v>473</v>
      </c>
    </row>
    <row r="40" spans="1:7" x14ac:dyDescent="0.2">
      <c r="A40" s="3" t="s">
        <v>41</v>
      </c>
      <c r="B40" s="12"/>
    </row>
    <row r="41" spans="1:7" x14ac:dyDescent="0.2">
      <c r="A41" s="3" t="s">
        <v>42</v>
      </c>
      <c r="B41" s="12"/>
      <c r="C41" t="s">
        <v>36</v>
      </c>
    </row>
    <row r="1661" spans="16:16" x14ac:dyDescent="0.2">
      <c r="P1661" s="5" t="s">
        <v>43</v>
      </c>
    </row>
  </sheetData>
  <sheetProtection selectLockedCells="1" selectUnlockedCells="1"/>
  <mergeCells count="1">
    <mergeCell ref="B36:D36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/>
  </sheetViews>
  <sheetFormatPr defaultColWidth="11.42578125" defaultRowHeight="12.75" x14ac:dyDescent="0.2"/>
  <cols>
    <col min="1" max="1" width="32.140625" style="170" customWidth="1"/>
    <col min="2" max="7" width="14" style="170" customWidth="1"/>
    <col min="8" max="8" width="17.42578125" style="170" customWidth="1"/>
    <col min="9" max="16384" width="11.42578125" style="170"/>
  </cols>
  <sheetData>
    <row r="1" spans="1:7" x14ac:dyDescent="0.2">
      <c r="A1" s="1" t="s">
        <v>0</v>
      </c>
      <c r="B1"/>
      <c r="C1"/>
      <c r="D1"/>
      <c r="E1" s="138"/>
      <c r="F1" s="2">
        <f>InfoInicial!E1</f>
        <v>0</v>
      </c>
    </row>
    <row r="2" spans="1:7" ht="15.75" x14ac:dyDescent="0.25">
      <c r="A2" s="171" t="s">
        <v>271</v>
      </c>
      <c r="B2" s="172"/>
      <c r="C2" s="172"/>
      <c r="D2" s="172"/>
      <c r="E2" s="172"/>
      <c r="F2" s="172"/>
      <c r="G2" s="173"/>
    </row>
    <row r="3" spans="1:7" x14ac:dyDescent="0.2">
      <c r="A3" s="174" t="s">
        <v>90</v>
      </c>
      <c r="B3" s="175" t="s">
        <v>50</v>
      </c>
      <c r="C3" s="175" t="s">
        <v>91</v>
      </c>
      <c r="D3" s="175" t="s">
        <v>92</v>
      </c>
      <c r="E3" s="175" t="s">
        <v>93</v>
      </c>
      <c r="F3" s="176" t="s">
        <v>94</v>
      </c>
      <c r="G3" s="177" t="s">
        <v>194</v>
      </c>
    </row>
    <row r="4" spans="1:7" x14ac:dyDescent="0.2">
      <c r="A4" s="170" t="s">
        <v>272</v>
      </c>
      <c r="B4" s="60"/>
      <c r="C4" s="60"/>
      <c r="D4" s="60"/>
      <c r="E4" s="60"/>
      <c r="F4" s="110"/>
      <c r="G4" s="61"/>
    </row>
    <row r="5" spans="1:7" x14ac:dyDescent="0.2">
      <c r="A5" s="170" t="s">
        <v>273</v>
      </c>
      <c r="B5" s="60"/>
      <c r="C5" s="60"/>
      <c r="D5" s="60"/>
      <c r="E5" s="60"/>
      <c r="F5" s="110"/>
      <c r="G5" s="61"/>
    </row>
    <row r="6" spans="1:7" x14ac:dyDescent="0.2">
      <c r="A6" s="170" t="s">
        <v>274</v>
      </c>
      <c r="B6" s="60"/>
      <c r="C6" s="60"/>
      <c r="D6" s="60"/>
      <c r="E6" s="60"/>
      <c r="F6" s="110"/>
      <c r="G6" s="61"/>
    </row>
    <row r="7" spans="1:7" x14ac:dyDescent="0.2">
      <c r="A7" s="170" t="s">
        <v>116</v>
      </c>
      <c r="B7" s="81"/>
      <c r="C7" s="81"/>
      <c r="D7" s="81"/>
      <c r="E7" s="81"/>
      <c r="F7" s="111"/>
      <c r="G7" s="82"/>
    </row>
    <row r="8" spans="1:7" x14ac:dyDescent="0.2">
      <c r="A8" s="170" t="s">
        <v>275</v>
      </c>
      <c r="B8" s="60"/>
      <c r="C8" s="60"/>
      <c r="D8" s="60"/>
      <c r="E8" s="60"/>
      <c r="F8" s="110"/>
      <c r="G8" s="61"/>
    </row>
    <row r="9" spans="1:7" x14ac:dyDescent="0.2">
      <c r="A9" s="170" t="s">
        <v>276</v>
      </c>
      <c r="B9" s="60"/>
      <c r="C9" s="60"/>
      <c r="D9" s="60"/>
      <c r="E9" s="60"/>
      <c r="F9" s="110"/>
      <c r="G9" s="61"/>
    </row>
    <row r="10" spans="1:7" x14ac:dyDescent="0.2">
      <c r="A10" s="170" t="s">
        <v>277</v>
      </c>
      <c r="B10" s="60"/>
      <c r="C10" s="60"/>
      <c r="D10" s="60"/>
      <c r="E10" s="60"/>
      <c r="F10" s="110"/>
      <c r="G10" s="61"/>
    </row>
    <row r="11" spans="1:7" x14ac:dyDescent="0.2">
      <c r="A11" s="178" t="s">
        <v>278</v>
      </c>
      <c r="B11" s="60"/>
      <c r="C11" s="60"/>
      <c r="D11" s="60"/>
      <c r="E11" s="60"/>
      <c r="F11" s="110"/>
      <c r="G11" s="61"/>
    </row>
    <row r="12" spans="1:7" x14ac:dyDescent="0.2">
      <c r="A12" s="170" t="s">
        <v>279</v>
      </c>
      <c r="B12" s="60"/>
      <c r="C12" s="60"/>
      <c r="D12" s="60"/>
      <c r="E12" s="60"/>
      <c r="F12" s="110"/>
      <c r="G12" s="61"/>
    </row>
    <row r="13" spans="1:7" x14ac:dyDescent="0.2">
      <c r="A13" s="179" t="s">
        <v>280</v>
      </c>
      <c r="B13" s="60"/>
      <c r="C13" s="60"/>
      <c r="D13" s="60"/>
      <c r="E13" s="60"/>
      <c r="F13" s="110"/>
      <c r="G13" s="61"/>
    </row>
    <row r="14" spans="1:7" x14ac:dyDescent="0.2">
      <c r="A14" s="180" t="s">
        <v>281</v>
      </c>
      <c r="B14" s="65"/>
      <c r="C14" s="65"/>
      <c r="D14" s="65"/>
      <c r="E14" s="65"/>
      <c r="F14" s="112"/>
      <c r="G14" s="66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workbookViewId="0">
      <selection activeCell="D1" sqref="D1"/>
    </sheetView>
  </sheetViews>
  <sheetFormatPr defaultColWidth="9.140625" defaultRowHeight="12.75" x14ac:dyDescent="0.2"/>
  <cols>
    <col min="1" max="1" width="54.42578125" style="170" customWidth="1"/>
    <col min="2" max="4" width="14" style="170" customWidth="1"/>
    <col min="5" max="250" width="11.42578125" style="170" customWidth="1"/>
    <col min="251" max="256" width="11.42578125" customWidth="1"/>
  </cols>
  <sheetData>
    <row r="1" spans="1:5" x14ac:dyDescent="0.2">
      <c r="A1" s="1" t="s">
        <v>0</v>
      </c>
      <c r="B1"/>
      <c r="C1"/>
      <c r="D1">
        <f>InfoInicial!E1</f>
        <v>0</v>
      </c>
      <c r="E1" s="2"/>
    </row>
    <row r="2" spans="1:5" ht="15.75" x14ac:dyDescent="0.25">
      <c r="A2" s="171" t="s">
        <v>282</v>
      </c>
      <c r="B2" s="172"/>
      <c r="C2" s="172"/>
      <c r="D2" s="173"/>
    </row>
    <row r="3" spans="1:5" x14ac:dyDescent="0.2">
      <c r="A3" s="174" t="s">
        <v>90</v>
      </c>
      <c r="B3" s="181" t="s">
        <v>49</v>
      </c>
      <c r="C3" s="181" t="s">
        <v>50</v>
      </c>
      <c r="D3" s="177" t="s">
        <v>194</v>
      </c>
    </row>
    <row r="4" spans="1:5" x14ac:dyDescent="0.2">
      <c r="A4" s="178" t="s">
        <v>283</v>
      </c>
      <c r="B4" s="81"/>
      <c r="C4" s="81"/>
      <c r="D4" s="82"/>
    </row>
    <row r="5" spans="1:5" x14ac:dyDescent="0.2">
      <c r="B5" s="60"/>
      <c r="C5" s="60"/>
      <c r="D5" s="61"/>
    </row>
    <row r="6" spans="1:5" x14ac:dyDescent="0.2">
      <c r="A6" s="170" t="s">
        <v>284</v>
      </c>
      <c r="B6" s="60"/>
      <c r="C6" s="60"/>
      <c r="D6" s="61"/>
    </row>
    <row r="7" spans="1:5" x14ac:dyDescent="0.2">
      <c r="A7" s="170" t="s">
        <v>285</v>
      </c>
      <c r="B7" s="60"/>
      <c r="C7" s="60"/>
      <c r="D7" s="61"/>
    </row>
    <row r="8" spans="1:5" x14ac:dyDescent="0.2">
      <c r="A8" s="178" t="s">
        <v>286</v>
      </c>
      <c r="B8" s="60"/>
      <c r="C8" s="60"/>
      <c r="D8" s="61"/>
    </row>
    <row r="9" spans="1:5" x14ac:dyDescent="0.2">
      <c r="A9" s="179" t="s">
        <v>287</v>
      </c>
      <c r="B9" s="60"/>
      <c r="C9" s="60"/>
      <c r="D9" s="61"/>
    </row>
    <row r="10" spans="1:5" x14ac:dyDescent="0.2">
      <c r="A10" s="178" t="s">
        <v>288</v>
      </c>
      <c r="B10" s="60"/>
      <c r="C10" s="60"/>
      <c r="D10" s="61"/>
    </row>
    <row r="11" spans="1:5" x14ac:dyDescent="0.2">
      <c r="A11" s="178" t="s">
        <v>289</v>
      </c>
      <c r="B11" s="81"/>
      <c r="C11" s="81"/>
      <c r="D11" s="82"/>
    </row>
    <row r="12" spans="1:5" x14ac:dyDescent="0.2">
      <c r="A12" s="179" t="s">
        <v>290</v>
      </c>
      <c r="B12" s="60"/>
      <c r="C12" s="60"/>
      <c r="D12" s="61"/>
    </row>
    <row r="13" spans="1:5" x14ac:dyDescent="0.2">
      <c r="A13" s="170" t="s">
        <v>291</v>
      </c>
      <c r="B13" s="60"/>
      <c r="C13" s="60"/>
      <c r="D13" s="61"/>
    </row>
    <row r="14" spans="1:5" x14ac:dyDescent="0.2">
      <c r="A14" s="170" t="s">
        <v>292</v>
      </c>
      <c r="B14" s="60"/>
      <c r="C14" s="60"/>
      <c r="D14" s="61"/>
    </row>
    <row r="15" spans="1:5" x14ac:dyDescent="0.2">
      <c r="A15" s="178" t="s">
        <v>293</v>
      </c>
      <c r="B15" s="60"/>
      <c r="C15" s="60"/>
      <c r="D15" s="61"/>
    </row>
    <row r="16" spans="1:5" x14ac:dyDescent="0.2">
      <c r="A16" s="170" t="s">
        <v>116</v>
      </c>
      <c r="B16" s="81"/>
      <c r="C16" s="81"/>
      <c r="D16" s="82"/>
    </row>
    <row r="17" spans="1:5" x14ac:dyDescent="0.2">
      <c r="A17" s="170" t="s">
        <v>294</v>
      </c>
      <c r="B17" s="60"/>
      <c r="C17" s="60"/>
      <c r="D17" s="61"/>
    </row>
    <row r="18" spans="1:5" x14ac:dyDescent="0.2">
      <c r="A18" s="170" t="s">
        <v>295</v>
      </c>
      <c r="B18" s="60"/>
      <c r="C18" s="60"/>
      <c r="D18" s="61"/>
    </row>
    <row r="19" spans="1:5" x14ac:dyDescent="0.2">
      <c r="A19" s="170" t="s">
        <v>296</v>
      </c>
      <c r="B19" s="60"/>
      <c r="C19" s="60"/>
      <c r="D19" s="61"/>
    </row>
    <row r="20" spans="1:5" x14ac:dyDescent="0.2">
      <c r="A20" s="178" t="s">
        <v>297</v>
      </c>
      <c r="B20" s="60"/>
      <c r="C20" s="60"/>
      <c r="D20" s="61"/>
    </row>
    <row r="21" spans="1:5" x14ac:dyDescent="0.2">
      <c r="A21" s="170" t="s">
        <v>298</v>
      </c>
      <c r="B21" s="60"/>
      <c r="C21" s="60"/>
      <c r="D21" s="61"/>
    </row>
    <row r="22" spans="1:5" x14ac:dyDescent="0.2">
      <c r="A22" s="178" t="s">
        <v>299</v>
      </c>
      <c r="B22" s="60"/>
      <c r="C22" s="60"/>
      <c r="D22" s="61"/>
    </row>
    <row r="23" spans="1:5" x14ac:dyDescent="0.2">
      <c r="A23" s="178" t="s">
        <v>300</v>
      </c>
      <c r="B23" s="60"/>
      <c r="C23" s="60"/>
      <c r="D23" s="61"/>
    </row>
    <row r="24" spans="1:5" x14ac:dyDescent="0.2">
      <c r="A24" s="178" t="s">
        <v>301</v>
      </c>
      <c r="B24" s="81"/>
      <c r="C24" s="81"/>
      <c r="D24" s="82"/>
    </row>
    <row r="25" spans="1:5" x14ac:dyDescent="0.2">
      <c r="A25" s="170" t="s">
        <v>302</v>
      </c>
      <c r="B25" s="60"/>
      <c r="C25" s="60"/>
      <c r="D25" s="61"/>
    </row>
    <row r="26" spans="1:5" x14ac:dyDescent="0.2">
      <c r="A26" s="170" t="s">
        <v>303</v>
      </c>
      <c r="B26" s="60"/>
      <c r="C26" s="60"/>
      <c r="D26" s="61"/>
    </row>
    <row r="27" spans="1:5" x14ac:dyDescent="0.2">
      <c r="A27" s="178" t="s">
        <v>304</v>
      </c>
      <c r="B27" s="60"/>
      <c r="C27" s="60"/>
      <c r="D27" s="61"/>
      <c r="E27" s="182"/>
    </row>
    <row r="28" spans="1:5" x14ac:dyDescent="0.2">
      <c r="A28" s="178" t="s">
        <v>305</v>
      </c>
      <c r="B28" s="81"/>
      <c r="C28" s="81"/>
      <c r="D28" s="111"/>
      <c r="E28" s="183" t="s">
        <v>306</v>
      </c>
    </row>
    <row r="29" spans="1:5" x14ac:dyDescent="0.2">
      <c r="A29" s="178" t="s">
        <v>307</v>
      </c>
      <c r="B29" s="60"/>
      <c r="C29" s="60"/>
      <c r="D29" s="110"/>
      <c r="E29" s="84"/>
    </row>
    <row r="30" spans="1:5" x14ac:dyDescent="0.2">
      <c r="A30" s="178" t="s">
        <v>308</v>
      </c>
      <c r="B30" s="60"/>
      <c r="C30" s="60"/>
      <c r="D30" s="110"/>
      <c r="E30" s="84"/>
    </row>
    <row r="31" spans="1:5" x14ac:dyDescent="0.2">
      <c r="A31" s="178" t="s">
        <v>309</v>
      </c>
      <c r="B31" s="60"/>
      <c r="C31" s="60"/>
      <c r="D31" s="110"/>
      <c r="E31" s="84"/>
    </row>
    <row r="32" spans="1:5" x14ac:dyDescent="0.2">
      <c r="A32" s="180" t="s">
        <v>194</v>
      </c>
      <c r="B32" s="65"/>
      <c r="C32" s="65"/>
      <c r="D32" s="112"/>
      <c r="E32" s="77"/>
    </row>
    <row r="34" spans="1:6" ht="15.75" x14ac:dyDescent="0.25">
      <c r="A34" s="171" t="s">
        <v>310</v>
      </c>
      <c r="B34" s="172"/>
      <c r="C34" s="172"/>
      <c r="D34" s="172"/>
      <c r="E34" s="172"/>
      <c r="F34" s="172"/>
    </row>
    <row r="35" spans="1:6" x14ac:dyDescent="0.2">
      <c r="A35" s="174" t="s">
        <v>90</v>
      </c>
      <c r="B35" s="175" t="s">
        <v>50</v>
      </c>
      <c r="C35" s="175" t="s">
        <v>91</v>
      </c>
      <c r="D35" s="175" t="s">
        <v>92</v>
      </c>
      <c r="E35" s="175" t="s">
        <v>93</v>
      </c>
      <c r="F35" s="175" t="s">
        <v>94</v>
      </c>
    </row>
    <row r="36" spans="1:6" x14ac:dyDescent="0.2">
      <c r="A36" s="184" t="s">
        <v>156</v>
      </c>
      <c r="B36" s="25"/>
      <c r="C36" s="25"/>
      <c r="D36" s="25"/>
      <c r="E36" s="25"/>
      <c r="F36" s="25"/>
    </row>
    <row r="37" spans="1:6" x14ac:dyDescent="0.2">
      <c r="A37" s="185" t="s">
        <v>155</v>
      </c>
      <c r="B37" s="25"/>
      <c r="C37" s="25"/>
      <c r="D37" s="25"/>
      <c r="E37" s="25"/>
      <c r="F37" s="25"/>
    </row>
    <row r="38" spans="1:6" x14ac:dyDescent="0.2">
      <c r="A38" s="184" t="s">
        <v>158</v>
      </c>
      <c r="B38" s="25"/>
      <c r="C38" s="25"/>
      <c r="D38" s="25"/>
      <c r="E38" s="25"/>
      <c r="F38" s="25"/>
    </row>
    <row r="39" spans="1:6" x14ac:dyDescent="0.2">
      <c r="A39" s="185" t="s">
        <v>157</v>
      </c>
      <c r="B39" s="25"/>
      <c r="C39" s="25"/>
      <c r="D39" s="25"/>
      <c r="E39" s="25"/>
      <c r="F39" s="25"/>
    </row>
    <row r="40" spans="1:6" x14ac:dyDescent="0.2">
      <c r="A40" s="184" t="s">
        <v>160</v>
      </c>
      <c r="B40" s="25"/>
      <c r="C40" s="25"/>
      <c r="D40" s="25"/>
      <c r="E40" s="25"/>
      <c r="F40" s="25"/>
    </row>
    <row r="41" spans="1:6" x14ac:dyDescent="0.2">
      <c r="A41" s="185" t="s">
        <v>159</v>
      </c>
      <c r="B41" s="25"/>
      <c r="C41" s="25"/>
      <c r="D41" s="25"/>
      <c r="E41" s="25"/>
      <c r="F41" s="25"/>
    </row>
    <row r="42" spans="1:6" x14ac:dyDescent="0.2">
      <c r="A42" s="185" t="s">
        <v>311</v>
      </c>
      <c r="B42" s="25"/>
      <c r="C42" s="25"/>
      <c r="D42" s="25"/>
      <c r="E42" s="25"/>
      <c r="F42" s="25"/>
    </row>
    <row r="43" spans="1:6" x14ac:dyDescent="0.2">
      <c r="A43" s="184" t="s">
        <v>161</v>
      </c>
      <c r="B43" s="25"/>
      <c r="C43" s="25"/>
      <c r="D43" s="25"/>
      <c r="E43" s="25"/>
      <c r="F43" s="25"/>
    </row>
    <row r="44" spans="1:6" x14ac:dyDescent="0.2">
      <c r="A44" s="186" t="s">
        <v>162</v>
      </c>
      <c r="B44" s="29"/>
      <c r="C44" s="29"/>
      <c r="D44" s="29"/>
      <c r="E44" s="29"/>
      <c r="F44" s="29"/>
    </row>
    <row r="45" spans="1:6" ht="15.75" x14ac:dyDescent="0.25">
      <c r="A45" s="187" t="s">
        <v>312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E1" sqref="E1"/>
    </sheetView>
  </sheetViews>
  <sheetFormatPr defaultColWidth="11.42578125" defaultRowHeight="12.75" x14ac:dyDescent="0.2"/>
  <cols>
    <col min="1" max="1" width="43" style="170" customWidth="1"/>
    <col min="2" max="7" width="14" style="170" customWidth="1"/>
    <col min="8" max="8" width="17.42578125" style="170" customWidth="1"/>
    <col min="9" max="16384" width="11.42578125" style="170"/>
  </cols>
  <sheetData>
    <row r="1" spans="1:7" x14ac:dyDescent="0.2">
      <c r="A1" s="1" t="s">
        <v>0</v>
      </c>
      <c r="B1"/>
      <c r="C1"/>
      <c r="D1"/>
      <c r="E1" s="2">
        <f>InfoInicial!E1</f>
        <v>0</v>
      </c>
    </row>
    <row r="2" spans="1:7" ht="15.75" x14ac:dyDescent="0.25">
      <c r="A2" s="171" t="s">
        <v>213</v>
      </c>
      <c r="B2" s="172"/>
      <c r="C2" s="172"/>
      <c r="D2" s="172"/>
      <c r="E2" s="172"/>
      <c r="F2" s="172"/>
      <c r="G2" s="173"/>
    </row>
    <row r="3" spans="1:7" ht="15.75" x14ac:dyDescent="0.25">
      <c r="A3" s="188"/>
      <c r="B3" s="189" t="s">
        <v>214</v>
      </c>
      <c r="C3" s="189"/>
      <c r="D3" s="189"/>
      <c r="E3" s="189"/>
      <c r="F3" s="189"/>
      <c r="G3" s="190"/>
    </row>
    <row r="4" spans="1:7" x14ac:dyDescent="0.2">
      <c r="A4" s="191" t="s">
        <v>90</v>
      </c>
      <c r="B4" s="192" t="s">
        <v>49</v>
      </c>
      <c r="C4" s="175" t="s">
        <v>50</v>
      </c>
      <c r="D4" s="175" t="s">
        <v>91</v>
      </c>
      <c r="E4" s="175" t="s">
        <v>92</v>
      </c>
      <c r="F4" s="175" t="s">
        <v>93</v>
      </c>
      <c r="G4" s="177" t="s">
        <v>94</v>
      </c>
    </row>
    <row r="5" spans="1:7" x14ac:dyDescent="0.2">
      <c r="A5" s="193" t="s">
        <v>313</v>
      </c>
      <c r="B5" s="119"/>
      <c r="C5" s="102"/>
      <c r="D5" s="102"/>
      <c r="E5" s="102"/>
      <c r="F5" s="102"/>
      <c r="G5" s="103"/>
    </row>
    <row r="6" spans="1:7" x14ac:dyDescent="0.2">
      <c r="A6" s="194" t="s">
        <v>314</v>
      </c>
      <c r="B6" s="121"/>
      <c r="C6" s="60"/>
      <c r="D6" s="60"/>
      <c r="E6" s="60"/>
      <c r="F6" s="60"/>
      <c r="G6" s="61"/>
    </row>
    <row r="7" spans="1:7" x14ac:dyDescent="0.2">
      <c r="A7" s="194" t="s">
        <v>315</v>
      </c>
      <c r="B7" s="121"/>
      <c r="C7" s="60"/>
      <c r="D7" s="60"/>
      <c r="E7" s="60"/>
      <c r="F7" s="60"/>
      <c r="G7" s="61"/>
    </row>
    <row r="8" spans="1:7" x14ac:dyDescent="0.2">
      <c r="A8" s="195" t="s">
        <v>316</v>
      </c>
      <c r="B8" s="121"/>
      <c r="C8" s="60"/>
      <c r="D8" s="60"/>
      <c r="E8" s="60"/>
      <c r="F8" s="60"/>
      <c r="G8" s="61"/>
    </row>
    <row r="9" spans="1:7" x14ac:dyDescent="0.2">
      <c r="A9" s="195" t="s">
        <v>317</v>
      </c>
      <c r="B9" s="121"/>
      <c r="C9" s="60"/>
      <c r="D9" s="60"/>
      <c r="E9" s="60"/>
      <c r="F9" s="60"/>
      <c r="G9" s="61"/>
    </row>
    <row r="10" spans="1:7" x14ac:dyDescent="0.2">
      <c r="A10" s="196" t="s">
        <v>318</v>
      </c>
      <c r="B10" s="121"/>
      <c r="C10" s="60"/>
      <c r="D10" s="60"/>
      <c r="E10" s="60"/>
      <c r="F10" s="60"/>
      <c r="G10" s="61"/>
    </row>
    <row r="11" spans="1:7" x14ac:dyDescent="0.2">
      <c r="A11" s="196"/>
      <c r="B11" s="123"/>
      <c r="C11" s="81"/>
      <c r="D11" s="81"/>
      <c r="E11" s="81"/>
      <c r="F11" s="81"/>
      <c r="G11" s="82"/>
    </row>
    <row r="12" spans="1:7" x14ac:dyDescent="0.2">
      <c r="A12" s="194" t="s">
        <v>225</v>
      </c>
      <c r="B12" s="121"/>
      <c r="C12" s="60"/>
      <c r="D12" s="60"/>
      <c r="E12" s="60"/>
      <c r="F12" s="60"/>
      <c r="G12" s="61"/>
    </row>
    <row r="13" spans="1:7" x14ac:dyDescent="0.2">
      <c r="A13" s="194" t="s">
        <v>226</v>
      </c>
      <c r="B13" s="121"/>
      <c r="C13" s="60"/>
      <c r="D13" s="60"/>
      <c r="E13" s="60"/>
      <c r="F13" s="60"/>
      <c r="G13" s="61"/>
    </row>
    <row r="14" spans="1:7" x14ac:dyDescent="0.2">
      <c r="A14" s="196" t="s">
        <v>319</v>
      </c>
      <c r="B14" s="121"/>
      <c r="C14" s="60"/>
      <c r="D14" s="60"/>
      <c r="E14" s="60"/>
      <c r="F14" s="60"/>
      <c r="G14" s="61"/>
    </row>
    <row r="15" spans="1:7" x14ac:dyDescent="0.2">
      <c r="A15" s="194"/>
      <c r="B15" s="123"/>
      <c r="C15" s="81"/>
      <c r="D15" s="81"/>
      <c r="E15" s="81"/>
      <c r="F15" s="81"/>
      <c r="G15" s="82"/>
    </row>
    <row r="16" spans="1:7" x14ac:dyDescent="0.2">
      <c r="A16" s="197" t="s">
        <v>320</v>
      </c>
      <c r="B16" s="121"/>
      <c r="C16" s="60"/>
      <c r="D16" s="60"/>
      <c r="E16" s="60"/>
      <c r="F16" s="60"/>
      <c r="G16" s="61"/>
    </row>
    <row r="17" spans="1:7" x14ac:dyDescent="0.2">
      <c r="A17" s="197" t="s">
        <v>321</v>
      </c>
      <c r="B17" s="121"/>
      <c r="C17" s="60"/>
      <c r="D17" s="60"/>
      <c r="E17" s="60"/>
      <c r="F17" s="60"/>
      <c r="G17" s="61"/>
    </row>
    <row r="18" spans="1:7" x14ac:dyDescent="0.2">
      <c r="A18" s="196" t="s">
        <v>322</v>
      </c>
      <c r="B18" s="121"/>
      <c r="C18" s="60"/>
      <c r="D18" s="60"/>
      <c r="E18" s="60"/>
      <c r="F18" s="60"/>
      <c r="G18" s="61"/>
    </row>
    <row r="19" spans="1:7" x14ac:dyDescent="0.2">
      <c r="A19" s="196" t="s">
        <v>323</v>
      </c>
      <c r="B19" s="121"/>
      <c r="C19" s="60"/>
      <c r="D19" s="60"/>
      <c r="E19" s="60"/>
      <c r="F19" s="60"/>
      <c r="G19" s="61"/>
    </row>
    <row r="20" spans="1:7" x14ac:dyDescent="0.2">
      <c r="A20" s="194"/>
      <c r="B20" s="123"/>
      <c r="C20" s="81"/>
      <c r="D20" s="81"/>
      <c r="E20" s="81"/>
      <c r="F20" s="81"/>
      <c r="G20" s="82"/>
    </row>
    <row r="21" spans="1:7" x14ac:dyDescent="0.2">
      <c r="A21" s="198" t="s">
        <v>231</v>
      </c>
      <c r="B21" s="126"/>
      <c r="C21" s="65"/>
      <c r="D21" s="65"/>
      <c r="E21" s="65"/>
      <c r="F21" s="65"/>
      <c r="G21" s="66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activeCell="E1" sqref="E1"/>
    </sheetView>
  </sheetViews>
  <sheetFormatPr defaultColWidth="11.42578125" defaultRowHeight="12.75" x14ac:dyDescent="0.2"/>
  <cols>
    <col min="1" max="1" width="41" style="199" customWidth="1"/>
    <col min="2" max="8" width="14.85546875" style="199" customWidth="1"/>
    <col min="9" max="9" width="17.42578125" style="199" customWidth="1"/>
    <col min="10" max="16384" width="11.42578125" style="199"/>
  </cols>
  <sheetData>
    <row r="1" spans="1:8" x14ac:dyDescent="0.2">
      <c r="A1" s="1" t="s">
        <v>0</v>
      </c>
      <c r="B1"/>
      <c r="C1"/>
      <c r="D1"/>
      <c r="E1" s="2">
        <f>InfoInicial!E1</f>
        <v>0</v>
      </c>
    </row>
    <row r="3" spans="1:8" ht="15.75" x14ac:dyDescent="0.25">
      <c r="A3" s="200" t="s">
        <v>324</v>
      </c>
      <c r="B3" s="201"/>
      <c r="C3" s="201"/>
      <c r="D3" s="201"/>
      <c r="E3" s="201"/>
      <c r="F3" s="201"/>
      <c r="G3" s="202"/>
      <c r="H3" s="203"/>
    </row>
    <row r="4" spans="1:8" x14ac:dyDescent="0.2">
      <c r="A4" s="204"/>
      <c r="B4" s="205" t="s">
        <v>49</v>
      </c>
      <c r="C4" s="205" t="s">
        <v>50</v>
      </c>
      <c r="D4" s="205" t="s">
        <v>91</v>
      </c>
      <c r="E4" s="205" t="s">
        <v>92</v>
      </c>
      <c r="F4" s="205" t="s">
        <v>93</v>
      </c>
      <c r="G4" s="206" t="s">
        <v>94</v>
      </c>
      <c r="H4" s="207" t="s">
        <v>194</v>
      </c>
    </row>
    <row r="5" spans="1:8" x14ac:dyDescent="0.2">
      <c r="A5" s="178" t="s">
        <v>325</v>
      </c>
      <c r="B5" s="88"/>
      <c r="C5" s="88"/>
      <c r="D5" s="88"/>
      <c r="E5" s="88"/>
      <c r="F5" s="88"/>
      <c r="G5" s="208"/>
      <c r="H5" s="89"/>
    </row>
    <row r="6" spans="1:8" x14ac:dyDescent="0.2">
      <c r="A6" s="170" t="s">
        <v>326</v>
      </c>
      <c r="B6" s="60"/>
      <c r="C6" s="60"/>
      <c r="D6" s="60"/>
      <c r="E6" s="60"/>
      <c r="F6" s="60"/>
      <c r="G6" s="110"/>
      <c r="H6" s="61"/>
    </row>
    <row r="7" spans="1:8" x14ac:dyDescent="0.2">
      <c r="A7" s="170" t="s">
        <v>327</v>
      </c>
      <c r="B7" s="209"/>
      <c r="C7" s="209"/>
      <c r="D7" s="209"/>
      <c r="E7" s="209"/>
      <c r="F7" s="209"/>
      <c r="G7" s="210"/>
      <c r="H7" s="211"/>
    </row>
    <row r="8" spans="1:8" x14ac:dyDescent="0.2">
      <c r="A8" s="170" t="s">
        <v>328</v>
      </c>
      <c r="B8" s="60"/>
      <c r="C8" s="60"/>
      <c r="D8" s="60"/>
      <c r="E8" s="60"/>
      <c r="F8" s="60"/>
      <c r="G8" s="110"/>
      <c r="H8" s="61"/>
    </row>
    <row r="9" spans="1:8" x14ac:dyDescent="0.2">
      <c r="A9" s="170" t="s">
        <v>329</v>
      </c>
      <c r="B9" s="209"/>
      <c r="C9" s="209"/>
      <c r="D9" s="209"/>
      <c r="E9" s="209"/>
      <c r="F9" s="209"/>
      <c r="G9" s="210"/>
      <c r="H9" s="211"/>
    </row>
    <row r="10" spans="1:8" x14ac:dyDescent="0.2">
      <c r="A10" s="170" t="s">
        <v>330</v>
      </c>
      <c r="B10" s="60"/>
      <c r="C10" s="60"/>
      <c r="D10" s="60"/>
      <c r="E10" s="60"/>
      <c r="F10" s="60"/>
      <c r="G10" s="110"/>
      <c r="H10" s="61"/>
    </row>
    <row r="11" spans="1:8" x14ac:dyDescent="0.2">
      <c r="A11" s="170" t="s">
        <v>331</v>
      </c>
      <c r="B11" s="88"/>
      <c r="C11" s="88"/>
      <c r="D11" s="88"/>
      <c r="E11" s="88"/>
      <c r="F11" s="88"/>
      <c r="G11" s="208"/>
      <c r="H11" s="89"/>
    </row>
    <row r="12" spans="1:8" x14ac:dyDescent="0.2">
      <c r="A12" s="170"/>
      <c r="B12" s="60"/>
      <c r="C12" s="60"/>
      <c r="D12" s="60"/>
      <c r="E12" s="60"/>
      <c r="F12" s="60"/>
      <c r="G12" s="110"/>
      <c r="H12" s="61"/>
    </row>
    <row r="13" spans="1:8" x14ac:dyDescent="0.2">
      <c r="A13" s="178" t="s">
        <v>332</v>
      </c>
      <c r="B13" s="60"/>
      <c r="C13" s="60"/>
      <c r="D13" s="60"/>
      <c r="E13" s="60"/>
      <c r="F13" s="60"/>
      <c r="G13" s="110"/>
      <c r="H13" s="61"/>
    </row>
    <row r="14" spans="1:8" x14ac:dyDescent="0.2">
      <c r="A14" s="170" t="s">
        <v>333</v>
      </c>
      <c r="B14" s="209"/>
      <c r="C14" s="209"/>
      <c r="D14" s="209"/>
      <c r="E14" s="209"/>
      <c r="F14" s="209"/>
      <c r="G14" s="210"/>
      <c r="H14" s="211"/>
    </row>
    <row r="15" spans="1:8" x14ac:dyDescent="0.2">
      <c r="A15" s="170" t="s">
        <v>256</v>
      </c>
      <c r="B15" s="60"/>
      <c r="C15" s="60"/>
      <c r="D15" s="60"/>
      <c r="E15" s="60"/>
      <c r="F15" s="60"/>
      <c r="G15" s="110"/>
      <c r="H15" s="61"/>
    </row>
    <row r="16" spans="1:8" x14ac:dyDescent="0.2">
      <c r="A16" s="170" t="s">
        <v>334</v>
      </c>
      <c r="B16" s="60"/>
      <c r="C16" s="60"/>
      <c r="D16" s="60"/>
      <c r="E16" s="60"/>
      <c r="F16" s="60"/>
      <c r="G16" s="110"/>
      <c r="H16" s="61"/>
    </row>
    <row r="17" spans="1:14" x14ac:dyDescent="0.2">
      <c r="A17" s="170" t="s">
        <v>335</v>
      </c>
      <c r="B17" s="60"/>
      <c r="C17" s="60"/>
      <c r="D17" s="60"/>
      <c r="E17" s="60"/>
      <c r="F17" s="60"/>
      <c r="G17" s="110"/>
      <c r="H17" s="61"/>
    </row>
    <row r="18" spans="1:14" x14ac:dyDescent="0.2">
      <c r="A18" s="170" t="s">
        <v>336</v>
      </c>
      <c r="B18" s="209"/>
      <c r="C18" s="209"/>
      <c r="D18" s="209"/>
      <c r="E18" s="209"/>
      <c r="F18" s="209"/>
      <c r="G18" s="210"/>
      <c r="H18" s="211"/>
    </row>
    <row r="19" spans="1:14" x14ac:dyDescent="0.2">
      <c r="A19" s="170" t="s">
        <v>337</v>
      </c>
      <c r="B19" s="60"/>
      <c r="C19" s="60"/>
      <c r="D19" s="60"/>
      <c r="E19" s="60"/>
      <c r="F19" s="60"/>
      <c r="G19" s="110"/>
      <c r="H19" s="61"/>
    </row>
    <row r="20" spans="1:14" x14ac:dyDescent="0.2">
      <c r="A20" s="170" t="s">
        <v>338</v>
      </c>
      <c r="B20" s="209"/>
      <c r="C20" s="209"/>
      <c r="D20" s="209"/>
      <c r="E20" s="209"/>
      <c r="F20" s="209"/>
      <c r="G20" s="210"/>
      <c r="H20" s="211"/>
    </row>
    <row r="21" spans="1:14" x14ac:dyDescent="0.2">
      <c r="A21" s="170" t="s">
        <v>339</v>
      </c>
      <c r="B21" s="60"/>
      <c r="C21" s="60"/>
      <c r="D21" s="60"/>
      <c r="E21" s="60"/>
      <c r="F21" s="60"/>
      <c r="G21" s="110"/>
      <c r="H21" s="61"/>
    </row>
    <row r="22" spans="1:14" x14ac:dyDescent="0.2">
      <c r="A22" s="170" t="s">
        <v>340</v>
      </c>
      <c r="B22" s="88"/>
      <c r="C22" s="88"/>
      <c r="D22" s="88"/>
      <c r="E22" s="88"/>
      <c r="F22" s="88"/>
      <c r="G22" s="208"/>
      <c r="H22" s="89"/>
    </row>
    <row r="23" spans="1:14" x14ac:dyDescent="0.2">
      <c r="A23" s="170"/>
      <c r="B23" s="81"/>
      <c r="C23" s="81"/>
      <c r="D23" s="81"/>
      <c r="E23" s="81"/>
      <c r="F23" s="81"/>
      <c r="G23" s="111"/>
      <c r="H23" s="82"/>
    </row>
    <row r="24" spans="1:14" x14ac:dyDescent="0.2">
      <c r="A24" s="178" t="s">
        <v>341</v>
      </c>
      <c r="B24" s="60"/>
      <c r="C24" s="60"/>
      <c r="D24" s="60"/>
      <c r="E24" s="60"/>
      <c r="F24" s="60"/>
      <c r="G24" s="110"/>
      <c r="H24" s="61"/>
    </row>
    <row r="25" spans="1:14" x14ac:dyDescent="0.2">
      <c r="A25" s="178" t="s">
        <v>342</v>
      </c>
      <c r="B25" s="60"/>
      <c r="C25" s="60"/>
      <c r="D25" s="60"/>
      <c r="E25" s="60"/>
      <c r="F25" s="60"/>
      <c r="G25" s="110"/>
      <c r="H25" s="61"/>
    </row>
    <row r="26" spans="1:14" x14ac:dyDescent="0.2">
      <c r="A26" s="178"/>
      <c r="B26" s="81"/>
      <c r="C26" s="81"/>
      <c r="D26" s="81"/>
      <c r="E26" s="81"/>
      <c r="F26" s="81"/>
      <c r="G26" s="111"/>
      <c r="H26" s="82"/>
    </row>
    <row r="27" spans="1:14" x14ac:dyDescent="0.2">
      <c r="A27" s="178" t="s">
        <v>343</v>
      </c>
      <c r="B27" s="90"/>
      <c r="C27" s="90"/>
      <c r="D27" s="90"/>
      <c r="E27" s="90"/>
      <c r="F27" s="90"/>
      <c r="G27" s="212"/>
      <c r="H27" s="91"/>
    </row>
    <row r="28" spans="1:14" x14ac:dyDescent="0.2">
      <c r="A28" s="186" t="s">
        <v>344</v>
      </c>
      <c r="B28" s="29"/>
      <c r="C28" s="29"/>
      <c r="D28" s="29"/>
      <c r="E28" s="29"/>
      <c r="F28" s="29"/>
      <c r="G28" s="213"/>
      <c r="H28" s="52"/>
      <c r="I28" s="170"/>
      <c r="J28" s="170"/>
      <c r="K28" s="170"/>
      <c r="L28" s="170"/>
      <c r="M28" s="170"/>
      <c r="N28" s="170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E1" sqref="E1"/>
    </sheetView>
  </sheetViews>
  <sheetFormatPr defaultColWidth="11.42578125" defaultRowHeight="12.75" x14ac:dyDescent="0.2"/>
  <cols>
    <col min="1" max="1" width="37.7109375" style="170" customWidth="1"/>
    <col min="2" max="7" width="14.85546875" style="170" customWidth="1"/>
    <col min="8" max="8" width="17.42578125" style="170" customWidth="1"/>
    <col min="9" max="16384" width="11.42578125" style="170"/>
  </cols>
  <sheetData>
    <row r="1" spans="1:7" x14ac:dyDescent="0.2">
      <c r="A1" s="1" t="s">
        <v>0</v>
      </c>
      <c r="B1"/>
      <c r="C1"/>
      <c r="D1"/>
      <c r="E1" s="2">
        <f>InfoInicial!E1</f>
        <v>0</v>
      </c>
    </row>
    <row r="3" spans="1:7" ht="15.75" x14ac:dyDescent="0.25">
      <c r="A3" s="200" t="s">
        <v>345</v>
      </c>
      <c r="B3" s="201"/>
      <c r="C3" s="201"/>
      <c r="D3" s="201"/>
      <c r="E3" s="201"/>
      <c r="F3" s="201"/>
      <c r="G3" s="203"/>
    </row>
    <row r="4" spans="1:7" x14ac:dyDescent="0.2">
      <c r="A4" s="214"/>
      <c r="B4" s="215" t="s">
        <v>49</v>
      </c>
      <c r="C4" s="215" t="s">
        <v>50</v>
      </c>
      <c r="D4" s="215" t="s">
        <v>91</v>
      </c>
      <c r="E4" s="215" t="s">
        <v>92</v>
      </c>
      <c r="F4" s="215" t="s">
        <v>93</v>
      </c>
      <c r="G4" s="216" t="s">
        <v>94</v>
      </c>
    </row>
    <row r="5" spans="1:7" x14ac:dyDescent="0.2">
      <c r="A5" s="217" t="s">
        <v>346</v>
      </c>
      <c r="B5" s="218"/>
      <c r="C5" s="218"/>
      <c r="D5" s="218"/>
      <c r="E5" s="218"/>
      <c r="F5" s="218"/>
      <c r="G5" s="219"/>
    </row>
    <row r="6" spans="1:7" x14ac:dyDescent="0.2">
      <c r="A6" s="184" t="s">
        <v>347</v>
      </c>
      <c r="B6" s="81"/>
      <c r="C6" s="81"/>
      <c r="D6" s="81"/>
      <c r="E6" s="81"/>
      <c r="F6" s="81"/>
      <c r="G6" s="82"/>
    </row>
    <row r="7" spans="1:7" x14ac:dyDescent="0.2">
      <c r="A7" s="204" t="s">
        <v>348</v>
      </c>
      <c r="B7" s="209"/>
      <c r="C7" s="209"/>
      <c r="D7" s="209"/>
      <c r="E7" s="209"/>
      <c r="F7" s="209"/>
      <c r="G7" s="211"/>
    </row>
    <row r="8" spans="1:7" x14ac:dyDescent="0.2">
      <c r="A8" s="204" t="s">
        <v>349</v>
      </c>
      <c r="B8" s="60"/>
      <c r="C8" s="60"/>
      <c r="D8" s="60"/>
      <c r="E8" s="60"/>
      <c r="F8" s="60"/>
      <c r="G8" s="61"/>
    </row>
    <row r="9" spans="1:7" x14ac:dyDescent="0.2">
      <c r="A9" s="184" t="s">
        <v>350</v>
      </c>
      <c r="B9" s="209"/>
      <c r="C9" s="209"/>
      <c r="D9" s="209"/>
      <c r="E9" s="209"/>
      <c r="F9" s="209"/>
      <c r="G9" s="211"/>
    </row>
    <row r="10" spans="1:7" x14ac:dyDescent="0.2">
      <c r="A10" s="184" t="s">
        <v>351</v>
      </c>
      <c r="B10" s="60"/>
      <c r="C10" s="60"/>
      <c r="D10" s="60"/>
      <c r="E10" s="60"/>
      <c r="F10" s="60"/>
      <c r="G10" s="61"/>
    </row>
    <row r="11" spans="1:7" x14ac:dyDescent="0.2">
      <c r="A11" s="184" t="s">
        <v>352</v>
      </c>
      <c r="B11" s="88"/>
      <c r="C11" s="88"/>
      <c r="D11" s="88"/>
      <c r="E11" s="88"/>
      <c r="F11" s="88"/>
      <c r="G11" s="89"/>
    </row>
    <row r="12" spans="1:7" x14ac:dyDescent="0.2">
      <c r="A12" s="184" t="s">
        <v>353</v>
      </c>
      <c r="B12" s="88"/>
      <c r="C12" s="88"/>
      <c r="D12" s="88"/>
      <c r="E12" s="88"/>
      <c r="F12" s="88"/>
      <c r="G12" s="89"/>
    </row>
    <row r="13" spans="1:7" x14ac:dyDescent="0.2">
      <c r="A13" s="184" t="s">
        <v>354</v>
      </c>
      <c r="B13" s="220"/>
      <c r="C13" s="220"/>
      <c r="D13" s="220"/>
      <c r="E13" s="220"/>
      <c r="F13" s="220"/>
      <c r="G13" s="221"/>
    </row>
    <row r="14" spans="1:7" x14ac:dyDescent="0.2">
      <c r="A14" s="204" t="s">
        <v>355</v>
      </c>
      <c r="B14" s="60"/>
      <c r="C14" s="60"/>
      <c r="D14" s="60"/>
      <c r="E14" s="60"/>
      <c r="F14" s="60"/>
      <c r="G14" s="61"/>
    </row>
    <row r="15" spans="1:7" x14ac:dyDescent="0.2">
      <c r="A15" s="204" t="s">
        <v>356</v>
      </c>
      <c r="B15" s="209"/>
      <c r="C15" s="209"/>
      <c r="D15" s="209"/>
      <c r="E15" s="209"/>
      <c r="F15" s="209"/>
      <c r="G15" s="211"/>
    </row>
    <row r="16" spans="1:7" x14ac:dyDescent="0.2">
      <c r="A16" s="204" t="s">
        <v>357</v>
      </c>
      <c r="B16" s="60"/>
      <c r="C16" s="60"/>
      <c r="D16" s="60"/>
      <c r="E16" s="60"/>
      <c r="F16" s="60"/>
      <c r="G16" s="61"/>
    </row>
    <row r="17" spans="1:7" x14ac:dyDescent="0.2">
      <c r="A17" s="204" t="s">
        <v>358</v>
      </c>
      <c r="B17" s="60"/>
      <c r="C17" s="60"/>
      <c r="D17" s="60"/>
      <c r="E17" s="60"/>
      <c r="F17" s="60"/>
      <c r="G17" s="61"/>
    </row>
    <row r="18" spans="1:7" x14ac:dyDescent="0.2">
      <c r="A18" s="184" t="s">
        <v>83</v>
      </c>
      <c r="B18" s="209"/>
      <c r="C18" s="209"/>
      <c r="D18" s="209"/>
      <c r="E18" s="209"/>
      <c r="F18" s="209"/>
      <c r="G18" s="211"/>
    </row>
    <row r="19" spans="1:7" x14ac:dyDescent="0.2">
      <c r="A19" s="204" t="s">
        <v>355</v>
      </c>
      <c r="B19" s="60"/>
      <c r="C19" s="60"/>
      <c r="D19" s="60"/>
      <c r="E19" s="60"/>
      <c r="F19" s="60"/>
      <c r="G19" s="61"/>
    </row>
    <row r="20" spans="1:7" x14ac:dyDescent="0.2">
      <c r="A20" s="204" t="s">
        <v>359</v>
      </c>
      <c r="B20" s="60"/>
      <c r="C20" s="60"/>
      <c r="D20" s="60"/>
      <c r="E20" s="60"/>
      <c r="F20" s="60"/>
      <c r="G20" s="61"/>
    </row>
    <row r="21" spans="1:7" x14ac:dyDescent="0.2">
      <c r="A21" s="204" t="s">
        <v>360</v>
      </c>
      <c r="B21" s="60"/>
      <c r="C21" s="60"/>
      <c r="D21" s="60"/>
      <c r="E21" s="60"/>
      <c r="F21" s="60"/>
      <c r="G21" s="61"/>
    </row>
    <row r="22" spans="1:7" x14ac:dyDescent="0.2">
      <c r="A22" s="204" t="s">
        <v>358</v>
      </c>
      <c r="B22" s="209"/>
      <c r="C22" s="209"/>
      <c r="D22" s="209"/>
      <c r="E22" s="209"/>
      <c r="F22" s="209"/>
      <c r="G22" s="211"/>
    </row>
    <row r="23" spans="1:7" x14ac:dyDescent="0.2">
      <c r="A23" s="184" t="s">
        <v>361</v>
      </c>
      <c r="B23" s="209"/>
      <c r="C23" s="209"/>
      <c r="D23" s="209"/>
      <c r="E23" s="209"/>
      <c r="F23" s="209"/>
      <c r="G23" s="211"/>
    </row>
    <row r="24" spans="1:7" x14ac:dyDescent="0.2">
      <c r="A24" s="184" t="s">
        <v>362</v>
      </c>
      <c r="B24" s="209"/>
      <c r="C24" s="209"/>
      <c r="D24" s="209"/>
      <c r="E24" s="209"/>
      <c r="F24" s="209"/>
      <c r="G24" s="211"/>
    </row>
    <row r="25" spans="1:7" x14ac:dyDescent="0.2">
      <c r="A25" s="184" t="s">
        <v>363</v>
      </c>
      <c r="B25" s="209"/>
      <c r="C25" s="209"/>
      <c r="D25" s="209"/>
      <c r="E25" s="209"/>
      <c r="F25" s="209"/>
      <c r="G25" s="211"/>
    </row>
    <row r="26" spans="1:7" x14ac:dyDescent="0.2">
      <c r="A26" s="184" t="s">
        <v>364</v>
      </c>
      <c r="B26" s="209"/>
      <c r="C26" s="209"/>
      <c r="D26" s="209"/>
      <c r="E26" s="209"/>
      <c r="F26" s="209"/>
      <c r="G26" s="211"/>
    </row>
    <row r="27" spans="1:7" x14ac:dyDescent="0.2">
      <c r="A27" s="184" t="s">
        <v>365</v>
      </c>
      <c r="B27" s="60"/>
      <c r="C27" s="60"/>
      <c r="D27" s="60"/>
      <c r="E27" s="60"/>
      <c r="F27" s="60"/>
      <c r="G27" s="61"/>
    </row>
    <row r="28" spans="1:7" x14ac:dyDescent="0.2">
      <c r="A28" s="184" t="s">
        <v>366</v>
      </c>
      <c r="B28" s="60"/>
      <c r="C28" s="60"/>
      <c r="D28" s="60"/>
      <c r="E28" s="60"/>
      <c r="F28" s="60"/>
      <c r="G28" s="61"/>
    </row>
    <row r="29" spans="1:7" x14ac:dyDescent="0.2">
      <c r="A29" s="184" t="s">
        <v>365</v>
      </c>
      <c r="B29" s="209"/>
      <c r="C29" s="209"/>
      <c r="D29" s="209"/>
      <c r="E29" s="209"/>
      <c r="F29" s="209"/>
      <c r="G29" s="211"/>
    </row>
    <row r="30" spans="1:7" x14ac:dyDescent="0.2">
      <c r="A30" s="184" t="s">
        <v>367</v>
      </c>
      <c r="B30" s="60"/>
      <c r="C30" s="60"/>
      <c r="D30" s="60"/>
      <c r="E30" s="60"/>
      <c r="F30" s="60"/>
      <c r="G30" s="61"/>
    </row>
    <row r="31" spans="1:7" x14ac:dyDescent="0.2">
      <c r="A31" s="184" t="s">
        <v>368</v>
      </c>
      <c r="B31" s="60"/>
      <c r="C31" s="60"/>
      <c r="D31" s="60"/>
      <c r="E31" s="60"/>
      <c r="F31" s="60"/>
      <c r="G31" s="61"/>
    </row>
    <row r="32" spans="1:7" x14ac:dyDescent="0.2">
      <c r="A32" s="184" t="s">
        <v>369</v>
      </c>
      <c r="B32" s="60"/>
      <c r="C32" s="60"/>
      <c r="D32" s="60"/>
      <c r="E32" s="60"/>
      <c r="F32" s="60"/>
      <c r="G32" s="61"/>
    </row>
    <row r="33" spans="1:7" x14ac:dyDescent="0.2">
      <c r="A33" s="184" t="s">
        <v>370</v>
      </c>
      <c r="B33" s="209"/>
      <c r="C33" s="209"/>
      <c r="D33" s="209"/>
      <c r="E33" s="209"/>
      <c r="F33" s="209"/>
      <c r="G33" s="211"/>
    </row>
    <row r="34" spans="1:7" x14ac:dyDescent="0.2">
      <c r="A34" s="184" t="s">
        <v>371</v>
      </c>
      <c r="B34" s="60"/>
      <c r="C34" s="60"/>
      <c r="D34" s="60"/>
      <c r="E34" s="60"/>
      <c r="F34" s="60"/>
      <c r="G34" s="61"/>
    </row>
    <row r="35" spans="1:7" x14ac:dyDescent="0.2">
      <c r="A35" s="186" t="s">
        <v>372</v>
      </c>
      <c r="B35" s="29"/>
      <c r="C35" s="29"/>
      <c r="D35" s="29"/>
      <c r="E35" s="29"/>
      <c r="F35" s="29"/>
      <c r="G35" s="52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G1" sqref="G1"/>
    </sheetView>
  </sheetViews>
  <sheetFormatPr defaultColWidth="11.42578125" defaultRowHeight="12.75" x14ac:dyDescent="0.2"/>
  <cols>
    <col min="1" max="1" width="8" style="170" customWidth="1"/>
    <col min="2" max="14" width="14.85546875" style="170" customWidth="1"/>
    <col min="15" max="15" width="17.42578125" style="170" customWidth="1"/>
    <col min="16" max="16384" width="11.42578125" style="170"/>
  </cols>
  <sheetData>
    <row r="1" spans="1:14" x14ac:dyDescent="0.2">
      <c r="A1" s="1" t="s">
        <v>0</v>
      </c>
      <c r="B1"/>
      <c r="C1"/>
      <c r="D1"/>
      <c r="G1" s="2">
        <f>InfoInicial!E1</f>
        <v>0</v>
      </c>
    </row>
    <row r="3" spans="1:14" ht="15.75" x14ac:dyDescent="0.25">
      <c r="A3" s="171" t="s">
        <v>373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</row>
    <row r="4" spans="1:14" ht="25.5" x14ac:dyDescent="0.2">
      <c r="A4" s="191" t="s">
        <v>233</v>
      </c>
      <c r="B4" s="192" t="s">
        <v>333</v>
      </c>
      <c r="C4" s="192" t="s">
        <v>374</v>
      </c>
      <c r="D4" s="192" t="s">
        <v>236</v>
      </c>
      <c r="E4" s="192" t="s">
        <v>3</v>
      </c>
      <c r="F4" s="192" t="s">
        <v>237</v>
      </c>
      <c r="G4" s="192" t="s">
        <v>238</v>
      </c>
      <c r="H4" s="192" t="s">
        <v>375</v>
      </c>
      <c r="I4" s="192" t="s">
        <v>376</v>
      </c>
      <c r="J4" s="192" t="s">
        <v>98</v>
      </c>
      <c r="K4" s="192" t="s">
        <v>240</v>
      </c>
      <c r="L4" s="192" t="s">
        <v>241</v>
      </c>
      <c r="M4" s="222" t="s">
        <v>242</v>
      </c>
      <c r="N4" s="223" t="s">
        <v>243</v>
      </c>
    </row>
    <row r="5" spans="1:14" x14ac:dyDescent="0.2">
      <c r="A5" s="224">
        <v>0</v>
      </c>
      <c r="B5" s="130"/>
      <c r="C5" s="58"/>
      <c r="D5" s="58"/>
      <c r="E5" s="58"/>
      <c r="F5" s="58"/>
      <c r="G5" s="58"/>
      <c r="H5" s="58"/>
      <c r="I5" s="58"/>
      <c r="J5" s="58"/>
      <c r="K5" s="58"/>
      <c r="L5" s="58"/>
      <c r="M5" s="131"/>
      <c r="N5" s="59"/>
    </row>
    <row r="6" spans="1:14" x14ac:dyDescent="0.2">
      <c r="A6" s="225">
        <v>1</v>
      </c>
      <c r="B6" s="121"/>
      <c r="C6" s="60"/>
      <c r="D6" s="60"/>
      <c r="E6" s="60"/>
      <c r="F6" s="60"/>
      <c r="G6" s="60"/>
      <c r="H6" s="60"/>
      <c r="I6" s="60"/>
      <c r="J6" s="60"/>
      <c r="K6" s="60"/>
      <c r="L6" s="60"/>
      <c r="M6" s="110"/>
      <c r="N6" s="61"/>
    </row>
    <row r="7" spans="1:14" x14ac:dyDescent="0.2">
      <c r="A7" s="225">
        <v>2</v>
      </c>
      <c r="B7" s="121"/>
      <c r="C7" s="60"/>
      <c r="D7" s="60"/>
      <c r="E7" s="60"/>
      <c r="F7" s="60"/>
      <c r="G7" s="60"/>
      <c r="H7" s="60"/>
      <c r="I7" s="60"/>
      <c r="J7" s="60"/>
      <c r="K7" s="60"/>
      <c r="L7" s="60"/>
      <c r="M7" s="110"/>
      <c r="N7" s="61"/>
    </row>
    <row r="8" spans="1:14" x14ac:dyDescent="0.2">
      <c r="A8" s="225">
        <v>3</v>
      </c>
      <c r="B8" s="121"/>
      <c r="C8" s="60"/>
      <c r="D8" s="60"/>
      <c r="E8" s="60"/>
      <c r="F8" s="60"/>
      <c r="G8" s="60"/>
      <c r="H8" s="60"/>
      <c r="I8" s="60"/>
      <c r="J8" s="60"/>
      <c r="K8" s="60"/>
      <c r="L8" s="60"/>
      <c r="M8" s="110"/>
      <c r="N8" s="61"/>
    </row>
    <row r="9" spans="1:14" x14ac:dyDescent="0.2">
      <c r="A9" s="225">
        <v>4</v>
      </c>
      <c r="B9" s="121"/>
      <c r="C9" s="60"/>
      <c r="D9" s="60"/>
      <c r="E9" s="60"/>
      <c r="F9" s="60"/>
      <c r="G9" s="60"/>
      <c r="H9" s="60"/>
      <c r="I9" s="60"/>
      <c r="J9" s="60"/>
      <c r="K9" s="60"/>
      <c r="L9" s="60"/>
      <c r="M9" s="110"/>
      <c r="N9" s="61"/>
    </row>
    <row r="10" spans="1:14" x14ac:dyDescent="0.2">
      <c r="A10" s="225">
        <v>5</v>
      </c>
      <c r="B10" s="121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10"/>
      <c r="N10" s="61"/>
    </row>
    <row r="11" spans="1:14" x14ac:dyDescent="0.2">
      <c r="A11" s="225"/>
      <c r="B11" s="123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111"/>
      <c r="N11" s="82"/>
    </row>
    <row r="12" spans="1:14" x14ac:dyDescent="0.2">
      <c r="A12" s="226" t="s">
        <v>244</v>
      </c>
      <c r="B12" s="126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112"/>
      <c r="N12" s="66"/>
    </row>
    <row r="14" spans="1:14" x14ac:dyDescent="0.2">
      <c r="C14" s="227" t="s">
        <v>245</v>
      </c>
      <c r="D14" s="135"/>
    </row>
    <row r="15" spans="1:14" x14ac:dyDescent="0.2">
      <c r="A15" s="178"/>
      <c r="C15" s="227" t="s">
        <v>246</v>
      </c>
      <c r="D15" s="136"/>
      <c r="E15" s="170" t="s">
        <v>247</v>
      </c>
    </row>
    <row r="16" spans="1:14" x14ac:dyDescent="0.2">
      <c r="C16" s="227" t="s">
        <v>377</v>
      </c>
      <c r="D16" s="137"/>
    </row>
    <row r="17" spans="1:15" x14ac:dyDescent="0.2">
      <c r="A17" s="228"/>
      <c r="B17" s="229"/>
      <c r="C17" s="229"/>
      <c r="D17" s="229"/>
      <c r="E17" s="230"/>
      <c r="F17" s="231"/>
      <c r="G17" s="231"/>
      <c r="H17" s="231"/>
      <c r="I17" s="231"/>
      <c r="J17" s="229"/>
      <c r="K17" s="231"/>
      <c r="L17" s="231"/>
      <c r="M17" s="231"/>
      <c r="N17" s="231"/>
      <c r="O17" s="229"/>
    </row>
    <row r="18" spans="1:15" ht="15.75" x14ac:dyDescent="0.25">
      <c r="A18" s="232"/>
      <c r="B18" s="231"/>
      <c r="C18" s="233"/>
      <c r="D18" s="231"/>
      <c r="E18" s="234"/>
      <c r="F18" s="231"/>
      <c r="G18" s="231"/>
      <c r="H18" s="231"/>
      <c r="I18" s="231"/>
      <c r="J18" s="231"/>
      <c r="K18" s="231"/>
      <c r="L18" s="231"/>
      <c r="M18" s="231"/>
      <c r="N18" s="231"/>
    </row>
    <row r="20" spans="1:15" x14ac:dyDescent="0.2">
      <c r="A20" s="235"/>
    </row>
    <row r="21" spans="1:15" ht="15.75" x14ac:dyDescent="0.25">
      <c r="A21" s="171" t="s">
        <v>378</v>
      </c>
      <c r="B21" s="172"/>
      <c r="C21" s="172"/>
      <c r="D21" s="172"/>
      <c r="E21" s="172"/>
      <c r="F21" s="172"/>
      <c r="G21" s="172"/>
      <c r="H21" s="173"/>
    </row>
    <row r="22" spans="1:15" ht="38.25" x14ac:dyDescent="0.2">
      <c r="A22" s="191" t="s">
        <v>233</v>
      </c>
      <c r="B22" s="192" t="s">
        <v>379</v>
      </c>
      <c r="C22" s="192" t="s">
        <v>238</v>
      </c>
      <c r="D22" s="192" t="s">
        <v>338</v>
      </c>
      <c r="E22" s="192" t="s">
        <v>380</v>
      </c>
      <c r="F22" s="192" t="s">
        <v>241</v>
      </c>
      <c r="G22" s="222" t="s">
        <v>242</v>
      </c>
      <c r="H22" s="223" t="s">
        <v>243</v>
      </c>
    </row>
    <row r="23" spans="1:15" x14ac:dyDescent="0.2">
      <c r="A23" s="224">
        <v>0</v>
      </c>
      <c r="B23" s="130"/>
      <c r="C23" s="58"/>
      <c r="D23" s="58"/>
      <c r="E23" s="58"/>
      <c r="F23" s="58"/>
      <c r="G23" s="131"/>
      <c r="H23" s="59"/>
    </row>
    <row r="24" spans="1:15" x14ac:dyDescent="0.2">
      <c r="A24" s="225">
        <v>1</v>
      </c>
      <c r="B24" s="121"/>
      <c r="C24" s="60"/>
      <c r="D24" s="60"/>
      <c r="E24" s="60"/>
      <c r="F24" s="60"/>
      <c r="G24" s="110"/>
      <c r="H24" s="61"/>
    </row>
    <row r="25" spans="1:15" x14ac:dyDescent="0.2">
      <c r="A25" s="225">
        <v>2</v>
      </c>
      <c r="B25" s="121"/>
      <c r="C25" s="60"/>
      <c r="D25" s="60"/>
      <c r="E25" s="60"/>
      <c r="F25" s="60"/>
      <c r="G25" s="110"/>
      <c r="H25" s="61"/>
    </row>
    <row r="26" spans="1:15" x14ac:dyDescent="0.2">
      <c r="A26" s="225">
        <v>3</v>
      </c>
      <c r="B26" s="121"/>
      <c r="C26" s="60"/>
      <c r="D26" s="60"/>
      <c r="E26" s="60"/>
      <c r="F26" s="60"/>
      <c r="G26" s="110"/>
      <c r="H26" s="61"/>
    </row>
    <row r="27" spans="1:15" x14ac:dyDescent="0.2">
      <c r="A27" s="225">
        <v>4</v>
      </c>
      <c r="B27" s="121"/>
      <c r="C27" s="60"/>
      <c r="D27" s="60"/>
      <c r="E27" s="60"/>
      <c r="F27" s="60"/>
      <c r="G27" s="110"/>
      <c r="H27" s="61"/>
    </row>
    <row r="28" spans="1:15" x14ac:dyDescent="0.2">
      <c r="A28" s="225">
        <v>5</v>
      </c>
      <c r="B28" s="121"/>
      <c r="C28" s="60"/>
      <c r="D28" s="60"/>
      <c r="E28" s="60"/>
      <c r="F28" s="60"/>
      <c r="G28" s="110"/>
      <c r="H28" s="61"/>
    </row>
    <row r="29" spans="1:15" x14ac:dyDescent="0.2">
      <c r="A29" s="225"/>
      <c r="B29" s="123"/>
      <c r="C29" s="81"/>
      <c r="D29" s="81"/>
      <c r="E29" s="81"/>
      <c r="F29" s="81"/>
      <c r="G29" s="111"/>
      <c r="H29" s="82"/>
    </row>
    <row r="30" spans="1:15" x14ac:dyDescent="0.2">
      <c r="A30" s="226" t="s">
        <v>244</v>
      </c>
      <c r="B30" s="126"/>
      <c r="C30" s="65"/>
      <c r="D30" s="65"/>
      <c r="E30" s="65"/>
      <c r="F30" s="65"/>
      <c r="G30" s="112"/>
      <c r="H30" s="66"/>
    </row>
    <row r="33" spans="3:5" x14ac:dyDescent="0.2">
      <c r="C33" s="227" t="s">
        <v>245</v>
      </c>
      <c r="D33" s="135"/>
      <c r="E33" s="170" t="s">
        <v>381</v>
      </c>
    </row>
    <row r="34" spans="3:5" x14ac:dyDescent="0.2">
      <c r="C34" s="227" t="s">
        <v>246</v>
      </c>
      <c r="D34" s="136"/>
      <c r="E34" s="170" t="s">
        <v>382</v>
      </c>
    </row>
    <row r="35" spans="3:5" x14ac:dyDescent="0.2">
      <c r="C35" s="227" t="s">
        <v>383</v>
      </c>
      <c r="D35" s="137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showGridLines="0" topLeftCell="D10" workbookViewId="0">
      <selection activeCell="R22" sqref="R22"/>
    </sheetView>
  </sheetViews>
  <sheetFormatPr defaultColWidth="9.140625" defaultRowHeight="12.75" x14ac:dyDescent="0.2"/>
  <cols>
    <col min="1" max="17" width="11.42578125" customWidth="1"/>
    <col min="18" max="18" width="14" bestFit="1" customWidth="1"/>
    <col min="19" max="256" width="11.42578125" customWidth="1"/>
  </cols>
  <sheetData>
    <row r="2" spans="2:18" x14ac:dyDescent="0.2">
      <c r="B2" s="238" t="s">
        <v>384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</row>
    <row r="3" spans="2:18" x14ac:dyDescent="0.2">
      <c r="B3" s="238"/>
      <c r="C3" s="238"/>
      <c r="D3" s="238"/>
      <c r="E3" s="238"/>
      <c r="F3" s="238"/>
      <c r="G3" s="238"/>
      <c r="H3" s="238"/>
      <c r="I3" s="238" t="s">
        <v>50</v>
      </c>
      <c r="J3" s="238"/>
      <c r="K3" s="238"/>
      <c r="L3" s="238"/>
      <c r="M3" s="238"/>
      <c r="N3" s="238"/>
      <c r="O3" s="238"/>
      <c r="P3" s="238"/>
    </row>
    <row r="4" spans="2:18" x14ac:dyDescent="0.2">
      <c r="B4" s="238"/>
      <c r="C4" s="238"/>
      <c r="D4" s="238"/>
      <c r="E4" s="238"/>
      <c r="F4" s="238"/>
      <c r="G4" s="238"/>
      <c r="H4" s="238"/>
      <c r="I4" s="238"/>
      <c r="J4" s="238"/>
      <c r="K4" s="287" t="s">
        <v>385</v>
      </c>
      <c r="L4" s="287"/>
      <c r="M4" s="287"/>
      <c r="N4" s="287"/>
      <c r="O4" s="238"/>
      <c r="P4" s="238"/>
    </row>
    <row r="5" spans="2:18" x14ac:dyDescent="0.2">
      <c r="B5" s="238"/>
      <c r="C5" s="238"/>
      <c r="D5" s="238" t="s">
        <v>386</v>
      </c>
      <c r="E5" s="238"/>
      <c r="F5" s="238"/>
      <c r="G5" s="238"/>
      <c r="H5" s="238"/>
      <c r="I5" s="238"/>
      <c r="J5" s="238"/>
      <c r="K5" s="238">
        <v>1</v>
      </c>
      <c r="L5" s="238">
        <v>2</v>
      </c>
      <c r="M5" s="238">
        <v>3</v>
      </c>
      <c r="N5" s="238" t="s">
        <v>387</v>
      </c>
      <c r="O5" s="238" t="s">
        <v>388</v>
      </c>
      <c r="P5" s="238" t="s">
        <v>154</v>
      </c>
      <c r="Q5" s="238" t="s">
        <v>389</v>
      </c>
    </row>
    <row r="6" spans="2:18" x14ac:dyDescent="0.2">
      <c r="B6" s="238"/>
      <c r="C6" s="238"/>
      <c r="D6" s="239" t="s">
        <v>390</v>
      </c>
      <c r="E6" s="239">
        <v>5.6000000000000001E-2</v>
      </c>
      <c r="F6" s="238" t="s">
        <v>391</v>
      </c>
      <c r="G6" s="238"/>
      <c r="H6" s="238"/>
      <c r="I6" s="238"/>
      <c r="J6" s="239" t="s">
        <v>390</v>
      </c>
      <c r="K6" s="238">
        <v>19.478260869565219</v>
      </c>
      <c r="L6" s="238">
        <v>58.434782608695656</v>
      </c>
      <c r="M6" s="238">
        <v>97.391304347826079</v>
      </c>
      <c r="N6" s="238">
        <v>116.86956521739131</v>
      </c>
      <c r="O6" s="238">
        <v>175.30434782608694</v>
      </c>
      <c r="P6" s="238">
        <f>K6+L6+M6+N6*9</f>
        <v>1227.1304347826087</v>
      </c>
      <c r="Q6" s="238">
        <v>2000</v>
      </c>
      <c r="R6">
        <f>P6*Q6</f>
        <v>2454260.8695652173</v>
      </c>
    </row>
    <row r="7" spans="2:18" x14ac:dyDescent="0.2">
      <c r="B7" s="238"/>
      <c r="C7" s="238"/>
      <c r="D7" s="239" t="s">
        <v>392</v>
      </c>
      <c r="E7" s="239">
        <v>5</v>
      </c>
      <c r="F7" s="238" t="s">
        <v>393</v>
      </c>
      <c r="G7" s="238"/>
      <c r="H7" s="238"/>
      <c r="I7" s="238"/>
      <c r="J7" s="239" t="s">
        <v>392</v>
      </c>
      <c r="K7" s="238">
        <v>1739.1304347826087</v>
      </c>
      <c r="L7" s="238">
        <v>5217.391304347826</v>
      </c>
      <c r="M7" s="238">
        <v>8695.6521739130421</v>
      </c>
      <c r="N7" s="238">
        <v>10434.782608695652</v>
      </c>
      <c r="O7" s="238">
        <v>15652.173913043476</v>
      </c>
      <c r="P7" s="238">
        <f t="shared" ref="P7:P16" si="0">K7+L7+M7+N7*9</f>
        <v>109565.21739130434</v>
      </c>
      <c r="Q7" s="238">
        <v>14</v>
      </c>
      <c r="R7">
        <f t="shared" ref="R7:R18" si="1">P7*Q7</f>
        <v>1533913.0434782607</v>
      </c>
    </row>
    <row r="8" spans="2:18" x14ac:dyDescent="0.2">
      <c r="B8" s="238"/>
      <c r="C8" s="238"/>
      <c r="D8" s="239" t="s">
        <v>394</v>
      </c>
      <c r="E8" s="239">
        <v>50</v>
      </c>
      <c r="F8" s="238" t="s">
        <v>395</v>
      </c>
      <c r="G8" s="238"/>
      <c r="H8" s="238"/>
      <c r="I8" s="238"/>
      <c r="J8" s="239" t="s">
        <v>394</v>
      </c>
      <c r="K8" s="238">
        <v>17391.304347826088</v>
      </c>
      <c r="L8" s="238">
        <v>52173.913043478264</v>
      </c>
      <c r="M8" s="238">
        <v>86956.521739130432</v>
      </c>
      <c r="N8" s="238">
        <v>104347.82608695653</v>
      </c>
      <c r="O8" s="238">
        <v>156521.73913043478</v>
      </c>
      <c r="P8" s="238">
        <f t="shared" si="0"/>
        <v>1095652.1739130435</v>
      </c>
      <c r="Q8">
        <f>170/(24*50)</f>
        <v>0.14166666666666666</v>
      </c>
      <c r="R8">
        <f t="shared" si="1"/>
        <v>155217.39130434781</v>
      </c>
    </row>
    <row r="9" spans="2:18" x14ac:dyDescent="0.2">
      <c r="B9" s="238"/>
      <c r="C9" s="238"/>
      <c r="D9" s="239" t="s">
        <v>396</v>
      </c>
      <c r="E9" s="239">
        <v>1</v>
      </c>
      <c r="F9" s="238"/>
      <c r="G9" s="238"/>
      <c r="H9" s="238"/>
      <c r="I9" s="238"/>
      <c r="J9" s="239" t="s">
        <v>396</v>
      </c>
      <c r="K9" s="238">
        <v>347.82608695652175</v>
      </c>
      <c r="L9" s="238">
        <v>1043.4782608695652</v>
      </c>
      <c r="M9" s="238">
        <v>1739.1304347826085</v>
      </c>
      <c r="N9" s="238">
        <v>2086.9565217391305</v>
      </c>
      <c r="O9" s="238">
        <v>3130.4347826086955</v>
      </c>
      <c r="P9" s="238">
        <f t="shared" si="0"/>
        <v>21913.043478260872</v>
      </c>
      <c r="Q9" s="238">
        <v>120</v>
      </c>
      <c r="R9">
        <f t="shared" si="1"/>
        <v>2629565.2173913047</v>
      </c>
    </row>
    <row r="10" spans="2:18" x14ac:dyDescent="0.2">
      <c r="B10" s="238"/>
      <c r="C10" s="238"/>
      <c r="D10" s="239" t="s">
        <v>397</v>
      </c>
      <c r="E10" s="239">
        <v>1</v>
      </c>
      <c r="F10" s="238"/>
      <c r="G10" s="238"/>
      <c r="H10" s="238"/>
      <c r="I10" s="238"/>
      <c r="J10" s="239" t="s">
        <v>397</v>
      </c>
      <c r="K10" s="238">
        <v>347.82608695652175</v>
      </c>
      <c r="L10" s="238">
        <v>1043.4782608695652</v>
      </c>
      <c r="M10" s="238">
        <v>1739.1304347826085</v>
      </c>
      <c r="N10" s="238">
        <v>2086.9565217391305</v>
      </c>
      <c r="O10" s="238">
        <v>3130.4347826086955</v>
      </c>
      <c r="P10" s="238">
        <f t="shared" si="0"/>
        <v>21913.043478260872</v>
      </c>
      <c r="Q10" s="238">
        <v>0</v>
      </c>
      <c r="R10">
        <f t="shared" si="1"/>
        <v>0</v>
      </c>
    </row>
    <row r="11" spans="2:18" x14ac:dyDescent="0.2">
      <c r="B11" s="238"/>
      <c r="C11" s="238"/>
      <c r="D11" s="239" t="s">
        <v>398</v>
      </c>
      <c r="E11" s="239">
        <v>1</v>
      </c>
      <c r="F11" s="238"/>
      <c r="G11" s="238"/>
      <c r="H11" s="238"/>
      <c r="I11" s="238"/>
      <c r="J11" s="239" t="s">
        <v>398</v>
      </c>
      <c r="K11" s="238">
        <v>347.82608695652175</v>
      </c>
      <c r="L11" s="238">
        <v>1043.4782608695652</v>
      </c>
      <c r="M11" s="238">
        <v>1739.1304347826085</v>
      </c>
      <c r="N11" s="238">
        <v>2086.9565217391305</v>
      </c>
      <c r="O11" s="238">
        <v>3130.4347826086955</v>
      </c>
      <c r="P11" s="238">
        <f t="shared" si="0"/>
        <v>21913.043478260872</v>
      </c>
      <c r="Q11" s="238">
        <v>50</v>
      </c>
      <c r="R11">
        <f t="shared" si="1"/>
        <v>1095652.1739130437</v>
      </c>
    </row>
    <row r="12" spans="2:18" x14ac:dyDescent="0.2">
      <c r="B12" s="238"/>
      <c r="C12" s="238"/>
      <c r="D12" s="239" t="s">
        <v>399</v>
      </c>
      <c r="E12" s="239">
        <v>1</v>
      </c>
      <c r="F12" s="238"/>
      <c r="G12" s="238"/>
      <c r="H12" s="238"/>
      <c r="I12" s="238"/>
      <c r="J12" s="239" t="s">
        <v>399</v>
      </c>
      <c r="K12" s="238">
        <v>347.82608695652175</v>
      </c>
      <c r="L12" s="238">
        <v>1043.4782608695652</v>
      </c>
      <c r="M12" s="238">
        <v>1739.1304347826085</v>
      </c>
      <c r="N12" s="238">
        <v>2086.9565217391305</v>
      </c>
      <c r="O12" s="238">
        <v>3130.4347826086955</v>
      </c>
      <c r="P12" s="238">
        <f t="shared" si="0"/>
        <v>21913.043478260872</v>
      </c>
      <c r="Q12" s="238">
        <v>5</v>
      </c>
      <c r="R12">
        <f t="shared" si="1"/>
        <v>109565.21739130435</v>
      </c>
    </row>
    <row r="13" spans="2:18" x14ac:dyDescent="0.2">
      <c r="B13" s="238"/>
      <c r="C13" s="238"/>
      <c r="D13" s="239" t="s">
        <v>400</v>
      </c>
      <c r="E13" s="239">
        <v>1</v>
      </c>
      <c r="F13" s="238"/>
      <c r="G13" s="238"/>
      <c r="H13" s="238"/>
      <c r="I13" s="238"/>
      <c r="J13" s="239" t="s">
        <v>400</v>
      </c>
      <c r="K13" s="238">
        <v>347.82608695652175</v>
      </c>
      <c r="L13" s="238">
        <v>1043.4782608695652</v>
      </c>
      <c r="M13" s="238">
        <v>1739.1304347826085</v>
      </c>
      <c r="N13" s="238">
        <v>2086.9565217391305</v>
      </c>
      <c r="O13" s="238">
        <v>3130.4347826086955</v>
      </c>
      <c r="P13" s="238">
        <f t="shared" si="0"/>
        <v>21913.043478260872</v>
      </c>
      <c r="Q13" s="238">
        <v>20</v>
      </c>
      <c r="R13">
        <f t="shared" si="1"/>
        <v>438260.86956521741</v>
      </c>
    </row>
    <row r="14" spans="2:18" x14ac:dyDescent="0.2">
      <c r="B14" s="238"/>
      <c r="C14" s="238"/>
      <c r="D14" s="239" t="s">
        <v>401</v>
      </c>
      <c r="E14" s="239">
        <v>1</v>
      </c>
      <c r="F14" s="238"/>
      <c r="G14" s="238"/>
      <c r="H14" s="238"/>
      <c r="I14" s="238"/>
      <c r="J14" s="239" t="s">
        <v>401</v>
      </c>
      <c r="K14" s="238">
        <v>347.82608695652175</v>
      </c>
      <c r="L14" s="238">
        <v>1043.4782608695652</v>
      </c>
      <c r="M14" s="238">
        <v>1739.1304347826085</v>
      </c>
      <c r="N14" s="238">
        <v>2086.9565217391305</v>
      </c>
      <c r="O14" s="238">
        <v>3130.4347826086955</v>
      </c>
      <c r="P14" s="238">
        <f t="shared" si="0"/>
        <v>21913.043478260872</v>
      </c>
      <c r="Q14" s="238">
        <v>30</v>
      </c>
      <c r="R14">
        <f t="shared" si="1"/>
        <v>657391.30434782617</v>
      </c>
    </row>
    <row r="15" spans="2:18" x14ac:dyDescent="0.2">
      <c r="B15" s="238"/>
      <c r="C15" s="238"/>
      <c r="D15" s="239" t="s">
        <v>402</v>
      </c>
      <c r="E15" s="239">
        <v>1</v>
      </c>
      <c r="F15" s="238"/>
      <c r="G15" s="238"/>
      <c r="H15" s="238"/>
      <c r="I15" s="238"/>
      <c r="J15" s="239" t="s">
        <v>402</v>
      </c>
      <c r="K15" s="238">
        <v>347.82608695652175</v>
      </c>
      <c r="L15" s="238">
        <v>1043.4782608695652</v>
      </c>
      <c r="M15" s="238">
        <v>1739.1304347826085</v>
      </c>
      <c r="N15" s="238">
        <v>2086.9565217391305</v>
      </c>
      <c r="O15" s="238">
        <v>3130.4347826086955</v>
      </c>
      <c r="P15" s="238">
        <f t="shared" si="0"/>
        <v>21913.043478260872</v>
      </c>
      <c r="Q15" s="238">
        <v>0</v>
      </c>
      <c r="R15">
        <f t="shared" si="1"/>
        <v>0</v>
      </c>
    </row>
    <row r="16" spans="2:18" x14ac:dyDescent="0.2">
      <c r="B16" s="238"/>
      <c r="C16" s="238"/>
      <c r="D16" s="239" t="s">
        <v>403</v>
      </c>
      <c r="E16" s="239">
        <v>3.3000000000000002E-2</v>
      </c>
      <c r="F16" s="238" t="s">
        <v>404</v>
      </c>
      <c r="G16" s="238"/>
      <c r="H16" s="238"/>
      <c r="I16" s="238"/>
      <c r="J16" s="239" t="s">
        <v>403</v>
      </c>
      <c r="K16" s="238">
        <v>11.478260869565219</v>
      </c>
      <c r="L16" s="238">
        <v>34.434782608695656</v>
      </c>
      <c r="M16" s="238">
        <v>57.391304347826086</v>
      </c>
      <c r="N16" s="238">
        <v>68.869565217391312</v>
      </c>
      <c r="O16" s="238">
        <v>103.30434782608697</v>
      </c>
      <c r="P16" s="238">
        <f t="shared" si="0"/>
        <v>723.13043478260875</v>
      </c>
      <c r="Q16" s="238">
        <v>65</v>
      </c>
      <c r="R16">
        <f t="shared" si="1"/>
        <v>47003.478260869568</v>
      </c>
    </row>
    <row r="17" spans="2:18" x14ac:dyDescent="0.2">
      <c r="B17" s="238"/>
      <c r="C17" s="238"/>
      <c r="D17" s="239" t="s">
        <v>405</v>
      </c>
      <c r="E17" s="238"/>
      <c r="F17" s="238"/>
      <c r="G17" s="238"/>
      <c r="H17" s="238"/>
      <c r="I17" s="238"/>
      <c r="J17" s="239" t="s">
        <v>405</v>
      </c>
      <c r="K17" s="238"/>
      <c r="L17" s="238"/>
      <c r="M17" s="238"/>
      <c r="N17" s="238"/>
      <c r="O17" s="238"/>
      <c r="P17" s="238"/>
      <c r="R17">
        <f t="shared" si="1"/>
        <v>0</v>
      </c>
    </row>
    <row r="18" spans="2:18" x14ac:dyDescent="0.2">
      <c r="B18" s="238"/>
      <c r="C18" s="238"/>
      <c r="D18" s="239" t="s">
        <v>406</v>
      </c>
      <c r="E18" s="238"/>
      <c r="F18" s="238"/>
      <c r="G18" s="238"/>
      <c r="H18" s="238"/>
      <c r="I18" s="238"/>
      <c r="J18" s="239" t="s">
        <v>406</v>
      </c>
      <c r="K18" s="238"/>
      <c r="L18" s="238"/>
      <c r="M18" s="238"/>
      <c r="N18" s="238"/>
      <c r="O18" s="238"/>
      <c r="P18" s="238"/>
      <c r="R18">
        <f t="shared" si="1"/>
        <v>0</v>
      </c>
    </row>
    <row r="19" spans="2:18" x14ac:dyDescent="0.2"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R19" s="299">
        <f>SUM(R6:R18)</f>
        <v>9120829.5652173925</v>
      </c>
    </row>
    <row r="20" spans="2:18" x14ac:dyDescent="0.2"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</row>
    <row r="21" spans="2:18" x14ac:dyDescent="0.2"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</row>
    <row r="22" spans="2:18" x14ac:dyDescent="0.2">
      <c r="B22" s="238"/>
      <c r="C22" s="238"/>
      <c r="D22" s="238"/>
      <c r="E22" s="238"/>
      <c r="F22" s="238"/>
      <c r="G22" s="238"/>
      <c r="H22" s="238"/>
      <c r="I22" s="238" t="s">
        <v>407</v>
      </c>
      <c r="J22" s="238"/>
      <c r="K22" s="238"/>
      <c r="L22" s="238"/>
      <c r="M22" s="238"/>
      <c r="N22" s="238"/>
      <c r="O22" s="238"/>
      <c r="P22" s="238"/>
    </row>
    <row r="23" spans="2:18" x14ac:dyDescent="0.2"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</row>
    <row r="24" spans="2:18" x14ac:dyDescent="0.2"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</row>
    <row r="25" spans="2:18" x14ac:dyDescent="0.2">
      <c r="B25" s="238"/>
      <c r="C25" s="238"/>
      <c r="D25" s="238"/>
      <c r="E25" s="238"/>
      <c r="F25" s="238"/>
      <c r="G25" s="238"/>
      <c r="H25" s="238"/>
      <c r="I25" s="238"/>
      <c r="J25" s="239" t="s">
        <v>390</v>
      </c>
      <c r="K25" s="238">
        <v>1344</v>
      </c>
      <c r="L25" s="238">
        <f>K25/50</f>
        <v>26.88</v>
      </c>
      <c r="M25" s="238">
        <f>L25/2</f>
        <v>13.44</v>
      </c>
      <c r="N25" s="238">
        <f>Q6</f>
        <v>2000</v>
      </c>
      <c r="O25" s="238">
        <f>M25*N25</f>
        <v>26880</v>
      </c>
      <c r="P25" s="238"/>
    </row>
    <row r="26" spans="2:18" x14ac:dyDescent="0.2">
      <c r="B26" s="238"/>
      <c r="C26" s="238"/>
      <c r="D26" s="238"/>
      <c r="E26" s="238"/>
      <c r="F26" s="238"/>
      <c r="G26" s="238"/>
      <c r="H26" s="238"/>
      <c r="I26" s="238"/>
      <c r="J26" s="239" t="s">
        <v>392</v>
      </c>
      <c r="K26" s="238">
        <v>120000</v>
      </c>
      <c r="L26" s="238">
        <f t="shared" ref="L26:L35" si="2">K26/50</f>
        <v>2400</v>
      </c>
      <c r="M26" s="238">
        <f t="shared" ref="M26:M35" si="3">L26/2</f>
        <v>1200</v>
      </c>
      <c r="N26" s="238">
        <f t="shared" ref="N26:N35" si="4">Q7</f>
        <v>14</v>
      </c>
      <c r="O26" s="238">
        <f t="shared" ref="O26:O35" si="5">M26*N26</f>
        <v>16800</v>
      </c>
      <c r="P26" s="238"/>
    </row>
    <row r="27" spans="2:18" x14ac:dyDescent="0.2">
      <c r="B27" s="238"/>
      <c r="C27" s="238"/>
      <c r="D27" s="238"/>
      <c r="E27" s="238"/>
      <c r="F27" s="238"/>
      <c r="G27" s="238"/>
      <c r="H27" s="238"/>
      <c r="I27" s="238"/>
      <c r="J27" s="239" t="s">
        <v>394</v>
      </c>
      <c r="K27" s="238">
        <v>1200000</v>
      </c>
      <c r="L27" s="238">
        <f t="shared" si="2"/>
        <v>24000</v>
      </c>
      <c r="M27" s="238">
        <f t="shared" si="3"/>
        <v>12000</v>
      </c>
      <c r="N27" s="238">
        <f t="shared" si="4"/>
        <v>0.14166666666666666</v>
      </c>
      <c r="O27" s="238">
        <f t="shared" si="5"/>
        <v>1700</v>
      </c>
      <c r="P27" s="238"/>
    </row>
    <row r="28" spans="2:18" x14ac:dyDescent="0.2">
      <c r="B28" s="238"/>
      <c r="C28" s="238"/>
      <c r="D28" s="238"/>
      <c r="E28" s="238"/>
      <c r="F28" s="238"/>
      <c r="G28" s="238"/>
      <c r="H28" s="238"/>
      <c r="I28" s="238"/>
      <c r="J28" s="239" t="s">
        <v>396</v>
      </c>
      <c r="K28" s="238">
        <v>24000</v>
      </c>
      <c r="L28" s="238">
        <f t="shared" si="2"/>
        <v>480</v>
      </c>
      <c r="M28" s="238">
        <f t="shared" si="3"/>
        <v>240</v>
      </c>
      <c r="N28" s="238">
        <f t="shared" si="4"/>
        <v>120</v>
      </c>
      <c r="O28" s="238">
        <f t="shared" si="5"/>
        <v>28800</v>
      </c>
      <c r="P28" s="238"/>
    </row>
    <row r="29" spans="2:18" x14ac:dyDescent="0.2">
      <c r="B29" s="238"/>
      <c r="C29" s="238"/>
      <c r="D29" s="238"/>
      <c r="E29" s="238"/>
      <c r="F29" s="238"/>
      <c r="G29" s="238"/>
      <c r="H29" s="238"/>
      <c r="I29" s="238"/>
      <c r="J29" s="239" t="s">
        <v>397</v>
      </c>
      <c r="K29" s="238">
        <v>24000</v>
      </c>
      <c r="L29" s="238">
        <f t="shared" si="2"/>
        <v>480</v>
      </c>
      <c r="M29" s="238">
        <f t="shared" si="3"/>
        <v>240</v>
      </c>
      <c r="N29" s="238">
        <f t="shared" si="4"/>
        <v>0</v>
      </c>
      <c r="O29" s="238">
        <f t="shared" si="5"/>
        <v>0</v>
      </c>
      <c r="P29" s="238"/>
    </row>
    <row r="30" spans="2:18" x14ac:dyDescent="0.2">
      <c r="B30" s="238"/>
      <c r="C30" s="238"/>
      <c r="D30" s="238"/>
      <c r="E30" s="238"/>
      <c r="F30" s="238"/>
      <c r="G30" s="238"/>
      <c r="H30" s="238"/>
      <c r="I30" s="238"/>
      <c r="J30" s="239" t="s">
        <v>398</v>
      </c>
      <c r="K30" s="238">
        <v>24000</v>
      </c>
      <c r="L30" s="238">
        <f t="shared" si="2"/>
        <v>480</v>
      </c>
      <c r="M30" s="238">
        <f t="shared" si="3"/>
        <v>240</v>
      </c>
      <c r="N30" s="238">
        <f t="shared" si="4"/>
        <v>50</v>
      </c>
      <c r="O30" s="238">
        <f t="shared" si="5"/>
        <v>12000</v>
      </c>
      <c r="P30" s="238"/>
    </row>
    <row r="31" spans="2:18" x14ac:dyDescent="0.2">
      <c r="B31" s="238"/>
      <c r="C31" s="238"/>
      <c r="D31" s="238"/>
      <c r="E31" s="238"/>
      <c r="F31" s="238"/>
      <c r="G31" s="238"/>
      <c r="H31" s="238"/>
      <c r="I31" s="238"/>
      <c r="J31" s="239" t="s">
        <v>399</v>
      </c>
      <c r="K31" s="238">
        <v>24000</v>
      </c>
      <c r="L31" s="238">
        <f t="shared" si="2"/>
        <v>480</v>
      </c>
      <c r="M31" s="238">
        <f t="shared" si="3"/>
        <v>240</v>
      </c>
      <c r="N31" s="238">
        <f t="shared" si="4"/>
        <v>5</v>
      </c>
      <c r="O31" s="238">
        <f t="shared" si="5"/>
        <v>1200</v>
      </c>
      <c r="P31" s="238"/>
    </row>
    <row r="32" spans="2:18" x14ac:dyDescent="0.2">
      <c r="B32" s="238"/>
      <c r="C32" s="238"/>
      <c r="D32" s="238"/>
      <c r="E32" s="238"/>
      <c r="F32" s="238"/>
      <c r="G32" s="238"/>
      <c r="H32" s="238"/>
      <c r="I32" s="238"/>
      <c r="J32" s="239" t="s">
        <v>400</v>
      </c>
      <c r="K32" s="238">
        <v>24000</v>
      </c>
      <c r="L32" s="238">
        <f t="shared" si="2"/>
        <v>480</v>
      </c>
      <c r="M32" s="238">
        <f t="shared" si="3"/>
        <v>240</v>
      </c>
      <c r="N32" s="238">
        <f t="shared" si="4"/>
        <v>20</v>
      </c>
      <c r="O32" s="238">
        <f t="shared" si="5"/>
        <v>4800</v>
      </c>
      <c r="P32" s="238"/>
    </row>
    <row r="33" spans="2:16" x14ac:dyDescent="0.2">
      <c r="B33" s="238"/>
      <c r="C33" s="238"/>
      <c r="D33" s="238"/>
      <c r="E33" s="238"/>
      <c r="F33" s="238"/>
      <c r="G33" s="238"/>
      <c r="H33" s="238"/>
      <c r="I33" s="238"/>
      <c r="J33" s="239" t="s">
        <v>401</v>
      </c>
      <c r="K33" s="238">
        <v>24000</v>
      </c>
      <c r="L33" s="238">
        <f t="shared" si="2"/>
        <v>480</v>
      </c>
      <c r="M33" s="238">
        <f t="shared" si="3"/>
        <v>240</v>
      </c>
      <c r="N33" s="238">
        <f t="shared" si="4"/>
        <v>30</v>
      </c>
      <c r="O33" s="238">
        <f t="shared" si="5"/>
        <v>7200</v>
      </c>
      <c r="P33" s="238"/>
    </row>
    <row r="34" spans="2:16" x14ac:dyDescent="0.2">
      <c r="B34" s="238"/>
      <c r="C34" s="238"/>
      <c r="D34" s="238"/>
      <c r="E34" s="238"/>
      <c r="F34" s="238"/>
      <c r="G34" s="238"/>
      <c r="H34" s="238"/>
      <c r="I34" s="238"/>
      <c r="J34" s="239" t="s">
        <v>402</v>
      </c>
      <c r="K34" s="238">
        <v>24000</v>
      </c>
      <c r="L34" s="238">
        <f t="shared" si="2"/>
        <v>480</v>
      </c>
      <c r="M34" s="238">
        <f t="shared" si="3"/>
        <v>240</v>
      </c>
      <c r="N34" s="238">
        <f t="shared" si="4"/>
        <v>0</v>
      </c>
      <c r="O34" s="238">
        <f t="shared" si="5"/>
        <v>0</v>
      </c>
      <c r="P34" s="238"/>
    </row>
    <row r="35" spans="2:16" x14ac:dyDescent="0.2">
      <c r="B35" s="238"/>
      <c r="C35" s="238"/>
      <c r="D35" s="238"/>
      <c r="E35" s="238"/>
      <c r="F35" s="238"/>
      <c r="G35" s="238"/>
      <c r="H35" s="238"/>
      <c r="I35" s="238"/>
      <c r="J35" s="239" t="s">
        <v>403</v>
      </c>
      <c r="K35" s="238">
        <v>792</v>
      </c>
      <c r="L35" s="238">
        <f t="shared" si="2"/>
        <v>15.84</v>
      </c>
      <c r="M35" s="238">
        <f t="shared" si="3"/>
        <v>7.92</v>
      </c>
      <c r="N35" s="238">
        <f t="shared" si="4"/>
        <v>65</v>
      </c>
      <c r="O35" s="238">
        <f t="shared" si="5"/>
        <v>514.79999999999995</v>
      </c>
      <c r="P35" s="238"/>
    </row>
    <row r="36" spans="2:16" x14ac:dyDescent="0.2">
      <c r="B36" s="238"/>
      <c r="C36" s="238"/>
      <c r="D36" s="238"/>
      <c r="E36" s="238"/>
      <c r="F36" s="238"/>
      <c r="G36" s="238"/>
      <c r="H36" s="238"/>
      <c r="I36" s="238"/>
      <c r="J36" s="239" t="s">
        <v>405</v>
      </c>
      <c r="K36" s="238"/>
      <c r="L36" s="238"/>
      <c r="M36" s="238"/>
      <c r="N36" s="238"/>
      <c r="O36" s="238"/>
      <c r="P36" s="238"/>
    </row>
    <row r="37" spans="2:16" x14ac:dyDescent="0.2">
      <c r="B37" s="238"/>
      <c r="C37" s="238"/>
      <c r="D37" s="238"/>
      <c r="E37" s="238"/>
      <c r="F37" s="238"/>
      <c r="G37" s="238"/>
      <c r="H37" s="238"/>
      <c r="I37" s="238"/>
      <c r="J37" s="239" t="s">
        <v>406</v>
      </c>
      <c r="K37" s="238"/>
      <c r="L37" s="238"/>
      <c r="M37" s="238"/>
      <c r="N37" s="238"/>
      <c r="O37" s="238"/>
      <c r="P37" s="238"/>
    </row>
    <row r="39" spans="2:16" x14ac:dyDescent="0.2">
      <c r="O39" s="299">
        <f>SUM(O25:O35)</f>
        <v>99894.8</v>
      </c>
    </row>
  </sheetData>
  <mergeCells count="1">
    <mergeCell ref="K4:N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P29" sqref="P29"/>
    </sheetView>
  </sheetViews>
  <sheetFormatPr defaultColWidth="9.140625" defaultRowHeight="12.75" x14ac:dyDescent="0.2"/>
  <cols>
    <col min="1" max="256" width="11.42578125" customWidth="1"/>
  </cols>
  <sheetData>
    <row r="2" spans="2:7" x14ac:dyDescent="0.2">
      <c r="E2" t="s">
        <v>408</v>
      </c>
      <c r="F2" t="s">
        <v>50</v>
      </c>
      <c r="G2" t="s">
        <v>409</v>
      </c>
    </row>
    <row r="3" spans="2:7" x14ac:dyDescent="0.2">
      <c r="B3" t="s">
        <v>410</v>
      </c>
      <c r="F3">
        <v>20890.434782608696</v>
      </c>
      <c r="G3">
        <v>24000</v>
      </c>
    </row>
    <row r="4" spans="2:7" x14ac:dyDescent="0.2">
      <c r="B4" t="s">
        <v>411</v>
      </c>
      <c r="F4">
        <v>240</v>
      </c>
      <c r="G4">
        <v>240</v>
      </c>
    </row>
    <row r="5" spans="2:7" x14ac:dyDescent="0.2">
      <c r="B5" t="s">
        <v>412</v>
      </c>
      <c r="F5">
        <v>21130.434782608696</v>
      </c>
      <c r="G5">
        <v>24000</v>
      </c>
    </row>
    <row r="6" spans="2:7" x14ac:dyDescent="0.2">
      <c r="B6" t="s">
        <v>413</v>
      </c>
      <c r="D6" t="s">
        <v>414</v>
      </c>
      <c r="F6">
        <v>732.62223715743801</v>
      </c>
      <c r="G6">
        <v>832.11414590721347</v>
      </c>
    </row>
    <row r="7" spans="2:7" x14ac:dyDescent="0.2">
      <c r="D7" t="s">
        <v>415</v>
      </c>
      <c r="F7">
        <v>0</v>
      </c>
      <c r="G7">
        <v>0</v>
      </c>
    </row>
    <row r="8" spans="2:7" x14ac:dyDescent="0.2">
      <c r="D8" t="s">
        <v>416</v>
      </c>
      <c r="F8">
        <v>0</v>
      </c>
      <c r="G8">
        <v>0</v>
      </c>
    </row>
    <row r="9" spans="2:7" x14ac:dyDescent="0.2">
      <c r="B9" t="s">
        <v>417</v>
      </c>
      <c r="D9" t="s">
        <v>418</v>
      </c>
      <c r="F9">
        <v>13.44</v>
      </c>
      <c r="G9">
        <v>13.44</v>
      </c>
    </row>
    <row r="10" spans="2:7" x14ac:dyDescent="0.2">
      <c r="D10" t="s">
        <v>415</v>
      </c>
      <c r="F10">
        <v>30000</v>
      </c>
      <c r="G10">
        <v>30000</v>
      </c>
    </row>
    <row r="11" spans="2:7" x14ac:dyDescent="0.2">
      <c r="D11" t="s">
        <v>416</v>
      </c>
      <c r="F11">
        <v>300000</v>
      </c>
      <c r="G11">
        <v>300000</v>
      </c>
    </row>
    <row r="12" spans="2:7" x14ac:dyDescent="0.2">
      <c r="B12" t="s">
        <v>419</v>
      </c>
      <c r="D12" t="s">
        <v>418</v>
      </c>
      <c r="F12">
        <v>292.17391304347825</v>
      </c>
      <c r="G12">
        <v>1344</v>
      </c>
    </row>
    <row r="13" spans="2:7" x14ac:dyDescent="0.2">
      <c r="D13" t="s">
        <v>415</v>
      </c>
      <c r="F13">
        <v>26086.956521739128</v>
      </c>
      <c r="G13">
        <v>120000</v>
      </c>
    </row>
    <row r="14" spans="2:7" x14ac:dyDescent="0.2">
      <c r="D14" t="s">
        <v>416</v>
      </c>
      <c r="F14">
        <v>260869.5652173913</v>
      </c>
      <c r="G14">
        <v>1200000</v>
      </c>
    </row>
    <row r="15" spans="2:7" x14ac:dyDescent="0.2">
      <c r="B15" t="s">
        <v>420</v>
      </c>
      <c r="D15" t="s">
        <v>418</v>
      </c>
      <c r="E15">
        <v>175.30434782608694</v>
      </c>
      <c r="F15">
        <v>122.86287625418056</v>
      </c>
      <c r="G15">
        <v>122.86287625418056</v>
      </c>
    </row>
    <row r="16" spans="2:7" x14ac:dyDescent="0.2">
      <c r="D16" t="s">
        <v>415</v>
      </c>
      <c r="E16">
        <v>15652.173913043476</v>
      </c>
      <c r="F16">
        <v>10969.899665551839</v>
      </c>
      <c r="G16">
        <v>10969.899665551839</v>
      </c>
    </row>
    <row r="17" spans="2:7" x14ac:dyDescent="0.2">
      <c r="D17" t="s">
        <v>416</v>
      </c>
      <c r="E17">
        <v>156521.73913043478</v>
      </c>
      <c r="F17">
        <v>109698.99665551841</v>
      </c>
      <c r="G17">
        <v>109698.99665551841</v>
      </c>
    </row>
    <row r="18" spans="2:7" x14ac:dyDescent="0.2">
      <c r="B18" t="s">
        <v>421</v>
      </c>
      <c r="D18" t="s">
        <v>418</v>
      </c>
      <c r="E18">
        <v>175.30434782608694</v>
      </c>
      <c r="F18">
        <v>1168.6956521739128</v>
      </c>
      <c r="G18">
        <v>1344</v>
      </c>
    </row>
    <row r="19" spans="2:7" x14ac:dyDescent="0.2">
      <c r="D19" t="s">
        <v>415</v>
      </c>
      <c r="E19">
        <v>15652.173913043476</v>
      </c>
      <c r="F19">
        <v>104347.8260869565</v>
      </c>
      <c r="G19">
        <v>120000</v>
      </c>
    </row>
    <row r="20" spans="2:7" x14ac:dyDescent="0.2">
      <c r="D20" t="s">
        <v>416</v>
      </c>
      <c r="E20">
        <v>156521.73913043478</v>
      </c>
      <c r="F20">
        <v>1043478.2608695653</v>
      </c>
      <c r="G20">
        <v>1200000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4"/>
  <sheetViews>
    <sheetView workbookViewId="0">
      <selection activeCell="D12" sqref="D12"/>
    </sheetView>
  </sheetViews>
  <sheetFormatPr defaultColWidth="9.140625" defaultRowHeight="12.75" x14ac:dyDescent="0.2"/>
  <cols>
    <col min="1" max="256" width="11.42578125" customWidth="1"/>
  </cols>
  <sheetData>
    <row r="3" spans="3:16" ht="15.75" x14ac:dyDescent="0.25">
      <c r="C3" s="256" t="s">
        <v>422</v>
      </c>
      <c r="D3" s="254"/>
      <c r="E3" s="254"/>
      <c r="F3" s="254"/>
      <c r="G3" s="253"/>
      <c r="H3" s="256" t="s">
        <v>423</v>
      </c>
      <c r="I3" s="253"/>
      <c r="J3" s="253"/>
      <c r="K3" s="253"/>
      <c r="L3" s="253"/>
      <c r="M3" s="256" t="s">
        <v>424</v>
      </c>
      <c r="N3" s="253"/>
      <c r="O3" s="253"/>
    </row>
    <row r="5" spans="3:16" ht="15.75" x14ac:dyDescent="0.25">
      <c r="C5" s="256" t="s">
        <v>50</v>
      </c>
      <c r="D5" s="253"/>
      <c r="E5" s="253"/>
      <c r="F5" s="253"/>
      <c r="G5" s="253"/>
      <c r="H5" s="256" t="s">
        <v>50</v>
      </c>
      <c r="I5" s="253"/>
      <c r="J5" s="253"/>
      <c r="K5" s="253"/>
      <c r="L5" s="253"/>
      <c r="M5" s="255" t="s">
        <v>50</v>
      </c>
      <c r="N5" s="253"/>
      <c r="O5" s="253"/>
    </row>
    <row r="6" spans="3:16" ht="15" x14ac:dyDescent="0.25">
      <c r="C6" s="260" t="s">
        <v>425</v>
      </c>
      <c r="D6" s="260" t="s">
        <v>426</v>
      </c>
      <c r="E6" s="260" t="s">
        <v>427</v>
      </c>
      <c r="F6" s="253"/>
      <c r="G6" s="253"/>
      <c r="H6" s="260" t="s">
        <v>425</v>
      </c>
      <c r="I6" s="260" t="s">
        <v>426</v>
      </c>
      <c r="J6" s="260" t="s">
        <v>427</v>
      </c>
      <c r="K6" s="253"/>
      <c r="L6" s="253"/>
      <c r="M6" s="260" t="s">
        <v>425</v>
      </c>
      <c r="N6" s="260" t="s">
        <v>426</v>
      </c>
      <c r="O6" s="260" t="s">
        <v>427</v>
      </c>
    </row>
    <row r="7" spans="3:16" ht="15" x14ac:dyDescent="0.25">
      <c r="C7" s="260" t="s">
        <v>428</v>
      </c>
      <c r="D7" s="258">
        <v>175.30434782608694</v>
      </c>
      <c r="E7" s="258">
        <v>175.30434782608694</v>
      </c>
      <c r="F7" s="253"/>
      <c r="G7" s="253"/>
      <c r="H7" s="260" t="s">
        <v>428</v>
      </c>
      <c r="I7" s="259">
        <v>15652.173913043476</v>
      </c>
      <c r="J7" s="259">
        <v>15652.173913043476</v>
      </c>
      <c r="K7" s="253"/>
      <c r="L7" s="253"/>
      <c r="M7" s="260" t="s">
        <v>428</v>
      </c>
      <c r="N7" s="259">
        <v>156521.73913043478</v>
      </c>
      <c r="O7" s="259">
        <v>156521.73913043478</v>
      </c>
    </row>
    <row r="8" spans="3:16" ht="15" x14ac:dyDescent="0.25">
      <c r="C8" s="260" t="s">
        <v>429</v>
      </c>
      <c r="D8" s="258">
        <v>155.82608695652172</v>
      </c>
      <c r="E8" s="258">
        <v>0</v>
      </c>
      <c r="F8" s="253"/>
      <c r="G8" s="253"/>
      <c r="H8" s="260" t="s">
        <v>429</v>
      </c>
      <c r="I8" s="259">
        <v>13913.043478260868</v>
      </c>
      <c r="J8" s="257">
        <v>0</v>
      </c>
      <c r="K8" s="253"/>
      <c r="L8" s="253"/>
      <c r="M8" s="260" t="s">
        <v>429</v>
      </c>
      <c r="N8" s="259">
        <v>139130.4347826087</v>
      </c>
      <c r="O8" s="257">
        <v>0</v>
      </c>
    </row>
    <row r="9" spans="3:16" ht="15" x14ac:dyDescent="0.25">
      <c r="C9" s="260" t="s">
        <v>430</v>
      </c>
      <c r="D9" s="258">
        <v>97.391304347826065</v>
      </c>
      <c r="E9" s="258">
        <v>0</v>
      </c>
      <c r="F9" s="253"/>
      <c r="G9" s="253"/>
      <c r="H9" s="260" t="s">
        <v>430</v>
      </c>
      <c r="I9" s="259">
        <v>8695.6521739130421</v>
      </c>
      <c r="J9" s="257">
        <v>0</v>
      </c>
      <c r="K9" s="253"/>
      <c r="L9" s="253"/>
      <c r="M9" s="260" t="s">
        <v>430</v>
      </c>
      <c r="N9" s="259">
        <v>86956.521739130432</v>
      </c>
      <c r="O9" s="257">
        <v>0</v>
      </c>
    </row>
    <row r="10" spans="3:16" ht="15" x14ac:dyDescent="0.25">
      <c r="C10" s="260" t="s">
        <v>431</v>
      </c>
      <c r="D10" s="258">
        <v>116.8695652173913</v>
      </c>
      <c r="E10" s="258">
        <v>116.86956521739131</v>
      </c>
      <c r="F10" s="253"/>
      <c r="G10" s="253"/>
      <c r="H10" s="260" t="s">
        <v>431</v>
      </c>
      <c r="I10" s="259">
        <v>10434.782608695652</v>
      </c>
      <c r="J10" s="259">
        <v>10434.782608695652</v>
      </c>
      <c r="K10" s="253"/>
      <c r="L10" s="253"/>
      <c r="M10" s="260" t="s">
        <v>431</v>
      </c>
      <c r="N10" s="259">
        <v>104347.82608695653</v>
      </c>
      <c r="O10" s="259">
        <v>104347.82608695653</v>
      </c>
    </row>
    <row r="11" spans="3:16" ht="15" x14ac:dyDescent="0.25">
      <c r="C11" s="260" t="s">
        <v>432</v>
      </c>
      <c r="D11" s="258">
        <v>116.86956521739131</v>
      </c>
      <c r="E11" s="258">
        <v>116.86956521739131</v>
      </c>
      <c r="F11" s="253"/>
      <c r="G11" s="253"/>
      <c r="H11" s="260" t="s">
        <v>432</v>
      </c>
      <c r="I11" s="259">
        <v>10434.782608695652</v>
      </c>
      <c r="J11" s="259">
        <v>10434.782608695652</v>
      </c>
      <c r="K11" s="253"/>
      <c r="L11" s="253"/>
      <c r="M11" s="260" t="s">
        <v>432</v>
      </c>
      <c r="N11" s="259">
        <v>104347.82608695653</v>
      </c>
      <c r="O11" s="259">
        <v>104347.82608695653</v>
      </c>
    </row>
    <row r="12" spans="3:16" ht="15" x14ac:dyDescent="0.25">
      <c r="C12" s="260" t="s">
        <v>433</v>
      </c>
      <c r="D12" s="258">
        <v>116.86956521739131</v>
      </c>
      <c r="E12" s="258">
        <v>116.86956521739131</v>
      </c>
      <c r="F12" s="253"/>
      <c r="G12" s="253"/>
      <c r="H12" s="260" t="s">
        <v>433</v>
      </c>
      <c r="I12" s="259">
        <v>10434.782608695652</v>
      </c>
      <c r="J12" s="259">
        <v>10434.782608695652</v>
      </c>
      <c r="K12" s="253"/>
      <c r="L12" s="253"/>
      <c r="M12" s="260" t="s">
        <v>433</v>
      </c>
      <c r="N12" s="259">
        <v>104347.82608695653</v>
      </c>
      <c r="O12" s="259">
        <v>104347.82608695653</v>
      </c>
    </row>
    <row r="13" spans="3:16" ht="15" x14ac:dyDescent="0.25">
      <c r="C13" s="260" t="s">
        <v>434</v>
      </c>
      <c r="D13" s="258">
        <v>116.86956521739131</v>
      </c>
      <c r="E13" s="258">
        <v>116.86956521739131</v>
      </c>
      <c r="F13" s="253"/>
      <c r="G13" s="253"/>
      <c r="H13" s="260" t="s">
        <v>434</v>
      </c>
      <c r="I13" s="259">
        <v>10434.782608695652</v>
      </c>
      <c r="J13" s="259">
        <v>10434.782608695652</v>
      </c>
      <c r="K13" s="253"/>
      <c r="L13" s="253"/>
      <c r="M13" s="260" t="s">
        <v>434</v>
      </c>
      <c r="N13" s="259">
        <v>104347.82608695653</v>
      </c>
      <c r="O13" s="259">
        <v>104347.82608695653</v>
      </c>
    </row>
    <row r="14" spans="3:16" ht="15" x14ac:dyDescent="0.25">
      <c r="C14" s="260" t="s">
        <v>435</v>
      </c>
      <c r="D14" s="258">
        <v>116.86956521739131</v>
      </c>
      <c r="E14" s="258">
        <v>116.86956521739131</v>
      </c>
      <c r="F14" s="253"/>
      <c r="G14" s="253"/>
      <c r="H14" s="260" t="s">
        <v>435</v>
      </c>
      <c r="I14" s="259">
        <v>10434.782608695652</v>
      </c>
      <c r="J14" s="259">
        <v>10434.782608695652</v>
      </c>
      <c r="K14" s="253"/>
      <c r="L14" s="253"/>
      <c r="M14" s="260" t="s">
        <v>435</v>
      </c>
      <c r="N14" s="259">
        <v>104347.82608695653</v>
      </c>
      <c r="O14" s="259">
        <v>104347.82608695653</v>
      </c>
    </row>
    <row r="15" spans="3:16" ht="15" x14ac:dyDescent="0.25">
      <c r="C15" s="260" t="s">
        <v>436</v>
      </c>
      <c r="D15" s="258">
        <v>116.86956521739131</v>
      </c>
      <c r="E15" s="258">
        <v>116.86956521739131</v>
      </c>
      <c r="F15" s="253"/>
      <c r="G15" s="253"/>
      <c r="H15" s="260" t="s">
        <v>436</v>
      </c>
      <c r="I15" s="259">
        <v>10434.782608695652</v>
      </c>
      <c r="J15" s="259">
        <v>10434.782608695652</v>
      </c>
      <c r="K15" s="253"/>
      <c r="L15" s="253"/>
      <c r="M15" s="260" t="s">
        <v>436</v>
      </c>
      <c r="N15" s="259">
        <v>104347.82608695653</v>
      </c>
      <c r="O15" s="259">
        <v>104347.82608695653</v>
      </c>
      <c r="P15" s="253"/>
    </row>
    <row r="16" spans="3:16" ht="15" x14ac:dyDescent="0.25">
      <c r="C16" s="260" t="s">
        <v>437</v>
      </c>
      <c r="D16" s="258">
        <v>116.86956521739131</v>
      </c>
      <c r="E16" s="258">
        <v>116.86956521739131</v>
      </c>
      <c r="F16" s="253"/>
      <c r="G16" s="253"/>
      <c r="H16" s="260" t="s">
        <v>437</v>
      </c>
      <c r="I16" s="259">
        <v>10434.782608695652</v>
      </c>
      <c r="J16" s="259">
        <v>10434.782608695652</v>
      </c>
      <c r="K16" s="253"/>
      <c r="L16" s="253"/>
      <c r="M16" s="260" t="s">
        <v>437</v>
      </c>
      <c r="N16" s="259">
        <v>104347.82608695653</v>
      </c>
      <c r="O16" s="259">
        <v>104347.82608695653</v>
      </c>
      <c r="P16" s="253"/>
    </row>
    <row r="17" spans="3:16" ht="15" x14ac:dyDescent="0.25">
      <c r="C17" s="260" t="s">
        <v>438</v>
      </c>
      <c r="D17" s="258">
        <v>116.86956521739131</v>
      </c>
      <c r="E17" s="258">
        <v>116.86956521739131</v>
      </c>
      <c r="F17" s="253"/>
      <c r="G17" s="253"/>
      <c r="H17" s="260" t="s">
        <v>438</v>
      </c>
      <c r="I17" s="259">
        <v>10434.782608695652</v>
      </c>
      <c r="J17" s="259">
        <v>10434.782608695652</v>
      </c>
      <c r="K17" s="253"/>
      <c r="L17" s="253"/>
      <c r="M17" s="260" t="s">
        <v>438</v>
      </c>
      <c r="N17" s="259">
        <v>104347.82608695653</v>
      </c>
      <c r="O17" s="259">
        <v>104347.82608695653</v>
      </c>
      <c r="P17" s="253"/>
    </row>
    <row r="18" spans="3:16" ht="15" x14ac:dyDescent="0.25">
      <c r="C18" s="260" t="s">
        <v>439</v>
      </c>
      <c r="D18" s="258">
        <v>116.86956521739131</v>
      </c>
      <c r="E18" s="258">
        <v>116.86956521739131</v>
      </c>
      <c r="F18" s="253"/>
      <c r="G18" s="253"/>
      <c r="H18" s="260" t="s">
        <v>439</v>
      </c>
      <c r="I18" s="259">
        <v>10434.782608695652</v>
      </c>
      <c r="J18" s="259">
        <v>10434.782608695652</v>
      </c>
      <c r="K18" s="253"/>
      <c r="L18" s="253"/>
      <c r="M18" s="260" t="s">
        <v>439</v>
      </c>
      <c r="N18" s="259">
        <v>104347.82608695653</v>
      </c>
      <c r="O18" s="259">
        <v>104347.82608695653</v>
      </c>
      <c r="P18" s="253"/>
    </row>
    <row r="19" spans="3:16" ht="15" x14ac:dyDescent="0.25">
      <c r="C19" s="260" t="s">
        <v>440</v>
      </c>
      <c r="D19" s="258">
        <v>116.86956521739131</v>
      </c>
      <c r="E19" s="258">
        <v>116.86956521739131</v>
      </c>
      <c r="F19" s="253"/>
      <c r="G19" s="253"/>
      <c r="H19" s="260" t="s">
        <v>440</v>
      </c>
      <c r="I19" s="259">
        <v>10434.782608695652</v>
      </c>
      <c r="J19" s="259">
        <v>10434.782608695652</v>
      </c>
      <c r="K19" s="253"/>
      <c r="L19" s="253"/>
      <c r="M19" s="260" t="s">
        <v>440</v>
      </c>
      <c r="N19" s="259">
        <v>104347.82608695653</v>
      </c>
      <c r="O19" s="259">
        <v>104347.82608695653</v>
      </c>
      <c r="P19" s="253"/>
    </row>
    <row r="20" spans="3:16" ht="15" x14ac:dyDescent="0.25">
      <c r="C20" s="261" t="s">
        <v>441</v>
      </c>
      <c r="D20" s="258">
        <v>122.86287625418056</v>
      </c>
      <c r="E20" s="258">
        <v>1168.6956521739128</v>
      </c>
      <c r="F20" s="255" t="s">
        <v>154</v>
      </c>
      <c r="G20" s="253"/>
      <c r="H20" s="261" t="s">
        <v>441</v>
      </c>
      <c r="I20" s="259">
        <v>10969.899665551839</v>
      </c>
      <c r="J20" s="259">
        <v>104347.8260869565</v>
      </c>
      <c r="K20" s="255" t="s">
        <v>154</v>
      </c>
      <c r="L20" s="253"/>
      <c r="M20" s="261" t="s">
        <v>441</v>
      </c>
      <c r="N20" s="259">
        <v>109698.99665551841</v>
      </c>
      <c r="O20" s="259">
        <v>1043478.2608695653</v>
      </c>
      <c r="P20" s="255" t="s">
        <v>154</v>
      </c>
    </row>
    <row r="21" spans="3:16" x14ac:dyDescent="0.2">
      <c r="E21" s="271">
        <f>SUM(E8:E19)</f>
        <v>1168.6956521739128</v>
      </c>
      <c r="F21" s="271"/>
      <c r="G21" s="271"/>
      <c r="H21" s="271"/>
      <c r="I21" s="271"/>
      <c r="J21" s="271">
        <f t="shared" ref="J21:O21" si="0">SUM(J8:J19)</f>
        <v>104347.8260869565</v>
      </c>
      <c r="K21" s="271"/>
      <c r="L21" s="271"/>
      <c r="M21" s="271"/>
      <c r="N21" s="271"/>
      <c r="O21" s="271">
        <f t="shared" si="0"/>
        <v>1043478.2608695653</v>
      </c>
    </row>
    <row r="24" spans="3:16" ht="15.75" x14ac:dyDescent="0.25">
      <c r="C24" s="256" t="s">
        <v>442</v>
      </c>
      <c r="D24" s="253"/>
      <c r="E24" s="253"/>
      <c r="F24" s="253"/>
      <c r="G24" s="253"/>
      <c r="H24" s="253"/>
      <c r="I24" s="253"/>
      <c r="J24" s="253"/>
      <c r="K24" s="253"/>
      <c r="L24" s="256" t="s">
        <v>443</v>
      </c>
      <c r="M24" s="253"/>
      <c r="N24" s="253"/>
      <c r="O24" s="253"/>
      <c r="P24" s="253"/>
    </row>
    <row r="25" spans="3:16" ht="15" x14ac:dyDescent="0.25"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</row>
    <row r="26" spans="3:16" ht="15.75" x14ac:dyDescent="0.25">
      <c r="C26" s="256" t="s">
        <v>50</v>
      </c>
      <c r="D26" s="253"/>
      <c r="E26" s="253"/>
      <c r="F26" s="253"/>
      <c r="G26" s="253"/>
      <c r="H26" s="253"/>
      <c r="I26" s="253"/>
      <c r="J26" s="253"/>
      <c r="K26" s="253"/>
      <c r="L26" s="255" t="s">
        <v>50</v>
      </c>
      <c r="M26" s="253"/>
      <c r="N26" s="253"/>
      <c r="O26" s="253"/>
      <c r="P26" s="253"/>
    </row>
    <row r="27" spans="3:16" ht="15" x14ac:dyDescent="0.25">
      <c r="C27" s="260" t="s">
        <v>425</v>
      </c>
      <c r="D27" s="260" t="s">
        <v>426</v>
      </c>
      <c r="E27" s="260" t="s">
        <v>427</v>
      </c>
      <c r="F27" s="253"/>
      <c r="G27" s="253"/>
      <c r="H27" s="253"/>
      <c r="I27" s="253"/>
      <c r="J27" s="253"/>
      <c r="K27" s="253"/>
      <c r="L27" s="260" t="s">
        <v>425</v>
      </c>
      <c r="M27" s="260" t="s">
        <v>426</v>
      </c>
      <c r="N27" s="260" t="s">
        <v>427</v>
      </c>
      <c r="O27" s="253"/>
      <c r="P27" s="253"/>
    </row>
    <row r="28" spans="3:16" ht="15" x14ac:dyDescent="0.25">
      <c r="C28" s="260" t="s">
        <v>428</v>
      </c>
      <c r="D28" s="257">
        <v>3131</v>
      </c>
      <c r="E28" s="257">
        <v>3131</v>
      </c>
      <c r="F28" s="253"/>
      <c r="G28" s="253"/>
      <c r="H28" s="253"/>
      <c r="I28" s="253"/>
      <c r="J28" s="253"/>
      <c r="K28" s="253"/>
      <c r="L28" s="260" t="s">
        <v>428</v>
      </c>
      <c r="M28" s="259">
        <v>103.30434782608697</v>
      </c>
      <c r="N28" s="259">
        <v>103.30434782608697</v>
      </c>
      <c r="O28" s="253"/>
      <c r="P28" s="253"/>
    </row>
    <row r="29" spans="3:16" ht="15" x14ac:dyDescent="0.25">
      <c r="C29" s="260" t="s">
        <v>429</v>
      </c>
      <c r="D29" s="257">
        <v>2783</v>
      </c>
      <c r="E29" s="257">
        <v>0</v>
      </c>
      <c r="F29" s="253"/>
      <c r="G29" s="253"/>
      <c r="H29" s="253"/>
      <c r="I29" s="253"/>
      <c r="J29" s="253"/>
      <c r="K29" s="253"/>
      <c r="L29" s="260" t="s">
        <v>429</v>
      </c>
      <c r="M29" s="259">
        <v>91.826086956521749</v>
      </c>
      <c r="N29" s="257">
        <v>0</v>
      </c>
      <c r="O29" s="253"/>
      <c r="P29" s="253"/>
    </row>
    <row r="30" spans="3:16" ht="15" x14ac:dyDescent="0.25">
      <c r="C30" s="260" t="s">
        <v>430</v>
      </c>
      <c r="D30" s="257">
        <v>1739</v>
      </c>
      <c r="E30" s="257">
        <v>0</v>
      </c>
      <c r="F30" s="253"/>
      <c r="G30" s="253"/>
      <c r="H30" s="253"/>
      <c r="I30" s="253"/>
      <c r="J30" s="253"/>
      <c r="K30" s="253"/>
      <c r="L30" s="260" t="s">
        <v>430</v>
      </c>
      <c r="M30" s="259">
        <v>57.391304347826093</v>
      </c>
      <c r="N30" s="257">
        <v>0</v>
      </c>
      <c r="O30" s="253"/>
      <c r="P30" s="253"/>
    </row>
    <row r="31" spans="3:16" ht="15" x14ac:dyDescent="0.25">
      <c r="C31" s="260" t="s">
        <v>431</v>
      </c>
      <c r="D31" s="257">
        <v>2000</v>
      </c>
      <c r="E31" s="257">
        <v>2000</v>
      </c>
      <c r="F31" s="253"/>
      <c r="G31" s="253"/>
      <c r="H31" s="253"/>
      <c r="I31" s="253"/>
      <c r="J31" s="253"/>
      <c r="K31" s="253"/>
      <c r="L31" s="260" t="s">
        <v>431</v>
      </c>
      <c r="M31" s="259">
        <v>66</v>
      </c>
      <c r="N31" s="259">
        <v>66</v>
      </c>
      <c r="O31" s="253"/>
    </row>
    <row r="32" spans="3:16" ht="15" x14ac:dyDescent="0.25">
      <c r="C32" s="260" t="s">
        <v>432</v>
      </c>
      <c r="D32" s="257">
        <v>2000</v>
      </c>
      <c r="E32" s="257">
        <v>2000</v>
      </c>
      <c r="F32" s="253"/>
      <c r="G32" s="253"/>
      <c r="H32" s="253"/>
      <c r="I32" s="253"/>
      <c r="J32" s="253"/>
      <c r="K32" s="253"/>
      <c r="L32" s="260" t="s">
        <v>432</v>
      </c>
      <c r="M32" s="259">
        <v>66</v>
      </c>
      <c r="N32" s="259">
        <v>66</v>
      </c>
      <c r="O32" s="253"/>
    </row>
    <row r="33" spans="1:15" ht="15" x14ac:dyDescent="0.25">
      <c r="C33" s="260" t="s">
        <v>433</v>
      </c>
      <c r="D33" s="257">
        <v>2000</v>
      </c>
      <c r="E33" s="257">
        <v>2000</v>
      </c>
      <c r="F33" s="253"/>
      <c r="G33" s="253"/>
      <c r="H33" s="253"/>
      <c r="I33" s="253"/>
      <c r="J33" s="253"/>
      <c r="K33" s="253"/>
      <c r="L33" s="260" t="s">
        <v>433</v>
      </c>
      <c r="M33" s="259">
        <v>66</v>
      </c>
      <c r="N33" s="259">
        <v>66</v>
      </c>
      <c r="O33" s="253"/>
    </row>
    <row r="34" spans="1:15" ht="15" x14ac:dyDescent="0.25">
      <c r="C34" s="260" t="s">
        <v>434</v>
      </c>
      <c r="D34" s="257">
        <v>2000</v>
      </c>
      <c r="E34" s="257">
        <v>2000</v>
      </c>
      <c r="F34" s="253"/>
      <c r="G34" s="253"/>
      <c r="H34" s="253"/>
      <c r="I34" s="253"/>
      <c r="J34" s="253"/>
      <c r="K34" s="253"/>
      <c r="L34" s="260" t="s">
        <v>434</v>
      </c>
      <c r="M34" s="259">
        <v>66</v>
      </c>
      <c r="N34" s="259">
        <v>66</v>
      </c>
      <c r="O34" s="253"/>
    </row>
    <row r="35" spans="1:15" ht="15" x14ac:dyDescent="0.25">
      <c r="C35" s="260" t="s">
        <v>435</v>
      </c>
      <c r="D35" s="257">
        <v>2000</v>
      </c>
      <c r="E35" s="257">
        <v>2000</v>
      </c>
      <c r="F35" s="253"/>
      <c r="G35" s="253"/>
      <c r="H35" s="253"/>
      <c r="I35" s="253"/>
      <c r="J35" s="253"/>
      <c r="K35" s="253"/>
      <c r="L35" s="260" t="s">
        <v>435</v>
      </c>
      <c r="M35" s="259">
        <v>66</v>
      </c>
      <c r="N35" s="259">
        <v>66</v>
      </c>
      <c r="O35" s="253"/>
    </row>
    <row r="36" spans="1:15" ht="15" x14ac:dyDescent="0.25">
      <c r="C36" s="260" t="s">
        <v>436</v>
      </c>
      <c r="D36" s="257">
        <v>2000</v>
      </c>
      <c r="E36" s="257">
        <v>2000</v>
      </c>
      <c r="F36" s="253"/>
      <c r="G36" s="253"/>
      <c r="H36" s="253"/>
      <c r="I36" s="253"/>
      <c r="J36" s="253"/>
      <c r="K36" s="253"/>
      <c r="L36" s="260" t="s">
        <v>436</v>
      </c>
      <c r="M36" s="259">
        <v>66</v>
      </c>
      <c r="N36" s="259">
        <v>66</v>
      </c>
      <c r="O36" s="253"/>
    </row>
    <row r="37" spans="1:15" ht="15" x14ac:dyDescent="0.25">
      <c r="C37" s="260" t="s">
        <v>437</v>
      </c>
      <c r="D37" s="257">
        <v>2000</v>
      </c>
      <c r="E37" s="257">
        <v>2000</v>
      </c>
      <c r="F37" s="253"/>
      <c r="G37" s="253"/>
      <c r="H37" s="253"/>
      <c r="I37" s="253"/>
      <c r="J37" s="253"/>
      <c r="K37" s="253"/>
      <c r="L37" s="260" t="s">
        <v>437</v>
      </c>
      <c r="M37" s="259">
        <v>66</v>
      </c>
      <c r="N37" s="259">
        <v>66</v>
      </c>
      <c r="O37" s="253"/>
    </row>
    <row r="38" spans="1:15" ht="15" x14ac:dyDescent="0.25">
      <c r="C38" s="260" t="s">
        <v>438</v>
      </c>
      <c r="D38" s="257">
        <v>2000</v>
      </c>
      <c r="E38" s="257">
        <v>2000</v>
      </c>
      <c r="F38" s="253"/>
      <c r="G38" s="253"/>
      <c r="H38" s="253"/>
      <c r="I38" s="253"/>
      <c r="J38" s="253"/>
      <c r="K38" s="253"/>
      <c r="L38" s="260" t="s">
        <v>438</v>
      </c>
      <c r="M38" s="259">
        <v>66</v>
      </c>
      <c r="N38" s="259">
        <v>66</v>
      </c>
      <c r="O38" s="253"/>
    </row>
    <row r="39" spans="1:15" ht="15" x14ac:dyDescent="0.25">
      <c r="C39" s="260" t="s">
        <v>439</v>
      </c>
      <c r="D39" s="257">
        <v>2000</v>
      </c>
      <c r="E39" s="257">
        <v>2000</v>
      </c>
      <c r="F39" s="253"/>
      <c r="G39" s="253"/>
      <c r="H39" s="253"/>
      <c r="I39" s="253"/>
      <c r="J39" s="253"/>
      <c r="K39" s="253"/>
      <c r="L39" s="260" t="s">
        <v>439</v>
      </c>
      <c r="M39" s="259">
        <v>66</v>
      </c>
      <c r="N39" s="259">
        <v>66</v>
      </c>
      <c r="O39" s="253"/>
    </row>
    <row r="40" spans="1:15" ht="15" x14ac:dyDescent="0.25">
      <c r="C40" s="260" t="s">
        <v>440</v>
      </c>
      <c r="D40" s="257">
        <v>2000</v>
      </c>
      <c r="E40" s="257">
        <v>2000</v>
      </c>
      <c r="F40" s="253"/>
      <c r="G40" s="253"/>
      <c r="H40" s="253"/>
      <c r="I40" s="253"/>
      <c r="J40" s="253"/>
      <c r="K40" s="253"/>
      <c r="L40" s="260" t="s">
        <v>440</v>
      </c>
      <c r="M40" s="259">
        <v>66</v>
      </c>
      <c r="N40" s="259">
        <v>66</v>
      </c>
      <c r="O40" s="253"/>
    </row>
    <row r="41" spans="1:15" ht="15" x14ac:dyDescent="0.25">
      <c r="C41" s="261" t="s">
        <v>441</v>
      </c>
      <c r="D41" s="257">
        <v>2127.1538461538462</v>
      </c>
      <c r="E41" s="257">
        <v>23131</v>
      </c>
      <c r="F41" s="255" t="s">
        <v>154</v>
      </c>
      <c r="G41" s="253"/>
      <c r="H41" s="253"/>
      <c r="I41" s="253"/>
      <c r="J41" s="253"/>
      <c r="K41" s="253"/>
      <c r="L41" s="261" t="s">
        <v>441</v>
      </c>
      <c r="M41" s="259">
        <v>66</v>
      </c>
      <c r="N41" s="259">
        <v>66</v>
      </c>
      <c r="O41" s="255" t="s">
        <v>154</v>
      </c>
    </row>
    <row r="42" spans="1:15" x14ac:dyDescent="0.2">
      <c r="E42">
        <f>SUM(E29:E40)</f>
        <v>20000</v>
      </c>
      <c r="N42">
        <f t="shared" ref="N42" si="1">SUM(N29:N40)</f>
        <v>660</v>
      </c>
    </row>
    <row r="43" spans="1:15" x14ac:dyDescent="0.2">
      <c r="A43" t="s">
        <v>444</v>
      </c>
      <c r="B43">
        <f>E21*'Consumo MP'!N25+J21*'Consumo MP'!N26+O21*'Consumo MP'!N27+N42*'Consumo MP'!N35+E42*SUM('Consumo MP'!N28:N34)</f>
        <v>8488986.9565217383</v>
      </c>
    </row>
    <row r="44" spans="1:15" x14ac:dyDescent="0.2">
      <c r="A44" t="s">
        <v>49</v>
      </c>
      <c r="B44">
        <f>D7*'Consumo MP'!N25+'Consumo MP'!N26*'Stocks Mp'!I7+'Consumo MP'!N27*'Stocks Mp'!N7+'Stocks Mp'!M28*'Consumo MP'!N35+SUM('Consumo MP'!N28:N34)*'Stocks Mp'!D28</f>
        <v>1303102.8260869565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C1" workbookViewId="0">
      <selection activeCell="H14" sqref="G14:H18"/>
    </sheetView>
  </sheetViews>
  <sheetFormatPr defaultColWidth="9.140625" defaultRowHeight="12.75" x14ac:dyDescent="0.2"/>
  <cols>
    <col min="1" max="1" width="32.28515625" style="240" customWidth="1"/>
    <col min="2" max="8" width="11.42578125" customWidth="1"/>
    <col min="9" max="9" width="20" customWidth="1"/>
    <col min="10" max="10" width="19.7109375" customWidth="1"/>
    <col min="11" max="11" width="11.42578125" customWidth="1"/>
    <col min="12" max="12" width="15.85546875" customWidth="1"/>
    <col min="13" max="256" width="11.42578125" customWidth="1"/>
  </cols>
  <sheetData>
    <row r="1" spans="1:13" x14ac:dyDescent="0.2">
      <c r="A1" s="240" t="s">
        <v>445</v>
      </c>
      <c r="B1">
        <v>60000</v>
      </c>
      <c r="C1">
        <f>B1*12</f>
        <v>720000</v>
      </c>
    </row>
    <row r="2" spans="1:13" x14ac:dyDescent="0.2">
      <c r="A2" s="240" t="s">
        <v>446</v>
      </c>
      <c r="B2">
        <v>40000</v>
      </c>
      <c r="C2">
        <f t="shared" ref="C2:C7" si="0">B2*12</f>
        <v>480000</v>
      </c>
    </row>
    <row r="3" spans="1:13" x14ac:dyDescent="0.2">
      <c r="A3" s="240" t="s">
        <v>447</v>
      </c>
      <c r="B3">
        <v>25000</v>
      </c>
      <c r="C3">
        <f t="shared" si="0"/>
        <v>300000</v>
      </c>
    </row>
    <row r="4" spans="1:13" x14ac:dyDescent="0.2">
      <c r="A4" s="240" t="s">
        <v>448</v>
      </c>
      <c r="B4">
        <v>30000</v>
      </c>
      <c r="C4">
        <f t="shared" si="0"/>
        <v>360000</v>
      </c>
      <c r="G4" t="s">
        <v>449</v>
      </c>
    </row>
    <row r="5" spans="1:13" x14ac:dyDescent="0.2">
      <c r="A5" s="240" t="s">
        <v>450</v>
      </c>
      <c r="B5">
        <v>45000</v>
      </c>
      <c r="C5">
        <f t="shared" si="0"/>
        <v>540000</v>
      </c>
    </row>
    <row r="6" spans="1:13" x14ac:dyDescent="0.2">
      <c r="A6" s="240" t="s">
        <v>451</v>
      </c>
      <c r="B6">
        <v>40000</v>
      </c>
      <c r="C6">
        <f t="shared" si="0"/>
        <v>480000</v>
      </c>
      <c r="G6" t="s">
        <v>452</v>
      </c>
    </row>
    <row r="7" spans="1:13" x14ac:dyDescent="0.2">
      <c r="A7" s="240" t="s">
        <v>453</v>
      </c>
      <c r="B7">
        <v>40000</v>
      </c>
      <c r="C7">
        <f t="shared" si="0"/>
        <v>480000</v>
      </c>
      <c r="I7">
        <v>1</v>
      </c>
      <c r="J7" t="s">
        <v>454</v>
      </c>
      <c r="L7">
        <v>365</v>
      </c>
      <c r="M7" t="s">
        <v>455</v>
      </c>
    </row>
    <row r="8" spans="1:13" x14ac:dyDescent="0.2">
      <c r="A8" s="240" t="s">
        <v>154</v>
      </c>
      <c r="C8">
        <f>SUM(C1:C7)</f>
        <v>3360000</v>
      </c>
      <c r="I8">
        <v>8</v>
      </c>
      <c r="J8" t="s">
        <v>456</v>
      </c>
      <c r="L8">
        <v>15</v>
      </c>
      <c r="M8" t="s">
        <v>457</v>
      </c>
    </row>
    <row r="9" spans="1:13" x14ac:dyDescent="0.2">
      <c r="A9" s="240" t="s">
        <v>458</v>
      </c>
      <c r="C9">
        <f>C5</f>
        <v>540000</v>
      </c>
      <c r="I9">
        <v>6</v>
      </c>
      <c r="J9" t="s">
        <v>459</v>
      </c>
      <c r="L9">
        <v>10</v>
      </c>
      <c r="M9" t="s">
        <v>460</v>
      </c>
    </row>
    <row r="10" spans="1:13" x14ac:dyDescent="0.2">
      <c r="A10" s="240" t="s">
        <v>461</v>
      </c>
      <c r="C10">
        <f>SUM(C1,C2,C3,C4,C6,C7)</f>
        <v>2820000</v>
      </c>
      <c r="L10">
        <v>50</v>
      </c>
      <c r="M10" t="s">
        <v>462</v>
      </c>
    </row>
    <row r="11" spans="1:13" x14ac:dyDescent="0.2">
      <c r="A11" s="240" t="s">
        <v>463</v>
      </c>
      <c r="C11">
        <f>C9+C4+C6</f>
        <v>1380000</v>
      </c>
    </row>
    <row r="12" spans="1:13" x14ac:dyDescent="0.2">
      <c r="J12" t="s">
        <v>464</v>
      </c>
      <c r="K12">
        <v>2320</v>
      </c>
      <c r="L12" t="s">
        <v>465</v>
      </c>
    </row>
    <row r="14" spans="1:13" x14ac:dyDescent="0.2">
      <c r="H14" t="s">
        <v>466</v>
      </c>
      <c r="I14" t="s">
        <v>467</v>
      </c>
    </row>
    <row r="15" spans="1:13" x14ac:dyDescent="0.2">
      <c r="H15">
        <f>15000*12/2320</f>
        <v>77.58620689655173</v>
      </c>
      <c r="I15">
        <f>C5/InfoInicial!B19</f>
        <v>22.5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34" workbookViewId="0">
      <selection activeCell="A62" sqref="A62"/>
    </sheetView>
  </sheetViews>
  <sheetFormatPr defaultColWidth="11.42578125" defaultRowHeight="12.75" x14ac:dyDescent="0.2"/>
  <cols>
    <col min="1" max="1" width="45.42578125" style="15" customWidth="1"/>
    <col min="2" max="7" width="14.85546875" style="15" customWidth="1"/>
    <col min="8" max="16384" width="11.42578125" style="15"/>
  </cols>
  <sheetData>
    <row r="1" spans="1:7" x14ac:dyDescent="0.2">
      <c r="A1" s="1" t="s">
        <v>44</v>
      </c>
      <c r="B1"/>
      <c r="C1"/>
      <c r="D1"/>
      <c r="E1" s="2">
        <f>InfoInicial!E1</f>
        <v>0</v>
      </c>
    </row>
    <row r="3" spans="1:7" ht="16.5" thickTop="1" x14ac:dyDescent="0.25">
      <c r="A3" s="16" t="s">
        <v>45</v>
      </c>
      <c r="B3" s="279" t="s">
        <v>46</v>
      </c>
      <c r="C3" s="279"/>
      <c r="D3" s="280" t="s">
        <v>47</v>
      </c>
      <c r="E3" s="280"/>
      <c r="F3" s="291" t="s">
        <v>48</v>
      </c>
      <c r="G3" s="292" t="s">
        <v>474</v>
      </c>
    </row>
    <row r="4" spans="1:7" ht="16.5" thickBot="1" x14ac:dyDescent="0.3">
      <c r="A4" s="17"/>
      <c r="B4" s="18" t="s">
        <v>49</v>
      </c>
      <c r="C4" s="18" t="s">
        <v>50</v>
      </c>
      <c r="D4" s="18" t="s">
        <v>49</v>
      </c>
      <c r="E4" s="19" t="s">
        <v>50</v>
      </c>
    </row>
    <row r="5" spans="1:7" ht="13.5" thickTop="1" x14ac:dyDescent="0.2">
      <c r="A5" s="20"/>
      <c r="B5" s="21"/>
      <c r="C5" s="21"/>
      <c r="D5" s="21"/>
      <c r="E5" s="21"/>
    </row>
    <row r="6" spans="1:7" x14ac:dyDescent="0.2">
      <c r="A6" s="22" t="s">
        <v>51</v>
      </c>
      <c r="B6" s="23"/>
      <c r="C6" s="23"/>
      <c r="D6" s="23"/>
      <c r="E6" s="23"/>
    </row>
    <row r="7" spans="1:7" x14ac:dyDescent="0.2">
      <c r="A7" s="24" t="s">
        <v>52</v>
      </c>
      <c r="B7" s="290">
        <f>30*25*1500*InfoInicial!B32</f>
        <v>17100000</v>
      </c>
      <c r="C7" s="25"/>
      <c r="D7" s="25"/>
      <c r="E7" s="25"/>
      <c r="F7" s="294">
        <f>SUM(B7:E7)</f>
        <v>17100000</v>
      </c>
    </row>
    <row r="8" spans="1:7" x14ac:dyDescent="0.2">
      <c r="A8" s="24" t="s">
        <v>53</v>
      </c>
      <c r="B8" s="290">
        <f>525*700*InfoInicial!B32</f>
        <v>5586000</v>
      </c>
      <c r="C8" s="25"/>
      <c r="D8" s="25"/>
      <c r="E8" s="25"/>
      <c r="F8" s="294">
        <f>SUM(B8:E8)</f>
        <v>5586000</v>
      </c>
    </row>
    <row r="9" spans="1:7" x14ac:dyDescent="0.2">
      <c r="A9" s="24" t="s">
        <v>54</v>
      </c>
      <c r="B9" s="25">
        <f>B8*0.8</f>
        <v>4468800</v>
      </c>
      <c r="C9" s="25"/>
      <c r="D9" s="25"/>
      <c r="E9" s="25"/>
      <c r="F9" s="294">
        <f t="shared" ref="F9:F18" si="0">SUM(B9:E9)</f>
        <v>4468800</v>
      </c>
    </row>
    <row r="10" spans="1:7" x14ac:dyDescent="0.2">
      <c r="A10" s="24" t="s">
        <v>55</v>
      </c>
      <c r="B10" s="25"/>
      <c r="C10" s="25"/>
      <c r="D10" s="25"/>
      <c r="E10" s="25"/>
      <c r="F10" s="294">
        <f t="shared" si="0"/>
        <v>0</v>
      </c>
    </row>
    <row r="11" spans="1:7" x14ac:dyDescent="0.2">
      <c r="A11" s="24" t="s">
        <v>56</v>
      </c>
      <c r="B11" s="25"/>
      <c r="C11" s="25"/>
      <c r="D11" s="290">
        <f>11900*2*InfoInicial!B32</f>
        <v>361760</v>
      </c>
      <c r="E11" s="25"/>
      <c r="F11" s="294">
        <f t="shared" si="0"/>
        <v>361760</v>
      </c>
    </row>
    <row r="12" spans="1:7" x14ac:dyDescent="0.2">
      <c r="A12" s="24" t="s">
        <v>57</v>
      </c>
      <c r="B12" s="290">
        <v>2266592</v>
      </c>
      <c r="C12" s="25"/>
      <c r="D12" s="25"/>
      <c r="E12" s="25"/>
      <c r="F12" s="294">
        <f t="shared" si="0"/>
        <v>2266592</v>
      </c>
    </row>
    <row r="13" spans="1:7" x14ac:dyDescent="0.2">
      <c r="A13" s="26" t="s">
        <v>58</v>
      </c>
      <c r="B13" s="25">
        <f>D11*0.11</f>
        <v>39793.599999999999</v>
      </c>
      <c r="C13" s="25"/>
      <c r="D13" s="25"/>
      <c r="E13" s="25"/>
      <c r="F13" s="294">
        <f t="shared" si="0"/>
        <v>39793.599999999999</v>
      </c>
    </row>
    <row r="14" spans="1:7" x14ac:dyDescent="0.2">
      <c r="A14" s="24" t="s">
        <v>59</v>
      </c>
      <c r="B14" s="290">
        <f>5*5000</f>
        <v>25000</v>
      </c>
      <c r="C14" s="25"/>
      <c r="D14" s="25"/>
      <c r="E14" s="25"/>
      <c r="F14" s="294">
        <f t="shared" si="0"/>
        <v>25000</v>
      </c>
    </row>
    <row r="15" spans="1:7" x14ac:dyDescent="0.2">
      <c r="A15" s="24" t="s">
        <v>60</v>
      </c>
      <c r="B15" s="290">
        <f>581000*2</f>
        <v>1162000</v>
      </c>
      <c r="C15" s="25"/>
      <c r="D15" s="25"/>
      <c r="E15" s="25"/>
      <c r="F15" s="294">
        <f t="shared" si="0"/>
        <v>1162000</v>
      </c>
    </row>
    <row r="16" spans="1:7" x14ac:dyDescent="0.2">
      <c r="A16" s="24" t="s">
        <v>61</v>
      </c>
      <c r="B16" s="290">
        <v>104077</v>
      </c>
      <c r="C16" s="25"/>
      <c r="D16" s="25"/>
      <c r="E16" s="25"/>
      <c r="F16" s="294">
        <f t="shared" si="0"/>
        <v>104077</v>
      </c>
    </row>
    <row r="17" spans="1:6" x14ac:dyDescent="0.2">
      <c r="A17" s="24" t="s">
        <v>62</v>
      </c>
      <c r="B17" s="25">
        <v>0</v>
      </c>
      <c r="C17" s="25"/>
      <c r="D17" s="25"/>
      <c r="E17" s="25"/>
      <c r="F17" s="294">
        <f t="shared" si="0"/>
        <v>0</v>
      </c>
    </row>
    <row r="18" spans="1:6" x14ac:dyDescent="0.2">
      <c r="A18" s="24" t="s">
        <v>15</v>
      </c>
      <c r="B18" s="25">
        <f>SUM(B8:B17)*0.025</f>
        <v>341306.565</v>
      </c>
      <c r="C18" s="25">
        <f>SUM(C8:C17)*0.025</f>
        <v>0</v>
      </c>
      <c r="D18" s="25">
        <f>SUM(D8:D17)*0.025</f>
        <v>9044</v>
      </c>
      <c r="E18" s="25"/>
      <c r="F18" s="294">
        <f t="shared" si="0"/>
        <v>350350.565</v>
      </c>
    </row>
    <row r="19" spans="1:6" x14ac:dyDescent="0.2">
      <c r="A19" s="24"/>
      <c r="B19" s="25"/>
      <c r="C19" s="25"/>
      <c r="D19" s="25"/>
      <c r="E19" s="25"/>
      <c r="F19" s="295"/>
    </row>
    <row r="20" spans="1:6" x14ac:dyDescent="0.2">
      <c r="A20" s="22" t="s">
        <v>63</v>
      </c>
      <c r="B20" s="25">
        <f>SUM(B7:B18)</f>
        <v>31093569.165000003</v>
      </c>
      <c r="C20" s="25"/>
      <c r="D20" s="25">
        <f>SUM(D8:D18)</f>
        <v>370804</v>
      </c>
      <c r="E20" s="25"/>
      <c r="F20" s="294">
        <f>SUM(F7:F18)</f>
        <v>31464373.165000003</v>
      </c>
    </row>
    <row r="21" spans="1:6" x14ac:dyDescent="0.2">
      <c r="A21" s="24"/>
      <c r="B21" s="27"/>
      <c r="C21" s="27"/>
      <c r="D21" s="27"/>
      <c r="E21" s="27"/>
      <c r="F21" s="295"/>
    </row>
    <row r="22" spans="1:6" x14ac:dyDescent="0.2">
      <c r="A22" s="22" t="s">
        <v>64</v>
      </c>
      <c r="B22" s="27"/>
      <c r="C22" s="27"/>
      <c r="D22" s="27"/>
      <c r="E22" s="27"/>
      <c r="F22" s="295"/>
    </row>
    <row r="23" spans="1:6" x14ac:dyDescent="0.2">
      <c r="A23" s="24" t="s">
        <v>65</v>
      </c>
      <c r="B23" s="290">
        <f>1000000*0.03</f>
        <v>30000</v>
      </c>
      <c r="C23" s="25"/>
      <c r="D23" s="25"/>
      <c r="E23" s="25"/>
      <c r="F23" s="294">
        <f t="shared" ref="F23:F28" si="1">SUM(B23:E23)</f>
        <v>30000</v>
      </c>
    </row>
    <row r="24" spans="1:6" x14ac:dyDescent="0.2">
      <c r="A24" s="24" t="s">
        <v>66</v>
      </c>
      <c r="B24" s="290">
        <v>500000</v>
      </c>
      <c r="C24" s="25"/>
      <c r="D24" s="25"/>
      <c r="E24" s="25"/>
      <c r="F24" s="294">
        <f t="shared" si="1"/>
        <v>500000</v>
      </c>
    </row>
    <row r="25" spans="1:6" x14ac:dyDescent="0.2">
      <c r="A25" s="24" t="s">
        <v>67</v>
      </c>
      <c r="B25" s="290">
        <v>5000000</v>
      </c>
      <c r="C25" s="25"/>
      <c r="D25" s="25"/>
      <c r="E25" s="25"/>
      <c r="F25" s="294">
        <f t="shared" si="1"/>
        <v>5000000</v>
      </c>
    </row>
    <row r="26" spans="1:6" x14ac:dyDescent="0.2">
      <c r="A26" s="26" t="s">
        <v>68</v>
      </c>
      <c r="B26" s="25">
        <v>0</v>
      </c>
      <c r="C26" s="25">
        <v>0</v>
      </c>
      <c r="D26" s="25"/>
      <c r="E26" s="25"/>
      <c r="F26" s="294">
        <f t="shared" si="1"/>
        <v>0</v>
      </c>
    </row>
    <row r="27" spans="1:6" x14ac:dyDescent="0.2">
      <c r="A27" s="26" t="s">
        <v>69</v>
      </c>
      <c r="B27" s="25">
        <v>0</v>
      </c>
      <c r="C27" s="25"/>
      <c r="D27" s="25"/>
      <c r="E27" s="25"/>
      <c r="F27" s="294">
        <f t="shared" si="1"/>
        <v>0</v>
      </c>
    </row>
    <row r="28" spans="1:6" x14ac:dyDescent="0.2">
      <c r="A28" s="26" t="s">
        <v>70</v>
      </c>
      <c r="B28" s="25">
        <v>0</v>
      </c>
      <c r="C28" s="25"/>
      <c r="D28" s="25"/>
      <c r="E28" s="25"/>
      <c r="F28" s="294">
        <f t="shared" si="1"/>
        <v>0</v>
      </c>
    </row>
    <row r="29" spans="1:6" x14ac:dyDescent="0.2">
      <c r="A29" s="24" t="s">
        <v>15</v>
      </c>
      <c r="B29" s="25">
        <f>SUM(B23:C28)*InfoInicial!B15</f>
        <v>221200</v>
      </c>
      <c r="C29" s="25"/>
      <c r="D29" s="25"/>
      <c r="E29" s="25"/>
      <c r="F29" s="290">
        <f>SUM(F23:F28)*0.04</f>
        <v>221200</v>
      </c>
    </row>
    <row r="30" spans="1:6" x14ac:dyDescent="0.2">
      <c r="A30" s="24"/>
      <c r="B30" s="25"/>
      <c r="C30" s="25"/>
      <c r="D30" s="25"/>
      <c r="E30" s="25"/>
      <c r="F30" s="295"/>
    </row>
    <row r="31" spans="1:6" x14ac:dyDescent="0.2">
      <c r="A31" s="22" t="s">
        <v>71</v>
      </c>
      <c r="B31" s="25">
        <f>SUM(B23:B29)</f>
        <v>5751200</v>
      </c>
      <c r="C31" s="25">
        <f>SUM(C23:C29)</f>
        <v>0</v>
      </c>
      <c r="D31" s="25">
        <f>SUM(D23:D29)</f>
        <v>0</v>
      </c>
      <c r="E31" s="25">
        <f>SUM(E23:E29)</f>
        <v>0</v>
      </c>
      <c r="F31" s="290">
        <f>SUM(F23:F29)</f>
        <v>5751200</v>
      </c>
    </row>
    <row r="32" spans="1:6" x14ac:dyDescent="0.2">
      <c r="A32" s="24"/>
      <c r="B32" s="27"/>
      <c r="C32" s="27"/>
      <c r="D32" s="27"/>
      <c r="E32" s="27"/>
      <c r="F32" s="295"/>
    </row>
    <row r="33" spans="1:8" x14ac:dyDescent="0.2">
      <c r="A33" s="22" t="s">
        <v>72</v>
      </c>
      <c r="B33" s="25">
        <f>SUM(B20,B31)</f>
        <v>36844769.165000007</v>
      </c>
      <c r="C33" s="25">
        <f>C31</f>
        <v>0</v>
      </c>
      <c r="D33" s="25">
        <f>D20</f>
        <v>370804</v>
      </c>
      <c r="E33" s="25"/>
      <c r="F33" s="296">
        <f>F20+F31</f>
        <v>37215573.165000007</v>
      </c>
    </row>
    <row r="34" spans="1:8" x14ac:dyDescent="0.2">
      <c r="A34" s="22" t="s">
        <v>73</v>
      </c>
      <c r="B34" s="25">
        <f>F33*InfoInicial!B3</f>
        <v>7815270.3646500008</v>
      </c>
      <c r="C34" s="25"/>
      <c r="D34" s="25"/>
      <c r="E34" s="25"/>
      <c r="F34" s="294">
        <f>B34</f>
        <v>7815270.3646500008</v>
      </c>
    </row>
    <row r="35" spans="1:8" x14ac:dyDescent="0.2">
      <c r="A35" s="24"/>
      <c r="B35" s="27"/>
      <c r="C35" s="27"/>
      <c r="D35" s="27"/>
      <c r="E35" s="27"/>
      <c r="F35" s="295"/>
    </row>
    <row r="36" spans="1:8" ht="13.5" thickBot="1" x14ac:dyDescent="0.25">
      <c r="A36" s="28" t="s">
        <v>74</v>
      </c>
      <c r="B36" s="29">
        <f>B33+B34</f>
        <v>44660039.52965001</v>
      </c>
      <c r="C36" s="29"/>
      <c r="D36" s="29">
        <f>D33</f>
        <v>370804</v>
      </c>
      <c r="E36" s="29"/>
      <c r="F36" s="296">
        <f>F33+F34</f>
        <v>45030843.52965001</v>
      </c>
    </row>
    <row r="39" spans="1:8" x14ac:dyDescent="0.2">
      <c r="A39" s="30" t="s">
        <v>75</v>
      </c>
      <c r="B39" s="262" t="s">
        <v>76</v>
      </c>
      <c r="C39" s="262" t="s">
        <v>77</v>
      </c>
      <c r="D39" s="279" t="s">
        <v>78</v>
      </c>
      <c r="E39" s="279"/>
      <c r="F39" s="279"/>
      <c r="G39" s="31" t="s">
        <v>79</v>
      </c>
    </row>
    <row r="40" spans="1:8" x14ac:dyDescent="0.2">
      <c r="A40" s="32"/>
      <c r="B40" s="18" t="s">
        <v>80</v>
      </c>
      <c r="C40" s="18"/>
      <c r="D40" s="18" t="s">
        <v>81</v>
      </c>
      <c r="E40" s="18" t="s">
        <v>82</v>
      </c>
      <c r="F40" s="18"/>
      <c r="G40" s="33"/>
    </row>
    <row r="41" spans="1:8" x14ac:dyDescent="0.2">
      <c r="A41" s="34" t="s">
        <v>83</v>
      </c>
      <c r="B41" s="35"/>
      <c r="C41" s="35"/>
      <c r="D41" s="35"/>
      <c r="E41" s="35"/>
      <c r="F41" s="36"/>
      <c r="G41" s="37"/>
    </row>
    <row r="42" spans="1:8" x14ac:dyDescent="0.2">
      <c r="A42" s="38"/>
      <c r="B42" s="39"/>
      <c r="C42" s="39"/>
      <c r="D42" s="39"/>
      <c r="E42" s="39"/>
      <c r="F42" s="40"/>
      <c r="G42" s="41"/>
    </row>
    <row r="43" spans="1:8" x14ac:dyDescent="0.2">
      <c r="A43" s="24" t="s">
        <v>52</v>
      </c>
      <c r="B43" s="25">
        <f>B7</f>
        <v>17100000</v>
      </c>
      <c r="C43" s="25">
        <v>0</v>
      </c>
      <c r="D43" s="25"/>
      <c r="E43" s="25"/>
      <c r="F43" s="25"/>
      <c r="G43" s="42">
        <f>B43</f>
        <v>17100000</v>
      </c>
    </row>
    <row r="44" spans="1:8" x14ac:dyDescent="0.2">
      <c r="A44" s="24" t="s">
        <v>53</v>
      </c>
      <c r="B44" s="25">
        <f>B8</f>
        <v>5586000</v>
      </c>
      <c r="C44" s="290">
        <f>0</f>
        <v>0</v>
      </c>
      <c r="D44" s="25">
        <f>B44*C44</f>
        <v>0</v>
      </c>
      <c r="E44" s="25">
        <f t="shared" ref="E44:E49" si="2">D44</f>
        <v>0</v>
      </c>
      <c r="F44" s="25"/>
      <c r="G44" s="42">
        <f>B44-(D44*5)</f>
        <v>5586000</v>
      </c>
    </row>
    <row r="45" spans="1:8" x14ac:dyDescent="0.2">
      <c r="A45" s="24" t="s">
        <v>54</v>
      </c>
      <c r="B45" s="25">
        <f>B9</f>
        <v>4468800</v>
      </c>
      <c r="C45" s="25">
        <f>1/InfoInicial!B9</f>
        <v>0.1</v>
      </c>
      <c r="D45" s="25">
        <f t="shared" ref="D45:D50" si="3">B45*C45</f>
        <v>446880</v>
      </c>
      <c r="E45" s="25">
        <f t="shared" si="2"/>
        <v>446880</v>
      </c>
      <c r="F45" s="25"/>
      <c r="G45" s="42">
        <f>B45-(D45*5)</f>
        <v>2234400</v>
      </c>
    </row>
    <row r="46" spans="1:8" x14ac:dyDescent="0.2">
      <c r="A46" s="26" t="s">
        <v>55</v>
      </c>
      <c r="B46" s="25">
        <f>SUM(D11,B12,B13)</f>
        <v>2668145.6</v>
      </c>
      <c r="C46" s="25">
        <f>1/InfoInicial!B10</f>
        <v>0.1</v>
      </c>
      <c r="D46" s="25">
        <f t="shared" si="3"/>
        <v>266814.56</v>
      </c>
      <c r="E46" s="25">
        <f t="shared" si="2"/>
        <v>266814.56</v>
      </c>
      <c r="F46" s="25"/>
      <c r="G46" s="42">
        <f>B46-(D46*5)</f>
        <v>1334072.8</v>
      </c>
    </row>
    <row r="47" spans="1:8" x14ac:dyDescent="0.2">
      <c r="A47" s="26" t="s">
        <v>60</v>
      </c>
      <c r="B47" s="25">
        <f>B15</f>
        <v>1162000</v>
      </c>
      <c r="C47" s="25">
        <f>1/InfoInicial!B11</f>
        <v>0.2</v>
      </c>
      <c r="D47" s="25">
        <f t="shared" si="3"/>
        <v>232400</v>
      </c>
      <c r="E47" s="25">
        <f t="shared" si="2"/>
        <v>232400</v>
      </c>
      <c r="F47" s="25"/>
      <c r="G47" s="293"/>
      <c r="H47" s="292" t="s">
        <v>475</v>
      </c>
    </row>
    <row r="48" spans="1:8" x14ac:dyDescent="0.2">
      <c r="A48" s="26" t="s">
        <v>61</v>
      </c>
      <c r="B48" s="25">
        <f>B16</f>
        <v>104077</v>
      </c>
      <c r="C48" s="25">
        <f>1/InfoInicial!B12</f>
        <v>0.2</v>
      </c>
      <c r="D48" s="25">
        <f t="shared" si="3"/>
        <v>20815.400000000001</v>
      </c>
      <c r="E48" s="25">
        <f t="shared" si="2"/>
        <v>20815.400000000001</v>
      </c>
      <c r="F48" s="25"/>
      <c r="G48" s="293"/>
    </row>
    <row r="49" spans="1:9" x14ac:dyDescent="0.2">
      <c r="A49" s="26" t="s">
        <v>15</v>
      </c>
      <c r="B49" s="25">
        <f>B18+D18</f>
        <v>350350.565</v>
      </c>
      <c r="C49" s="25">
        <f>1/InfoInicial!B14</f>
        <v>0.2</v>
      </c>
      <c r="D49" s="25">
        <f t="shared" si="3"/>
        <v>70070.112999999998</v>
      </c>
      <c r="E49" s="25">
        <f t="shared" si="2"/>
        <v>70070.112999999998</v>
      </c>
      <c r="F49" s="25"/>
      <c r="G49" s="293"/>
    </row>
    <row r="50" spans="1:9" x14ac:dyDescent="0.2">
      <c r="A50" s="26" t="s">
        <v>84</v>
      </c>
      <c r="B50" s="290">
        <f>278000</f>
        <v>278000</v>
      </c>
      <c r="C50" s="25">
        <f>1/InfoInicial!B13</f>
        <v>0.33333333333333331</v>
      </c>
      <c r="D50" s="25">
        <f t="shared" si="3"/>
        <v>92666.666666666657</v>
      </c>
      <c r="E50" s="25"/>
      <c r="F50" s="25"/>
      <c r="G50" s="293"/>
    </row>
    <row r="51" spans="1:9" x14ac:dyDescent="0.2">
      <c r="A51" s="43" t="s">
        <v>85</v>
      </c>
      <c r="B51" s="25">
        <f>SUM(B43:B50)</f>
        <v>31717373.165000003</v>
      </c>
      <c r="C51" s="25"/>
      <c r="D51" s="25">
        <f>SUM(D44:D50)</f>
        <v>1129646.7396666668</v>
      </c>
      <c r="E51" s="25">
        <f>SUM(E44:E50)</f>
        <v>1036980.0730000001</v>
      </c>
      <c r="F51" s="25"/>
      <c r="G51" s="42">
        <f>SUM(G43:G46)</f>
        <v>26254472.800000001</v>
      </c>
    </row>
    <row r="52" spans="1:9" x14ac:dyDescent="0.2">
      <c r="A52" s="22"/>
      <c r="B52" s="44"/>
      <c r="C52" s="45"/>
      <c r="D52" s="46"/>
      <c r="E52" s="46"/>
      <c r="F52" s="46"/>
      <c r="G52" s="47"/>
    </row>
    <row r="53" spans="1:9" x14ac:dyDescent="0.2">
      <c r="A53" s="43" t="s">
        <v>86</v>
      </c>
      <c r="B53" s="25">
        <f>F31</f>
        <v>5751200</v>
      </c>
      <c r="C53" s="25">
        <f>1/5</f>
        <v>0.2</v>
      </c>
      <c r="D53" s="25">
        <f>B53*C53</f>
        <v>1150240</v>
      </c>
      <c r="E53" s="25">
        <f>D53</f>
        <v>1150240</v>
      </c>
      <c r="F53" s="25"/>
      <c r="G53" s="42"/>
    </row>
    <row r="54" spans="1:9" x14ac:dyDescent="0.2">
      <c r="A54" s="43"/>
      <c r="B54" s="25"/>
      <c r="C54" s="25"/>
      <c r="D54" s="25"/>
      <c r="E54" s="25"/>
      <c r="F54" s="25"/>
      <c r="G54" s="42"/>
    </row>
    <row r="55" spans="1:9" x14ac:dyDescent="0.2">
      <c r="A55" s="22"/>
      <c r="B55" s="23"/>
      <c r="C55" s="23"/>
      <c r="D55" s="48"/>
      <c r="E55" s="49"/>
      <c r="F55" s="49"/>
      <c r="G55" s="50"/>
      <c r="H55" s="51"/>
      <c r="I55" s="51"/>
    </row>
    <row r="56" spans="1:9" x14ac:dyDescent="0.2">
      <c r="A56" s="28" t="s">
        <v>87</v>
      </c>
      <c r="B56" s="29">
        <f>B51+B53</f>
        <v>37468573.165000007</v>
      </c>
      <c r="C56" s="29"/>
      <c r="D56" s="29">
        <f>D51+D53</f>
        <v>2279886.7396666668</v>
      </c>
      <c r="E56" s="29">
        <f>E51+E53</f>
        <v>2187220.0729999999</v>
      </c>
      <c r="F56" s="29"/>
      <c r="G56" s="52">
        <f>G51</f>
        <v>26254472.800000001</v>
      </c>
      <c r="H56" s="53"/>
      <c r="I56" s="53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5"/>
  <sheetViews>
    <sheetView tabSelected="1" topLeftCell="A43" workbookViewId="0">
      <selection activeCell="B53" sqref="B53"/>
    </sheetView>
  </sheetViews>
  <sheetFormatPr defaultColWidth="11.42578125" defaultRowHeight="12.75" x14ac:dyDescent="0.2"/>
  <cols>
    <col min="1" max="1" width="41" style="15" customWidth="1"/>
    <col min="2" max="2" width="20.85546875" style="15" customWidth="1"/>
    <col min="3" max="6" width="16.28515625" style="15" customWidth="1"/>
    <col min="7" max="7" width="17.42578125" style="15" customWidth="1"/>
    <col min="8" max="16384" width="11.42578125" style="15"/>
  </cols>
  <sheetData>
    <row r="3" spans="1:8" x14ac:dyDescent="0.2">
      <c r="A3" s="1" t="s">
        <v>0</v>
      </c>
      <c r="B3"/>
      <c r="C3"/>
      <c r="D3"/>
      <c r="E3" s="2">
        <f>InfoInicial!E1</f>
        <v>0</v>
      </c>
    </row>
    <row r="4" spans="1:8" ht="15.75" x14ac:dyDescent="0.25">
      <c r="A4" s="54" t="s">
        <v>88</v>
      </c>
      <c r="B4" s="55"/>
      <c r="C4" s="55"/>
      <c r="D4" s="55"/>
      <c r="E4" s="55"/>
      <c r="F4" s="56"/>
    </row>
    <row r="5" spans="1:8" x14ac:dyDescent="0.2">
      <c r="A5" s="57"/>
      <c r="B5" s="264" t="s">
        <v>89</v>
      </c>
      <c r="C5" s="264"/>
      <c r="D5" s="264"/>
      <c r="E5" s="264"/>
      <c r="F5" s="265"/>
    </row>
    <row r="6" spans="1:8" x14ac:dyDescent="0.2">
      <c r="A6" s="57" t="s">
        <v>90</v>
      </c>
      <c r="B6" s="18" t="s">
        <v>50</v>
      </c>
      <c r="C6" s="18" t="s">
        <v>91</v>
      </c>
      <c r="D6" s="18" t="s">
        <v>92</v>
      </c>
      <c r="E6" s="18" t="s">
        <v>93</v>
      </c>
      <c r="F6" s="19" t="s">
        <v>94</v>
      </c>
    </row>
    <row r="7" spans="1:8" ht="13.5" thickTop="1" x14ac:dyDescent="0.2">
      <c r="A7" s="20" t="s">
        <v>95</v>
      </c>
      <c r="B7" s="297">
        <f>'Consumo MP'!R19</f>
        <v>9120829.5652173925</v>
      </c>
      <c r="C7" s="297">
        <v>10255309</v>
      </c>
      <c r="D7" s="297">
        <v>10255309</v>
      </c>
      <c r="E7" s="297">
        <v>10255309</v>
      </c>
      <c r="F7" s="297">
        <v>10255309</v>
      </c>
      <c r="H7" s="15" t="s">
        <v>477</v>
      </c>
    </row>
    <row r="8" spans="1:8" x14ac:dyDescent="0.2">
      <c r="A8" s="15" t="s">
        <v>96</v>
      </c>
      <c r="B8" s="241">
        <f>0.95*C8</f>
        <v>513000</v>
      </c>
      <c r="C8" s="241">
        <f>Salarios!$C$9</f>
        <v>540000</v>
      </c>
      <c r="D8" s="241">
        <f>Salarios!$C$9</f>
        <v>540000</v>
      </c>
      <c r="E8" s="241">
        <f>Salarios!$C$9</f>
        <v>540000</v>
      </c>
      <c r="F8" s="241">
        <f>Salarios!$C$9</f>
        <v>540000</v>
      </c>
      <c r="H8" s="15" t="s">
        <v>476</v>
      </c>
    </row>
    <row r="9" spans="1:8" x14ac:dyDescent="0.2">
      <c r="A9" s="24" t="s">
        <v>97</v>
      </c>
      <c r="B9" s="242"/>
      <c r="C9" s="242"/>
      <c r="D9" s="242"/>
      <c r="E9" s="242"/>
      <c r="F9" s="243"/>
      <c r="H9" s="15" t="s">
        <v>478</v>
      </c>
    </row>
    <row r="10" spans="1:8" x14ac:dyDescent="0.2">
      <c r="A10" s="24" t="s">
        <v>98</v>
      </c>
      <c r="B10" s="242">
        <f>('E-Inv AF y Am'!D51-'E-Inv AF y Am'!D50)*0.9+'E-Inv AF y Am'!D50</f>
        <v>1025948.7323666668</v>
      </c>
      <c r="C10" s="242">
        <f>B10</f>
        <v>1025948.7323666668</v>
      </c>
      <c r="D10" s="242">
        <f>B10</f>
        <v>1025948.7323666668</v>
      </c>
      <c r="E10" s="242">
        <f>'E-Inv AF y Am'!E51*0.9</f>
        <v>933282.06570000015</v>
      </c>
      <c r="F10" s="244">
        <f>E10</f>
        <v>933282.06570000015</v>
      </c>
    </row>
    <row r="11" spans="1:8" x14ac:dyDescent="0.2">
      <c r="A11" s="24" t="s">
        <v>99</v>
      </c>
      <c r="B11" s="242">
        <f>Salarios!C10</f>
        <v>2820000</v>
      </c>
      <c r="C11" s="242">
        <f>B11</f>
        <v>2820000</v>
      </c>
      <c r="D11" s="242">
        <f>C11</f>
        <v>2820000</v>
      </c>
      <c r="E11" s="242">
        <f>D11</f>
        <v>2820000</v>
      </c>
      <c r="F11" s="242">
        <f>E11</f>
        <v>2820000</v>
      </c>
    </row>
    <row r="12" spans="1:8" x14ac:dyDescent="0.2">
      <c r="A12" s="24" t="s">
        <v>100</v>
      </c>
      <c r="B12" s="298">
        <f>0.026*'E-Costos'!$F$20+0.015*'E-Costos'!B7+0.03*Salarios!$C$11</f>
        <v>178212.44347826089</v>
      </c>
      <c r="C12" s="298">
        <f>0.026*'E-Costos'!$F$20+0.015*'E-Costos'!C7+0.03*Salarios!$C$11</f>
        <v>195229.63499999998</v>
      </c>
      <c r="D12" s="298">
        <f>0.026*'E-Costos'!$F$20+0.015*'E-Costos'!D7+0.03*Salarios!$C$11</f>
        <v>195229.63499999998</v>
      </c>
      <c r="E12" s="298">
        <f>0.026*'E-Costos'!$F$20+0.015*'E-Costos'!E7+0.03*Salarios!$C$11</f>
        <v>195229.63499999998</v>
      </c>
      <c r="F12" s="298">
        <f>0.026*'E-Costos'!$F$20+0.015*'E-Costos'!F7+0.03*Salarios!$C$11</f>
        <v>195229.63499999998</v>
      </c>
    </row>
    <row r="13" spans="1:8" x14ac:dyDescent="0.2">
      <c r="A13" s="24" t="s">
        <v>101</v>
      </c>
      <c r="B13" s="298">
        <f>B7*C13/C7</f>
        <v>65532.666675450535</v>
      </c>
      <c r="C13" s="298">
        <f>6140.32*12</f>
        <v>73683.839999999997</v>
      </c>
      <c r="D13" s="298">
        <f>6140.32*12</f>
        <v>73683.839999999997</v>
      </c>
      <c r="E13" s="298">
        <f>6140.32*12</f>
        <v>73683.839999999997</v>
      </c>
      <c r="F13" s="298">
        <f>6140.32*12</f>
        <v>73683.839999999997</v>
      </c>
    </row>
    <row r="14" spans="1:8" x14ac:dyDescent="0.2">
      <c r="A14" s="24" t="s">
        <v>102</v>
      </c>
      <c r="B14" s="242">
        <v>0</v>
      </c>
      <c r="C14" s="242">
        <v>0</v>
      </c>
      <c r="D14" s="242">
        <v>0</v>
      </c>
      <c r="E14" s="242">
        <v>0</v>
      </c>
      <c r="F14" s="242">
        <v>0</v>
      </c>
    </row>
    <row r="15" spans="1:8" x14ac:dyDescent="0.2">
      <c r="A15" s="24" t="s">
        <v>103</v>
      </c>
      <c r="B15" s="298">
        <f>0.9*0.008*('E-Inv AF y Am'!B8+'E-Inv AF y Am'!B7)+('E-Inv AF y Am'!B8+'E-Inv AF y Am'!B7)*0.9*0.01+('E-Inv AF y Am'!B15/2)*0.03</f>
        <v>384943.2</v>
      </c>
      <c r="C15" s="298">
        <f>B15</f>
        <v>384943.2</v>
      </c>
      <c r="D15" s="298">
        <f>C15</f>
        <v>384943.2</v>
      </c>
      <c r="E15" s="298">
        <f>D15</f>
        <v>384943.2</v>
      </c>
      <c r="F15" s="298">
        <f>E15</f>
        <v>384943.2</v>
      </c>
    </row>
    <row r="16" spans="1:8" x14ac:dyDescent="0.2">
      <c r="A16" s="24" t="s">
        <v>15</v>
      </c>
      <c r="B16" s="242">
        <f>SUM('E-Costos'!B7:B15)*InfoInicial!$B$15</f>
        <v>564338.66430951073</v>
      </c>
      <c r="C16" s="242">
        <f>SUM('E-Costos'!C7:C15)*InfoInicial!$B$15</f>
        <v>611804.57629466662</v>
      </c>
      <c r="D16" s="242">
        <f>SUM('E-Costos'!D7:D15)*InfoInicial!$B$15</f>
        <v>611804.57629466662</v>
      </c>
      <c r="E16" s="242">
        <f>SUM('E-Costos'!E7:E15)*InfoInicial!$B$15</f>
        <v>608097.90962799999</v>
      </c>
      <c r="F16" s="242">
        <f>SUM('E-Costos'!F7:F15)*InfoInicial!$B$15</f>
        <v>608097.90962799999</v>
      </c>
    </row>
    <row r="17" spans="1:9" x14ac:dyDescent="0.2">
      <c r="A17" s="22" t="s">
        <v>104</v>
      </c>
      <c r="B17" s="245">
        <f>SUM(B7:B16)</f>
        <v>14672805.272047279</v>
      </c>
      <c r="C17" s="245">
        <f>SUM(C7:C16)</f>
        <v>15906918.983661331</v>
      </c>
      <c r="D17" s="245">
        <f>SUM(D7:D16)</f>
        <v>15906918.983661331</v>
      </c>
      <c r="E17" s="245">
        <f>SUM(E7:E16)</f>
        <v>15810545.650327999</v>
      </c>
      <c r="F17" s="245">
        <f>SUM(F7:F16)</f>
        <v>15810545.650327999</v>
      </c>
    </row>
    <row r="18" spans="1:9" x14ac:dyDescent="0.2">
      <c r="A18" s="64" t="s">
        <v>105</v>
      </c>
      <c r="B18" s="246">
        <f>SUM(B11,B10,B15)/B17</f>
        <v>0.28834921842974442</v>
      </c>
      <c r="C18" s="246">
        <f>SUM(C11,C10,C15)/C17</f>
        <v>0.26597809020794</v>
      </c>
      <c r="D18" s="246">
        <f>SUM(D11,D10,D15)/D17</f>
        <v>0.26597809020794</v>
      </c>
      <c r="E18" s="246">
        <f>SUM(E11,E10,E15)/E17</f>
        <v>0.26173829526333586</v>
      </c>
      <c r="F18" s="246">
        <f>SUM(F11,F10,F15)/F17</f>
        <v>0.26173829526333586</v>
      </c>
    </row>
    <row r="19" spans="1:9" ht="13.5" thickBot="1" x14ac:dyDescent="0.25">
      <c r="A19" s="32" t="s">
        <v>106</v>
      </c>
      <c r="B19" s="247">
        <f>SUM(B7,B8,B12,B13,B14,B16)/B17</f>
        <v>0.71165078157025563</v>
      </c>
      <c r="C19" s="247">
        <f>SUM(C7,C8,C12,C13,C14,C16)/C17</f>
        <v>0.73402190979206006</v>
      </c>
      <c r="D19" s="247">
        <f>SUM(D7,D8,D12,D13,D14,D16)/D17</f>
        <v>0.73402190979206006</v>
      </c>
      <c r="E19" s="247">
        <f>SUM(E7,E8,E12,E13,E14,E16)/E17</f>
        <v>0.73826170473666419</v>
      </c>
      <c r="F19" s="247">
        <f>SUM(F7,F8,F12,F13,F14,F16)/F17</f>
        <v>0.73826170473666419</v>
      </c>
    </row>
    <row r="21" spans="1:9" ht="13.5" thickTop="1" x14ac:dyDescent="0.2">
      <c r="A21" s="301"/>
      <c r="B21" s="302" t="s">
        <v>107</v>
      </c>
      <c r="C21" s="302"/>
      <c r="D21" s="302"/>
      <c r="E21" s="302"/>
      <c r="F21" s="302"/>
      <c r="G21" s="263"/>
      <c r="I21" s="292" t="s">
        <v>480</v>
      </c>
    </row>
    <row r="22" spans="1:9" x14ac:dyDescent="0.2">
      <c r="A22" s="303"/>
      <c r="B22" s="304" t="s">
        <v>108</v>
      </c>
      <c r="C22" s="304"/>
      <c r="D22" s="304"/>
      <c r="E22" s="304"/>
      <c r="F22" s="304"/>
      <c r="G22" s="305" t="s">
        <v>109</v>
      </c>
      <c r="I22" s="292"/>
    </row>
    <row r="23" spans="1:9" ht="13.5" thickBot="1" x14ac:dyDescent="0.25">
      <c r="A23" s="57" t="s">
        <v>90</v>
      </c>
      <c r="B23" s="68" t="s">
        <v>50</v>
      </c>
      <c r="C23" s="68" t="s">
        <v>91</v>
      </c>
      <c r="D23" s="68" t="s">
        <v>92</v>
      </c>
      <c r="E23" s="68" t="s">
        <v>93</v>
      </c>
      <c r="F23" s="68" t="s">
        <v>94</v>
      </c>
      <c r="G23" s="69" t="s">
        <v>50</v>
      </c>
      <c r="I23" s="292"/>
    </row>
    <row r="24" spans="1:9" ht="13.5" thickTop="1" x14ac:dyDescent="0.2">
      <c r="A24" s="20" t="s">
        <v>95</v>
      </c>
      <c r="B24" s="300">
        <f>'Consumo MP'!$O$39</f>
        <v>99894.8</v>
      </c>
      <c r="C24" s="300">
        <f>'Consumo MP'!$O$39</f>
        <v>99894.8</v>
      </c>
      <c r="D24" s="300">
        <f>'Consumo MP'!$O$39</f>
        <v>99894.8</v>
      </c>
      <c r="E24" s="300">
        <f>'Consumo MP'!$O$39</f>
        <v>99894.8</v>
      </c>
      <c r="F24" s="300">
        <f>'Consumo MP'!$O$39</f>
        <v>99894.8</v>
      </c>
      <c r="G24" s="58"/>
      <c r="I24" s="292" t="s">
        <v>479</v>
      </c>
    </row>
    <row r="25" spans="1:9" x14ac:dyDescent="0.2">
      <c r="A25" s="24" t="s">
        <v>96</v>
      </c>
      <c r="B25" s="60">
        <f>$B$24*$B$8/$B$7</f>
        <v>5618.5714285714275</v>
      </c>
      <c r="C25" s="60">
        <f>$B$24*$B$8/$B$7</f>
        <v>5618.5714285714275</v>
      </c>
      <c r="D25" s="60">
        <f>$B$24*$B$8/$B$7</f>
        <v>5618.5714285714275</v>
      </c>
      <c r="E25" s="60">
        <f>$B$24*$B$8/$B$7</f>
        <v>5618.5714285714275</v>
      </c>
      <c r="F25" s="60">
        <f>$B$24*$B$8/$B$7</f>
        <v>5618.5714285714275</v>
      </c>
      <c r="G25" s="61"/>
    </row>
    <row r="26" spans="1:9" x14ac:dyDescent="0.2">
      <c r="A26" s="24" t="s">
        <v>97</v>
      </c>
      <c r="B26" s="25"/>
      <c r="C26" s="25"/>
      <c r="D26" s="25"/>
      <c r="E26" s="25"/>
      <c r="F26" s="25"/>
      <c r="G26" s="42"/>
    </row>
    <row r="27" spans="1:9" x14ac:dyDescent="0.2">
      <c r="A27" s="24" t="s">
        <v>98</v>
      </c>
      <c r="B27" s="60">
        <f>B24*B10/B7</f>
        <v>11236.581354492064</v>
      </c>
      <c r="C27" s="60">
        <f>C24*C10/C7</f>
        <v>9993.5500168763047</v>
      </c>
      <c r="D27" s="60">
        <f>D24*D10/D7</f>
        <v>9993.5500168763047</v>
      </c>
      <c r="E27" s="60">
        <f>E24*E10/E7</f>
        <v>9090.9035794717038</v>
      </c>
      <c r="F27" s="60">
        <f>F24*F10/F7</f>
        <v>9090.9035794717038</v>
      </c>
      <c r="G27" s="61"/>
    </row>
    <row r="28" spans="1:9" x14ac:dyDescent="0.2">
      <c r="A28" s="24" t="s">
        <v>99</v>
      </c>
      <c r="B28" s="60">
        <f>B24*B11/B7</f>
        <v>30885.714285714283</v>
      </c>
      <c r="C28" s="60">
        <f>C24*C11/C7</f>
        <v>27469.024677852223</v>
      </c>
      <c r="D28" s="60">
        <f>D24*D11/D7</f>
        <v>27469.024677852223</v>
      </c>
      <c r="E28" s="60">
        <f>E24*E11/E7</f>
        <v>27469.024677852223</v>
      </c>
      <c r="F28" s="60">
        <f>F24*F11/F7</f>
        <v>27469.024677852223</v>
      </c>
      <c r="G28" s="61"/>
    </row>
    <row r="29" spans="1:9" x14ac:dyDescent="0.2">
      <c r="A29" s="24" t="s">
        <v>100</v>
      </c>
      <c r="B29" s="60">
        <f>B24*B12/B7</f>
        <v>1951.8505714285714</v>
      </c>
      <c r="C29" s="60">
        <f>C24*C12/C7</f>
        <v>1901.6906601642133</v>
      </c>
      <c r="D29" s="60">
        <f>D24*D12/D7</f>
        <v>1901.6906601642133</v>
      </c>
      <c r="E29" s="60">
        <f>E24*E12/E7</f>
        <v>1901.6906601642133</v>
      </c>
      <c r="F29" s="60">
        <f>F24*F12/F7</f>
        <v>1901.6906601642133</v>
      </c>
      <c r="G29" s="61"/>
    </row>
    <row r="30" spans="1:9" x14ac:dyDescent="0.2">
      <c r="A30" s="24" t="s">
        <v>110</v>
      </c>
      <c r="B30" s="60">
        <f>0.95*C30</f>
        <v>681.85179374218751</v>
      </c>
      <c r="C30" s="60">
        <f>C24*C13/C7</f>
        <v>717.73873025493424</v>
      </c>
      <c r="D30" s="60">
        <f>D24*D13/D7</f>
        <v>717.73873025493424</v>
      </c>
      <c r="E30" s="60">
        <f>E24*E13/E7</f>
        <v>717.73873025493424</v>
      </c>
      <c r="F30" s="60">
        <f>F24*F13/F7</f>
        <v>717.73873025493424</v>
      </c>
      <c r="G30" s="61"/>
    </row>
    <row r="31" spans="1:9" x14ac:dyDescent="0.2">
      <c r="A31" s="24" t="s">
        <v>111</v>
      </c>
      <c r="B31" s="60">
        <f>B24*B14/B7</f>
        <v>0</v>
      </c>
      <c r="C31" s="60">
        <f>C24*C14/C7</f>
        <v>0</v>
      </c>
      <c r="D31" s="60">
        <f>D24*D14/D7</f>
        <v>0</v>
      </c>
      <c r="E31" s="60">
        <f>E24*E14/E7</f>
        <v>0</v>
      </c>
      <c r="F31" s="60">
        <f>F24*F14/F7</f>
        <v>0</v>
      </c>
      <c r="G31" s="61"/>
    </row>
    <row r="32" spans="1:9" x14ac:dyDescent="0.2">
      <c r="A32" s="24" t="s">
        <v>112</v>
      </c>
      <c r="B32" s="60">
        <f>B24*B15/B7</f>
        <v>4216.0445714285706</v>
      </c>
      <c r="C32" s="60">
        <f>C24*C15/C7</f>
        <v>3749.6504469402144</v>
      </c>
      <c r="D32" s="60">
        <f>D24*D15/D7</f>
        <v>3749.6504469402144</v>
      </c>
      <c r="E32" s="60">
        <f>E24*E15/E7</f>
        <v>3749.6504469402144</v>
      </c>
      <c r="F32" s="60">
        <f>F24*F15/F7</f>
        <v>3749.6504469402144</v>
      </c>
      <c r="G32" s="61"/>
    </row>
    <row r="33" spans="1:7" x14ac:dyDescent="0.2">
      <c r="A33" s="24" t="s">
        <v>113</v>
      </c>
      <c r="B33" s="60">
        <f>B24*B16/B7</f>
        <v>6180.8520376755932</v>
      </c>
      <c r="C33" s="60">
        <f>C24*C16/C7</f>
        <v>5959.4592213691922</v>
      </c>
      <c r="D33" s="60">
        <f>D24*D16/D7</f>
        <v>5959.4592213691922</v>
      </c>
      <c r="E33" s="60">
        <f>E24*E16/E7</f>
        <v>5923.3533638730087</v>
      </c>
      <c r="F33" s="60">
        <f>F24*F16/F7</f>
        <v>5923.3533638730087</v>
      </c>
      <c r="G33" s="61"/>
    </row>
    <row r="34" spans="1:7" x14ac:dyDescent="0.2">
      <c r="A34" s="32" t="s">
        <v>114</v>
      </c>
      <c r="B34" s="65">
        <f>SUM(B24:B33)</f>
        <v>160666.26604305269</v>
      </c>
      <c r="C34" s="65">
        <f>SUM(C24:C33)</f>
        <v>155304.48518202853</v>
      </c>
      <c r="D34" s="65">
        <f>SUM(D24:D33)</f>
        <v>155304.48518202853</v>
      </c>
      <c r="E34" s="65">
        <f>SUM(E24:E33)</f>
        <v>154365.73288712773</v>
      </c>
      <c r="F34" s="65">
        <f>SUM(F24:F33)</f>
        <v>154365.73288712773</v>
      </c>
      <c r="G34" s="66"/>
    </row>
    <row r="35" spans="1:7" x14ac:dyDescent="0.2">
      <c r="A35" s="70"/>
      <c r="B35" s="71"/>
      <c r="C35" s="71"/>
      <c r="D35" s="71"/>
      <c r="E35" s="71"/>
      <c r="F35" s="71"/>
      <c r="G35" s="71"/>
    </row>
    <row r="36" spans="1:7" x14ac:dyDescent="0.2">
      <c r="A36" s="34"/>
      <c r="B36" s="72" t="s">
        <v>115</v>
      </c>
      <c r="C36" s="72"/>
      <c r="D36" s="72"/>
      <c r="E36" s="72"/>
      <c r="F36" s="73"/>
    </row>
    <row r="37" spans="1:7" x14ac:dyDescent="0.2">
      <c r="A37" s="32"/>
      <c r="B37" s="68" t="s">
        <v>50</v>
      </c>
      <c r="C37" s="68" t="s">
        <v>91</v>
      </c>
      <c r="D37" s="68" t="s">
        <v>92</v>
      </c>
      <c r="E37" s="68" t="s">
        <v>93</v>
      </c>
      <c r="F37" s="19" t="s">
        <v>94</v>
      </c>
      <c r="G37" s="71"/>
    </row>
    <row r="38" spans="1:7" x14ac:dyDescent="0.2">
      <c r="A38" s="38" t="s">
        <v>104</v>
      </c>
      <c r="B38" s="58">
        <f>B17</f>
        <v>14672805.272047279</v>
      </c>
      <c r="C38" s="58">
        <f>C17</f>
        <v>15906918.983661331</v>
      </c>
      <c r="D38" s="58">
        <f>D17</f>
        <v>15906918.983661331</v>
      </c>
      <c r="E38" s="58">
        <f>E17</f>
        <v>15810545.650327999</v>
      </c>
      <c r="F38" s="58">
        <f>F17</f>
        <v>15810545.650327999</v>
      </c>
      <c r="G38" s="71"/>
    </row>
    <row r="39" spans="1:7" x14ac:dyDescent="0.2">
      <c r="A39" s="24" t="s">
        <v>116</v>
      </c>
      <c r="B39" s="60"/>
      <c r="C39" s="60"/>
      <c r="D39" s="60"/>
      <c r="E39" s="60"/>
      <c r="F39" s="42"/>
      <c r="G39" s="71"/>
    </row>
    <row r="40" spans="1:7" x14ac:dyDescent="0.2">
      <c r="A40" s="306" t="s">
        <v>117</v>
      </c>
      <c r="B40" s="307">
        <v>0</v>
      </c>
      <c r="C40" s="307">
        <v>0</v>
      </c>
      <c r="D40" s="307">
        <v>0</v>
      </c>
      <c r="E40" s="307">
        <v>0</v>
      </c>
      <c r="F40" s="307">
        <v>0</v>
      </c>
      <c r="G40" s="308" t="s">
        <v>481</v>
      </c>
    </row>
    <row r="41" spans="1:7" x14ac:dyDescent="0.2">
      <c r="A41" s="24" t="s">
        <v>118</v>
      </c>
      <c r="B41" s="60">
        <f>B34</f>
        <v>160666.26604305269</v>
      </c>
      <c r="C41" s="60">
        <f>B34-C34</f>
        <v>5361.7808610241627</v>
      </c>
      <c r="D41" s="60">
        <f>C34-D34</f>
        <v>0</v>
      </c>
      <c r="E41" s="60">
        <f>D34-E34</f>
        <v>938.75229490079801</v>
      </c>
      <c r="F41" s="60">
        <f>E34-F34</f>
        <v>0</v>
      </c>
      <c r="G41" s="71"/>
    </row>
    <row r="42" spans="1:7" x14ac:dyDescent="0.2">
      <c r="A42" s="22" t="s">
        <v>119</v>
      </c>
      <c r="B42" s="60">
        <f>B38-(B40+B41)</f>
        <v>14512139.006004227</v>
      </c>
      <c r="C42" s="60">
        <f>C38-(C40+C41)</f>
        <v>15901557.202800307</v>
      </c>
      <c r="D42" s="60">
        <f>D38-(D40+D41)</f>
        <v>15906918.983661331</v>
      </c>
      <c r="E42" s="60">
        <f>E38-(E40+E41)</f>
        <v>15809606.898033099</v>
      </c>
      <c r="F42" s="60">
        <f>F38-(F40+F41)</f>
        <v>15810545.650327999</v>
      </c>
      <c r="G42" s="71"/>
    </row>
    <row r="43" spans="1:7" x14ac:dyDescent="0.2">
      <c r="A43" s="64" t="s">
        <v>120</v>
      </c>
      <c r="B43" s="309">
        <f>B42/21130</f>
        <v>686.80260321837329</v>
      </c>
      <c r="C43" s="309">
        <f>C42/24000</f>
        <v>662.56488345001276</v>
      </c>
      <c r="D43" s="309">
        <f>D42/24000</f>
        <v>662.78829098588881</v>
      </c>
      <c r="E43" s="309">
        <f>E42/24000</f>
        <v>658.73362075137914</v>
      </c>
      <c r="F43" s="309">
        <f>F42/24000</f>
        <v>658.77273543033334</v>
      </c>
      <c r="G43" s="310" t="s">
        <v>482</v>
      </c>
    </row>
    <row r="44" spans="1:7" x14ac:dyDescent="0.2">
      <c r="A44" s="64"/>
      <c r="B44" s="74"/>
      <c r="C44" s="74"/>
      <c r="D44" s="74"/>
      <c r="E44" s="74"/>
      <c r="F44" s="75"/>
      <c r="G44" s="71"/>
    </row>
    <row r="45" spans="1:7" x14ac:dyDescent="0.2">
      <c r="A45" s="311" t="s">
        <v>105</v>
      </c>
      <c r="B45" s="312">
        <f t="shared" ref="B45:F46" si="0">B18</f>
        <v>0.28834921842974442</v>
      </c>
      <c r="C45" s="312">
        <f t="shared" si="0"/>
        <v>0.26597809020794</v>
      </c>
      <c r="D45" s="312">
        <f t="shared" si="0"/>
        <v>0.26597809020794</v>
      </c>
      <c r="E45" s="312">
        <f t="shared" si="0"/>
        <v>0.26173829526333586</v>
      </c>
      <c r="F45" s="312">
        <f t="shared" si="0"/>
        <v>0.26173829526333586</v>
      </c>
      <c r="G45" s="308" t="s">
        <v>483</v>
      </c>
    </row>
    <row r="46" spans="1:7" ht="13.5" thickBot="1" x14ac:dyDescent="0.25">
      <c r="A46" s="313" t="s">
        <v>106</v>
      </c>
      <c r="B46" s="312">
        <f t="shared" si="0"/>
        <v>0.71165078157025563</v>
      </c>
      <c r="C46" s="312">
        <f t="shared" si="0"/>
        <v>0.73402190979206006</v>
      </c>
      <c r="D46" s="312">
        <f t="shared" si="0"/>
        <v>0.73402190979206006</v>
      </c>
      <c r="E46" s="312">
        <f t="shared" si="0"/>
        <v>0.73826170473666419</v>
      </c>
      <c r="F46" s="312">
        <f t="shared" si="0"/>
        <v>0.73826170473666419</v>
      </c>
      <c r="G46" s="308" t="s">
        <v>483</v>
      </c>
    </row>
    <row r="47" spans="1:7" ht="13.5" thickTop="1" x14ac:dyDescent="0.2"/>
    <row r="49" spans="1:7" x14ac:dyDescent="0.2">
      <c r="A49" s="30"/>
      <c r="B49" s="262" t="s">
        <v>121</v>
      </c>
      <c r="C49" s="262"/>
      <c r="D49" s="262"/>
      <c r="E49" s="262"/>
      <c r="F49" s="263"/>
    </row>
    <row r="50" spans="1:7" x14ac:dyDescent="0.2">
      <c r="A50" s="78" t="s">
        <v>90</v>
      </c>
      <c r="B50" s="18" t="s">
        <v>50</v>
      </c>
      <c r="C50" s="18" t="s">
        <v>91</v>
      </c>
      <c r="D50" s="18" t="s">
        <v>92</v>
      </c>
      <c r="E50" s="18" t="s">
        <v>93</v>
      </c>
      <c r="F50" s="19" t="s">
        <v>94</v>
      </c>
    </row>
    <row r="51" spans="1:7" x14ac:dyDescent="0.2">
      <c r="A51" s="67" t="s">
        <v>122</v>
      </c>
      <c r="B51" s="79">
        <f>0.9*(SUM(Salarios!C2,Salarios!C3))</f>
        <v>702000</v>
      </c>
      <c r="C51" s="79">
        <f>SUM(Salarios!C2,Salarios!C3)</f>
        <v>780000</v>
      </c>
      <c r="D51" s="79">
        <f>C51</f>
        <v>780000</v>
      </c>
      <c r="E51" s="79">
        <f>D51</f>
        <v>780000</v>
      </c>
      <c r="F51" s="79">
        <f>E51</f>
        <v>780000</v>
      </c>
      <c r="G51" s="292" t="s">
        <v>484</v>
      </c>
    </row>
    <row r="52" spans="1:7" x14ac:dyDescent="0.2">
      <c r="A52" s="24" t="s">
        <v>123</v>
      </c>
      <c r="B52" s="60">
        <f>0.05*'E-Inv AF y Am'!D56</f>
        <v>113994.33698333334</v>
      </c>
      <c r="C52" s="60">
        <f>B52</f>
        <v>113994.33698333334</v>
      </c>
      <c r="D52" s="60">
        <f>C52</f>
        <v>113994.33698333334</v>
      </c>
      <c r="E52" s="60">
        <f>0.05*'E-Inv AF y Am'!E56</f>
        <v>109361.00365</v>
      </c>
      <c r="F52" s="42">
        <f>E52</f>
        <v>109361.00365</v>
      </c>
    </row>
    <row r="53" spans="1:7" x14ac:dyDescent="0.2">
      <c r="A53" s="24" t="s">
        <v>100</v>
      </c>
      <c r="B53" s="60">
        <f>0.9*C53</f>
        <v>143114.01482520279</v>
      </c>
      <c r="C53" s="60">
        <f>0.05*'E-Costos'!$F$20*0.015+0.01*'E-Costos'!C42</f>
        <v>159015.57202800308</v>
      </c>
      <c r="D53" s="60">
        <f>0.05*'E-Costos'!$F$20*0.015+0.01*'E-Costos'!D42</f>
        <v>159069.18983661331</v>
      </c>
      <c r="E53" s="60">
        <f>0.05*'E-Costos'!$F$20*0.015+0.01*'E-Costos'!E42</f>
        <v>158096.06898033101</v>
      </c>
      <c r="F53" s="60">
        <f>0.05*'E-Costos'!$F$20*0.015+0.01*'E-Costos'!F42</f>
        <v>158105.45650328</v>
      </c>
    </row>
    <row r="54" spans="1:7" x14ac:dyDescent="0.2">
      <c r="A54" s="24" t="s">
        <v>124</v>
      </c>
      <c r="B54" s="60">
        <f>B30*(1300/9222)</f>
        <v>96.118773787122507</v>
      </c>
      <c r="C54" s="60">
        <f>C30*(1300/9222)</f>
        <v>101.17765661802369</v>
      </c>
      <c r="D54" s="60">
        <f>D30*(1300/9222)</f>
        <v>101.17765661802369</v>
      </c>
      <c r="E54" s="60">
        <f>E30*(1300/9222)</f>
        <v>101.17765661802369</v>
      </c>
      <c r="F54" s="60">
        <f>F30*(1300/9222)</f>
        <v>101.17765661802369</v>
      </c>
    </row>
    <row r="55" spans="1:7" x14ac:dyDescent="0.2">
      <c r="A55" s="24" t="s">
        <v>125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</row>
    <row r="56" spans="1:7" x14ac:dyDescent="0.2">
      <c r="A56" s="24" t="s">
        <v>126</v>
      </c>
      <c r="B56" s="307">
        <v>50000</v>
      </c>
      <c r="C56" s="307">
        <v>50000</v>
      </c>
      <c r="D56" s="307">
        <v>50000</v>
      </c>
      <c r="E56" s="307">
        <v>50000</v>
      </c>
      <c r="F56" s="307">
        <v>50000</v>
      </c>
    </row>
    <row r="57" spans="1:7" x14ac:dyDescent="0.2">
      <c r="A57" s="24" t="s">
        <v>103</v>
      </c>
      <c r="B57" s="60">
        <f>0.05*0.008*(SUM('E-Inv AF y Am'!B7,'E-Inv AF y Am'!B8)+SUM('E-Inv AF y Am'!B7,'E-Inv AF y Am'!B8)*0.01*0.05)</f>
        <v>9078.9372000000003</v>
      </c>
      <c r="C57" s="60">
        <f>B57</f>
        <v>9078.9372000000003</v>
      </c>
      <c r="D57" s="60">
        <f>C57</f>
        <v>9078.9372000000003</v>
      </c>
      <c r="E57" s="60">
        <f>D57</f>
        <v>9078.9372000000003</v>
      </c>
      <c r="F57" s="60">
        <f>E57</f>
        <v>9078.9372000000003</v>
      </c>
    </row>
    <row r="58" spans="1:7" x14ac:dyDescent="0.2">
      <c r="A58" s="24" t="s">
        <v>15</v>
      </c>
      <c r="B58" s="60">
        <f>InfoInicial!$B$15*SUM('E-Costos'!B51:B57)</f>
        <v>40731.336311292936</v>
      </c>
      <c r="C58" s="60">
        <f>InfoInicial!$B$15*SUM('E-Costos'!C51:C57)</f>
        <v>44487.600954718182</v>
      </c>
      <c r="D58" s="60">
        <f>InfoInicial!$B$15*SUM('E-Costos'!D51:D57)</f>
        <v>44489.745667062591</v>
      </c>
      <c r="E58" s="60">
        <f>InfoInicial!$B$15*SUM('E-Costos'!E51:E57)</f>
        <v>44265.48749947796</v>
      </c>
      <c r="F58" s="60">
        <f>InfoInicial!$B$15*SUM('E-Costos'!F51:F57)</f>
        <v>44265.863000395926</v>
      </c>
    </row>
    <row r="59" spans="1:7" x14ac:dyDescent="0.2">
      <c r="A59" s="24"/>
      <c r="B59" s="44"/>
      <c r="C59" s="44"/>
      <c r="D59" s="44"/>
      <c r="E59" s="44"/>
      <c r="F59" s="47"/>
    </row>
    <row r="60" spans="1:7" x14ac:dyDescent="0.2">
      <c r="A60" s="22" t="s">
        <v>127</v>
      </c>
      <c r="B60" s="60">
        <f>SUM(B51:B58)</f>
        <v>1059014.7440936163</v>
      </c>
      <c r="C60" s="60">
        <f>SUM(C51:C58)</f>
        <v>1156677.6248226727</v>
      </c>
      <c r="D60" s="60">
        <f>SUM(D51:D58)</f>
        <v>1156733.3873436274</v>
      </c>
      <c r="E60" s="60">
        <f>SUM(E51:E58)</f>
        <v>1150902.674986427</v>
      </c>
      <c r="F60" s="60">
        <f>SUM(F51:F58)</f>
        <v>1150912.438010294</v>
      </c>
    </row>
    <row r="61" spans="1:7" x14ac:dyDescent="0.2">
      <c r="A61" s="22"/>
      <c r="B61" s="81"/>
      <c r="C61" s="81"/>
      <c r="D61" s="81"/>
      <c r="E61" s="81"/>
      <c r="F61" s="82"/>
      <c r="G61" s="71"/>
    </row>
    <row r="62" spans="1:7" x14ac:dyDescent="0.2">
      <c r="A62" s="64" t="s">
        <v>105</v>
      </c>
      <c r="B62" s="248">
        <f>SUM(B51,B52,B53,B54,B55:B56,B57,B58)/B60</f>
        <v>1</v>
      </c>
      <c r="C62" s="248">
        <f>SUM(C51,C52,C53,C54,C55:C56,C57,C58)/C60</f>
        <v>1</v>
      </c>
      <c r="D62" s="248">
        <f>SUM(D51,D52,D53,D54,D55:D56,D57,D58)/D60</f>
        <v>1</v>
      </c>
      <c r="E62" s="248">
        <f>SUM(E51,E52,E53,E54,E55:E56,E57,E58)/E60</f>
        <v>1</v>
      </c>
      <c r="F62" s="248">
        <f>SUM(F51,F52,F53,F54,F55:F56,F57,F58)/F60</f>
        <v>1</v>
      </c>
      <c r="G62" s="71"/>
    </row>
    <row r="63" spans="1:7" x14ac:dyDescent="0.2">
      <c r="A63" s="32" t="s">
        <v>106</v>
      </c>
      <c r="B63" s="266">
        <v>0</v>
      </c>
      <c r="C63" s="266">
        <v>0</v>
      </c>
      <c r="D63" s="266">
        <v>0</v>
      </c>
      <c r="E63" s="266">
        <v>0</v>
      </c>
      <c r="F63" s="266">
        <v>0</v>
      </c>
      <c r="G63" s="71"/>
    </row>
    <row r="66" spans="1:7" x14ac:dyDescent="0.2">
      <c r="A66" s="30"/>
      <c r="B66" s="262" t="s">
        <v>128</v>
      </c>
      <c r="C66" s="262"/>
      <c r="D66" s="262"/>
      <c r="E66" s="262"/>
      <c r="F66" s="263"/>
    </row>
    <row r="67" spans="1:7" x14ac:dyDescent="0.2">
      <c r="A67" s="78" t="s">
        <v>90</v>
      </c>
      <c r="B67" s="18" t="s">
        <v>50</v>
      </c>
      <c r="C67" s="18" t="s">
        <v>91</v>
      </c>
      <c r="D67" s="18" t="s">
        <v>92</v>
      </c>
      <c r="E67" s="18" t="s">
        <v>93</v>
      </c>
      <c r="F67" s="19" t="s">
        <v>94</v>
      </c>
    </row>
    <row r="68" spans="1:7" x14ac:dyDescent="0.2">
      <c r="A68" s="20" t="s">
        <v>122</v>
      </c>
      <c r="B68" s="58">
        <f>SUM(Salarios!C1,Salarios!C7)*0.9</f>
        <v>1080000</v>
      </c>
      <c r="C68" s="58">
        <f>SUM(Salarios!$C$1,Salarios!$C$7)</f>
        <v>1200000</v>
      </c>
      <c r="D68" s="58">
        <f>SUM(Salarios!$C$1,Salarios!$C$7)</f>
        <v>1200000</v>
      </c>
      <c r="E68" s="58">
        <f>SUM(Salarios!$C$1,Salarios!$C$7)</f>
        <v>1200000</v>
      </c>
      <c r="F68" s="58">
        <f>SUM(Salarios!$C$1,Salarios!$C$7)</f>
        <v>1200000</v>
      </c>
      <c r="G68" s="292" t="s">
        <v>484</v>
      </c>
    </row>
    <row r="69" spans="1:7" x14ac:dyDescent="0.2">
      <c r="A69" s="24" t="s">
        <v>123</v>
      </c>
      <c r="B69" s="60">
        <f>B52</f>
        <v>113994.33698333334</v>
      </c>
      <c r="C69" s="60">
        <f>C52</f>
        <v>113994.33698333334</v>
      </c>
      <c r="D69" s="60">
        <f>D52</f>
        <v>113994.33698333334</v>
      </c>
      <c r="E69" s="60">
        <f>E52</f>
        <v>109361.00365</v>
      </c>
      <c r="F69" s="60">
        <f>F52</f>
        <v>109361.00365</v>
      </c>
    </row>
    <row r="70" spans="1:7" x14ac:dyDescent="0.2">
      <c r="A70" s="24" t="s">
        <v>100</v>
      </c>
      <c r="B70" s="60">
        <f>0.05*0.015*'E-Inv AF y Am'!$F$20+0.01*B42</f>
        <v>168719.66993379226</v>
      </c>
      <c r="C70" s="60">
        <f>0.05*0.015*'E-Inv AF y Am'!$F$20+0.01*C42</f>
        <v>182613.85190175308</v>
      </c>
      <c r="D70" s="60">
        <f>0.05*0.015*'E-Inv AF y Am'!$F$20+0.01*D42</f>
        <v>182667.46971036331</v>
      </c>
      <c r="E70" s="60">
        <f>0.05*0.015*'E-Inv AF y Am'!$F$20+0.01*E42</f>
        <v>181694.34885408101</v>
      </c>
      <c r="F70" s="60">
        <f>0.05*0.015*'E-Inv AF y Am'!$F$20+0.01*F42</f>
        <v>181703.73637703</v>
      </c>
    </row>
    <row r="71" spans="1:7" x14ac:dyDescent="0.2">
      <c r="A71" s="24" t="s">
        <v>129</v>
      </c>
      <c r="B71" s="60">
        <f>B54</f>
        <v>96.118773787122507</v>
      </c>
      <c r="C71" s="60">
        <f>C54</f>
        <v>101.17765661802369</v>
      </c>
      <c r="D71" s="60">
        <f>D54</f>
        <v>101.17765661802369</v>
      </c>
      <c r="E71" s="60">
        <f>E54</f>
        <v>101.17765661802369</v>
      </c>
      <c r="F71" s="60">
        <f>F54</f>
        <v>101.17765661802369</v>
      </c>
    </row>
    <row r="72" spans="1:7" x14ac:dyDescent="0.2">
      <c r="A72" s="24" t="s">
        <v>125</v>
      </c>
      <c r="B72" s="60">
        <v>0</v>
      </c>
      <c r="C72" s="60">
        <v>0</v>
      </c>
      <c r="D72" s="60">
        <v>0</v>
      </c>
      <c r="E72" s="60">
        <v>0</v>
      </c>
      <c r="F72" s="60">
        <v>0</v>
      </c>
    </row>
    <row r="73" spans="1:7" x14ac:dyDescent="0.2">
      <c r="A73" s="24" t="s">
        <v>126</v>
      </c>
      <c r="B73" s="60">
        <f>15000*12+0.002*B42</f>
        <v>209024.27801200846</v>
      </c>
      <c r="C73" s="60">
        <f>15000*12+0.002*C42</f>
        <v>211803.11440560062</v>
      </c>
      <c r="D73" s="60">
        <f>15000*12+0.002*D42</f>
        <v>211813.83796732267</v>
      </c>
      <c r="E73" s="60">
        <f>15000*12+0.002*E42</f>
        <v>211619.21379606621</v>
      </c>
      <c r="F73" s="60">
        <f>15000*12+0.002*F42</f>
        <v>211621.091300656</v>
      </c>
    </row>
    <row r="74" spans="1:7" x14ac:dyDescent="0.2">
      <c r="A74" s="24" t="s">
        <v>103</v>
      </c>
      <c r="B74" s="60">
        <f>0.05*0.008*SUM('E-Inv AF y Am'!B7,'E-Inv AF y Am'!B8)+0.01*0.05*SUM('E-Inv AF y Am'!B7,'E-Inv AF y Am'!B8)+'Cuadro resumen'!F3*InfoInicial!B20*0.0275</f>
        <v>537455.66086956521</v>
      </c>
      <c r="C74" s="60">
        <f>0.05*0.008*SUM('E-Inv AF y Am'!B7,'E-Inv AF y Am'!B8)+0.01*0.05*SUM('E-Inv AF y Am'!B7,'E-Inv AF y Am'!B8)+'Cuadro resumen'!G3*InfoInicial!B20*0.0275</f>
        <v>614417.4</v>
      </c>
      <c r="D74" s="60">
        <f>C74</f>
        <v>614417.4</v>
      </c>
      <c r="E74" s="60">
        <f>D74</f>
        <v>614417.4</v>
      </c>
      <c r="F74" s="60">
        <f>E74</f>
        <v>614417.4</v>
      </c>
    </row>
    <row r="75" spans="1:7" x14ac:dyDescent="0.2">
      <c r="A75" s="24" t="s">
        <v>15</v>
      </c>
      <c r="B75" s="60">
        <f>InfoInicial!$B$15*SUM(B68:B74)</f>
        <v>84371.602582899446</v>
      </c>
      <c r="C75" s="60">
        <f>InfoInicial!$B$15*SUM(C68:C74)</f>
        <v>92917.1952378922</v>
      </c>
      <c r="D75" s="60">
        <f>InfoInicial!$B$15*SUM(D68:D74)</f>
        <v>92919.768892705499</v>
      </c>
      <c r="E75" s="60">
        <f>InfoInicial!$B$15*SUM(E68:E74)</f>
        <v>92687.725758270608</v>
      </c>
      <c r="F75" s="60">
        <f>InfoInicial!$B$15*SUM(F68:F74)</f>
        <v>92688.176359372155</v>
      </c>
    </row>
    <row r="76" spans="1:7" x14ac:dyDescent="0.2">
      <c r="A76" s="24"/>
      <c r="B76" s="44"/>
      <c r="C76" s="44"/>
      <c r="D76" s="44"/>
      <c r="E76" s="44"/>
      <c r="F76" s="47"/>
    </row>
    <row r="77" spans="1:7" x14ac:dyDescent="0.2">
      <c r="A77" s="22" t="s">
        <v>130</v>
      </c>
      <c r="B77" s="60">
        <f>SUM(B68:B75)</f>
        <v>2193661.6671553855</v>
      </c>
      <c r="C77" s="60">
        <f>SUM(C68:C75)</f>
        <v>2415847.0761851971</v>
      </c>
      <c r="D77" s="60">
        <f>SUM(D68:D75)</f>
        <v>2415913.9912103429</v>
      </c>
      <c r="E77" s="60">
        <f>SUM(E68:E75)</f>
        <v>2409880.8697150359</v>
      </c>
      <c r="F77" s="60">
        <f>SUM(F68:F75)</f>
        <v>2409892.5853436762</v>
      </c>
    </row>
    <row r="78" spans="1:7" x14ac:dyDescent="0.2">
      <c r="A78" s="22"/>
      <c r="B78" s="81"/>
      <c r="C78" s="81"/>
      <c r="D78" s="81"/>
      <c r="E78" s="81"/>
      <c r="F78" s="82"/>
    </row>
    <row r="79" spans="1:7" x14ac:dyDescent="0.2">
      <c r="A79" s="64" t="s">
        <v>105</v>
      </c>
      <c r="B79" s="83">
        <f>SUM(B69,B71,B72,B75)/B77</f>
        <v>9.0470678004495611E-2</v>
      </c>
      <c r="C79" s="83">
        <f>SUM(C69,C71,C72,C75)/C77</f>
        <v>8.5689492484239557E-2</v>
      </c>
      <c r="D79" s="83">
        <f>SUM(D69,D71,D72,D75)/D77</f>
        <v>8.5688184383147167E-2</v>
      </c>
      <c r="E79" s="83">
        <f>SUM(E69,E71,E72,E75)/E77</f>
        <v>8.3883776001256238E-2</v>
      </c>
      <c r="F79" s="83">
        <f>SUM(F69,F71,F72,F75)/F77</f>
        <v>8.3883555182257805E-2</v>
      </c>
    </row>
    <row r="80" spans="1:7" x14ac:dyDescent="0.2">
      <c r="A80" s="32" t="s">
        <v>106</v>
      </c>
      <c r="B80" s="76">
        <f>SUM(B68,B70,B73,B74)/B77</f>
        <v>0.90952932199550451</v>
      </c>
      <c r="C80" s="76">
        <f>SUM(C68,C70,C73,C74)/C77</f>
        <v>0.91431050751576048</v>
      </c>
      <c r="D80" s="76">
        <f>SUM(D68,D70,D73,D74)/D77</f>
        <v>0.91431181561685293</v>
      </c>
      <c r="E80" s="76">
        <f>SUM(E68,E70,E73,E74)/E77</f>
        <v>0.91611622399874382</v>
      </c>
      <c r="F80" s="76">
        <f>SUM(F68,F70,F73,F74)/F77</f>
        <v>0.91611644481774224</v>
      </c>
    </row>
    <row r="83" spans="1:6" ht="15.75" x14ac:dyDescent="0.25">
      <c r="A83" s="85" t="s">
        <v>131</v>
      </c>
      <c r="B83" s="86"/>
      <c r="C83" s="86"/>
      <c r="D83" s="86"/>
      <c r="E83" s="86"/>
      <c r="F83" s="87"/>
    </row>
    <row r="84" spans="1:6" x14ac:dyDescent="0.2">
      <c r="A84" s="24"/>
      <c r="B84" s="264" t="s">
        <v>50</v>
      </c>
      <c r="C84" s="264" t="s">
        <v>91</v>
      </c>
      <c r="D84" s="264" t="s">
        <v>92</v>
      </c>
      <c r="E84" s="264" t="s">
        <v>93</v>
      </c>
      <c r="F84" s="19" t="s">
        <v>94</v>
      </c>
    </row>
    <row r="85" spans="1:6" x14ac:dyDescent="0.2">
      <c r="A85" s="24" t="s">
        <v>132</v>
      </c>
      <c r="B85" s="88">
        <f>'Cuadro resumen'!F3</f>
        <v>20890.434782608696</v>
      </c>
      <c r="C85" s="88">
        <f>'Cuadro resumen'!G3</f>
        <v>24000</v>
      </c>
      <c r="D85" s="88">
        <f>C85</f>
        <v>24000</v>
      </c>
      <c r="E85" s="88">
        <f>D85</f>
        <v>24000</v>
      </c>
      <c r="F85" s="88">
        <f>E85</f>
        <v>24000</v>
      </c>
    </row>
    <row r="86" spans="1:6" x14ac:dyDescent="0.2">
      <c r="A86" s="24" t="s">
        <v>133</v>
      </c>
      <c r="B86" s="60">
        <f>InfoInicial!$B$20</f>
        <v>900</v>
      </c>
      <c r="C86" s="60">
        <f>InfoInicial!$B$20</f>
        <v>900</v>
      </c>
      <c r="D86" s="60">
        <f>InfoInicial!$B$20</f>
        <v>900</v>
      </c>
      <c r="E86" s="60">
        <f>InfoInicial!$B$20</f>
        <v>900</v>
      </c>
      <c r="F86" s="60">
        <f>InfoInicial!$B$20</f>
        <v>900</v>
      </c>
    </row>
    <row r="87" spans="1:6" x14ac:dyDescent="0.2">
      <c r="A87" s="22" t="s">
        <v>134</v>
      </c>
      <c r="B87" s="60">
        <f>B85*B86</f>
        <v>18801391.304347828</v>
      </c>
      <c r="C87" s="60">
        <f>C85*C86</f>
        <v>21600000</v>
      </c>
      <c r="D87" s="60">
        <f>D85*D86</f>
        <v>21600000</v>
      </c>
      <c r="E87" s="60">
        <f>E85*E86</f>
        <v>21600000</v>
      </c>
      <c r="F87" s="60">
        <f>F85*F86</f>
        <v>21600000</v>
      </c>
    </row>
    <row r="88" spans="1:6" x14ac:dyDescent="0.2">
      <c r="A88" s="24"/>
      <c r="B88" s="81"/>
      <c r="C88" s="81"/>
      <c r="D88" s="81"/>
      <c r="E88" s="81"/>
      <c r="F88" s="82"/>
    </row>
    <row r="89" spans="1:6" x14ac:dyDescent="0.2">
      <c r="A89" s="24" t="s">
        <v>135</v>
      </c>
      <c r="B89" s="60">
        <f t="shared" ref="B89:F90" si="1">B7</f>
        <v>9120829.5652173925</v>
      </c>
      <c r="C89" s="60">
        <f t="shared" si="1"/>
        <v>10255309</v>
      </c>
      <c r="D89" s="60">
        <f t="shared" si="1"/>
        <v>10255309</v>
      </c>
      <c r="E89" s="60">
        <f t="shared" si="1"/>
        <v>10255309</v>
      </c>
      <c r="F89" s="60">
        <f t="shared" si="1"/>
        <v>10255309</v>
      </c>
    </row>
    <row r="90" spans="1:6" x14ac:dyDescent="0.2">
      <c r="A90" s="24" t="s">
        <v>96</v>
      </c>
      <c r="B90" s="60">
        <f t="shared" si="1"/>
        <v>513000</v>
      </c>
      <c r="C90" s="60">
        <f t="shared" si="1"/>
        <v>540000</v>
      </c>
      <c r="D90" s="60">
        <f t="shared" si="1"/>
        <v>540000</v>
      </c>
      <c r="E90" s="60">
        <f t="shared" si="1"/>
        <v>540000</v>
      </c>
      <c r="F90" s="60">
        <f t="shared" si="1"/>
        <v>540000</v>
      </c>
    </row>
    <row r="91" spans="1:6" x14ac:dyDescent="0.2">
      <c r="A91" s="24" t="s">
        <v>136</v>
      </c>
      <c r="B91" s="60">
        <f>B17-SUM(B7,B8)</f>
        <v>5038975.7068298869</v>
      </c>
      <c r="C91" s="60">
        <f>C17-SUM(C7,C8)</f>
        <v>5111609.9836613312</v>
      </c>
      <c r="D91" s="60">
        <f>D17-SUM(D7,D8)</f>
        <v>5111609.9836613312</v>
      </c>
      <c r="E91" s="60">
        <f>E17-SUM(E7,E8)</f>
        <v>5015236.6503279991</v>
      </c>
      <c r="F91" s="60">
        <f>F17-SUM(F7,F8)</f>
        <v>5015236.6503279991</v>
      </c>
    </row>
    <row r="92" spans="1:6" x14ac:dyDescent="0.2">
      <c r="A92" s="24"/>
      <c r="B92" s="81"/>
      <c r="C92" s="81"/>
      <c r="D92" s="81"/>
      <c r="E92" s="81"/>
      <c r="F92" s="82"/>
    </row>
    <row r="93" spans="1:6" x14ac:dyDescent="0.2">
      <c r="A93" s="24" t="s">
        <v>137</v>
      </c>
      <c r="B93" s="90">
        <f>B17</f>
        <v>14672805.272047279</v>
      </c>
      <c r="C93" s="90">
        <f>C17</f>
        <v>15906918.983661331</v>
      </c>
      <c r="D93" s="90">
        <f>D17</f>
        <v>15906918.983661331</v>
      </c>
      <c r="E93" s="90">
        <f>E17</f>
        <v>15810545.650327999</v>
      </c>
      <c r="F93" s="90">
        <f>F17</f>
        <v>15810545.650327999</v>
      </c>
    </row>
    <row r="94" spans="1:6" x14ac:dyDescent="0.2">
      <c r="A94" s="24"/>
      <c r="B94" s="81"/>
      <c r="C94" s="81"/>
      <c r="D94" s="81"/>
      <c r="E94" s="81"/>
      <c r="F94" s="82"/>
    </row>
    <row r="95" spans="1:6" x14ac:dyDescent="0.2">
      <c r="A95" s="24" t="s">
        <v>116</v>
      </c>
      <c r="B95" s="81"/>
      <c r="C95" s="81"/>
      <c r="D95" s="81"/>
      <c r="E95" s="81"/>
      <c r="F95" s="82"/>
    </row>
    <row r="96" spans="1:6" x14ac:dyDescent="0.2">
      <c r="A96" s="26" t="s">
        <v>109</v>
      </c>
      <c r="B96" s="60">
        <f t="shared" ref="B96:F97" si="2">B40</f>
        <v>0</v>
      </c>
      <c r="C96" s="60">
        <f t="shared" si="2"/>
        <v>0</v>
      </c>
      <c r="D96" s="60">
        <f t="shared" si="2"/>
        <v>0</v>
      </c>
      <c r="E96" s="60">
        <f t="shared" si="2"/>
        <v>0</v>
      </c>
      <c r="F96" s="60">
        <f t="shared" si="2"/>
        <v>0</v>
      </c>
    </row>
    <row r="97" spans="1:6" x14ac:dyDescent="0.2">
      <c r="A97" s="26" t="s">
        <v>118</v>
      </c>
      <c r="B97" s="60">
        <f t="shared" si="2"/>
        <v>160666.26604305269</v>
      </c>
      <c r="C97" s="60">
        <f t="shared" si="2"/>
        <v>5361.7808610241627</v>
      </c>
      <c r="D97" s="60">
        <f t="shared" si="2"/>
        <v>0</v>
      </c>
      <c r="E97" s="60">
        <f t="shared" si="2"/>
        <v>938.75229490079801</v>
      </c>
      <c r="F97" s="60">
        <f t="shared" si="2"/>
        <v>0</v>
      </c>
    </row>
    <row r="98" spans="1:6" x14ac:dyDescent="0.2">
      <c r="A98" s="24"/>
      <c r="B98" s="81"/>
      <c r="C98" s="81"/>
      <c r="D98" s="81"/>
      <c r="E98" s="81"/>
      <c r="F98" s="82"/>
    </row>
    <row r="99" spans="1:6" x14ac:dyDescent="0.2">
      <c r="A99" s="22" t="s">
        <v>138</v>
      </c>
      <c r="B99" s="60">
        <f>B42</f>
        <v>14512139.006004227</v>
      </c>
      <c r="C99" s="60">
        <f>C42</f>
        <v>15901557.202800307</v>
      </c>
      <c r="D99" s="60">
        <f>D42</f>
        <v>15906918.983661331</v>
      </c>
      <c r="E99" s="60">
        <f>E42</f>
        <v>15809606.898033099</v>
      </c>
      <c r="F99" s="60">
        <f>F42</f>
        <v>15810545.650327999</v>
      </c>
    </row>
    <row r="100" spans="1:6" x14ac:dyDescent="0.2">
      <c r="A100" s="26" t="s">
        <v>139</v>
      </c>
      <c r="B100" s="249">
        <f>'Cuadro resumen'!F5</f>
        <v>21130.434782608696</v>
      </c>
      <c r="C100" s="249">
        <f>C85</f>
        <v>24000</v>
      </c>
      <c r="D100" s="249">
        <f>D85</f>
        <v>24000</v>
      </c>
      <c r="E100" s="249">
        <f>E85</f>
        <v>24000</v>
      </c>
      <c r="F100" s="249">
        <f>F85</f>
        <v>24000</v>
      </c>
    </row>
    <row r="101" spans="1:6" x14ac:dyDescent="0.2">
      <c r="A101" s="24" t="s">
        <v>140</v>
      </c>
      <c r="B101" s="60">
        <f>B99/B100</f>
        <v>686.7884714775663</v>
      </c>
      <c r="C101" s="60">
        <f>C99/C100</f>
        <v>662.56488345001276</v>
      </c>
      <c r="D101" s="60">
        <f>D99/D100</f>
        <v>662.78829098588881</v>
      </c>
      <c r="E101" s="60">
        <f>E99/E100</f>
        <v>658.73362075137914</v>
      </c>
      <c r="F101" s="60">
        <f>F99/F100</f>
        <v>658.77273543033334</v>
      </c>
    </row>
    <row r="102" spans="1:6" x14ac:dyDescent="0.2">
      <c r="A102" s="24"/>
      <c r="B102" s="92"/>
      <c r="C102" s="92"/>
      <c r="D102" s="92"/>
      <c r="E102" s="92"/>
      <c r="F102" s="93"/>
    </row>
    <row r="103" spans="1:6" x14ac:dyDescent="0.2">
      <c r="A103" s="24" t="s">
        <v>116</v>
      </c>
      <c r="B103" s="92"/>
      <c r="C103" s="92"/>
      <c r="D103" s="92"/>
      <c r="E103" s="92"/>
      <c r="F103" s="93"/>
    </row>
    <row r="104" spans="1:6" x14ac:dyDescent="0.2">
      <c r="A104" s="24" t="s">
        <v>141</v>
      </c>
      <c r="B104" s="270">
        <f>((InfoInicial!B19/50)/2)*B86</f>
        <v>216000</v>
      </c>
      <c r="C104" s="60">
        <v>0</v>
      </c>
      <c r="D104" s="60">
        <v>0</v>
      </c>
      <c r="E104" s="60">
        <v>0</v>
      </c>
      <c r="F104" s="60">
        <v>0</v>
      </c>
    </row>
    <row r="105" spans="1:6" x14ac:dyDescent="0.2">
      <c r="A105" s="24"/>
      <c r="B105" s="92"/>
      <c r="C105" s="92"/>
      <c r="D105" s="92"/>
      <c r="E105" s="92"/>
      <c r="F105" s="93"/>
    </row>
    <row r="106" spans="1:6" x14ac:dyDescent="0.2">
      <c r="A106" s="22" t="s">
        <v>142</v>
      </c>
      <c r="B106" s="60">
        <f>B99-B104</f>
        <v>14296139.006004227</v>
      </c>
      <c r="C106" s="60">
        <f>C99-C104</f>
        <v>15901557.202800307</v>
      </c>
      <c r="D106" s="60">
        <f>D99-D104</f>
        <v>15906918.983661331</v>
      </c>
      <c r="E106" s="60">
        <f>E99-E104</f>
        <v>15809606.898033099</v>
      </c>
      <c r="F106" s="60">
        <f>F99-F104</f>
        <v>15810545.650327999</v>
      </c>
    </row>
    <row r="107" spans="1:6" x14ac:dyDescent="0.2">
      <c r="A107" s="24"/>
      <c r="B107" s="81"/>
      <c r="C107" s="81"/>
      <c r="D107" s="81"/>
      <c r="E107" s="81"/>
      <c r="F107" s="82"/>
    </row>
    <row r="108" spans="1:6" x14ac:dyDescent="0.2">
      <c r="A108" s="22" t="s">
        <v>143</v>
      </c>
      <c r="B108" s="60">
        <f>B60</f>
        <v>1059014.7440936163</v>
      </c>
      <c r="C108" s="60">
        <f>C60</f>
        <v>1156677.6248226727</v>
      </c>
      <c r="D108" s="60">
        <f>D60</f>
        <v>1156733.3873436274</v>
      </c>
      <c r="E108" s="60">
        <f>E60</f>
        <v>1150902.674986427</v>
      </c>
      <c r="F108" s="60">
        <f>F60</f>
        <v>1150912.438010294</v>
      </c>
    </row>
    <row r="109" spans="1:6" x14ac:dyDescent="0.2">
      <c r="A109" s="22" t="s">
        <v>144</v>
      </c>
      <c r="B109" s="90">
        <f>B77</f>
        <v>2193661.6671553855</v>
      </c>
      <c r="C109" s="90">
        <f>C77</f>
        <v>2415847.0761851971</v>
      </c>
      <c r="D109" s="90">
        <f>D77</f>
        <v>2415913.9912103429</v>
      </c>
      <c r="E109" s="90">
        <f>E77</f>
        <v>2409880.8697150359</v>
      </c>
      <c r="F109" s="90">
        <f>F77</f>
        <v>2409892.5853436762</v>
      </c>
    </row>
    <row r="110" spans="1:6" x14ac:dyDescent="0.2">
      <c r="A110" s="24"/>
      <c r="B110" s="92"/>
      <c r="C110" s="92"/>
      <c r="D110" s="92"/>
      <c r="E110" s="92"/>
      <c r="F110" s="93"/>
    </row>
    <row r="111" spans="1:6" x14ac:dyDescent="0.2">
      <c r="A111" s="22" t="s">
        <v>145</v>
      </c>
      <c r="B111" s="90">
        <f>B106+(B108+B109)</f>
        <v>17548815.41725323</v>
      </c>
      <c r="C111" s="90">
        <f t="shared" ref="C111:F111" si="3">C106+(C108+C109)</f>
        <v>19474081.903808177</v>
      </c>
      <c r="D111" s="90">
        <f t="shared" si="3"/>
        <v>19479566.362215303</v>
      </c>
      <c r="E111" s="90">
        <f t="shared" si="3"/>
        <v>19370390.442734562</v>
      </c>
      <c r="F111" s="90">
        <f t="shared" si="3"/>
        <v>19371350.673681971</v>
      </c>
    </row>
    <row r="112" spans="1:6" x14ac:dyDescent="0.2">
      <c r="A112" s="24"/>
      <c r="B112" s="92"/>
      <c r="C112" s="92"/>
      <c r="D112" s="92"/>
      <c r="E112" s="92"/>
      <c r="F112" s="93"/>
    </row>
    <row r="113" spans="1:6" x14ac:dyDescent="0.2">
      <c r="A113" s="22" t="s">
        <v>146</v>
      </c>
      <c r="B113" s="90">
        <f>B111/B85</f>
        <v>840.04069804533856</v>
      </c>
      <c r="C113" s="90">
        <f>C111/C85</f>
        <v>811.42007932534068</v>
      </c>
      <c r="D113" s="90">
        <f>D111/D85</f>
        <v>811.6485984256376</v>
      </c>
      <c r="E113" s="90">
        <f>E111/E85</f>
        <v>807.09960178060669</v>
      </c>
      <c r="F113" s="90">
        <f>F111/F85</f>
        <v>807.13961140341542</v>
      </c>
    </row>
    <row r="114" spans="1:6" x14ac:dyDescent="0.2">
      <c r="A114" s="24"/>
      <c r="B114" s="92"/>
      <c r="C114" s="92"/>
      <c r="D114" s="92"/>
      <c r="E114" s="92"/>
      <c r="F114" s="93"/>
    </row>
    <row r="115" spans="1:6" x14ac:dyDescent="0.2">
      <c r="A115" s="22" t="s">
        <v>147</v>
      </c>
      <c r="B115" s="90">
        <f>B87-B111</f>
        <v>1252575.8870945983</v>
      </c>
      <c r="C115" s="90">
        <f>C87-C111</f>
        <v>2125918.0961918235</v>
      </c>
      <c r="D115" s="90">
        <f>D87-D111</f>
        <v>2120433.6377846971</v>
      </c>
      <c r="E115" s="90">
        <f>E87-E111</f>
        <v>2229609.5572654381</v>
      </c>
      <c r="F115" s="90">
        <f>F87-F111</f>
        <v>2228649.3263180293</v>
      </c>
    </row>
    <row r="116" spans="1:6" x14ac:dyDescent="0.2">
      <c r="A116" s="22" t="s">
        <v>3</v>
      </c>
      <c r="B116" s="90">
        <f>InfoInicial!$B$5*B115</f>
        <v>37577.276612837944</v>
      </c>
      <c r="C116" s="90">
        <f>InfoInicial!$B$5*C115</f>
        <v>63777.542885754701</v>
      </c>
      <c r="D116" s="90">
        <f>InfoInicial!$B$5*D115</f>
        <v>63613.009133540909</v>
      </c>
      <c r="E116" s="90">
        <f>InfoInicial!$B$5*E115</f>
        <v>66888.286717963143</v>
      </c>
      <c r="F116" s="90">
        <f>InfoInicial!$B$5*F115</f>
        <v>66859.47978954087</v>
      </c>
    </row>
    <row r="117" spans="1:6" x14ac:dyDescent="0.2">
      <c r="A117" s="43" t="s">
        <v>148</v>
      </c>
      <c r="B117" s="90">
        <f>(B115-B116)*InfoInicial!$B$4</f>
        <v>425249.51366861607</v>
      </c>
      <c r="C117" s="90">
        <f>(C115-C116)*InfoInicial!$B$4</f>
        <v>721749.19365712407</v>
      </c>
      <c r="D117" s="90">
        <f>(D115-D116)*InfoInicial!$B$4</f>
        <v>719887.22002790461</v>
      </c>
      <c r="E117" s="90">
        <f>(E115-E116)*InfoInicial!$B$4</f>
        <v>756952.44469161623</v>
      </c>
      <c r="F117" s="90">
        <f>(F115-F116)*InfoInicial!$B$4</f>
        <v>756626.44628497085</v>
      </c>
    </row>
    <row r="118" spans="1:6" x14ac:dyDescent="0.2">
      <c r="A118" s="22"/>
      <c r="B118" s="92"/>
      <c r="C118" s="92"/>
      <c r="D118" s="92"/>
      <c r="E118" s="92"/>
      <c r="F118" s="93"/>
    </row>
    <row r="119" spans="1:6" x14ac:dyDescent="0.2">
      <c r="A119" s="43" t="s">
        <v>149</v>
      </c>
      <c r="B119" s="90">
        <f>B115-B116-B117</f>
        <v>789749.09681314416</v>
      </c>
      <c r="C119" s="90">
        <f>C115-C116-C117</f>
        <v>1340391.3596489448</v>
      </c>
      <c r="D119" s="90">
        <f>D115-D116-D117</f>
        <v>1336933.4086232516</v>
      </c>
      <c r="E119" s="90">
        <f>E115-E116-E117</f>
        <v>1405768.8258558591</v>
      </c>
      <c r="F119" s="90">
        <f>F115-F116-F117</f>
        <v>1405163.4002435175</v>
      </c>
    </row>
    <row r="120" spans="1:6" x14ac:dyDescent="0.2">
      <c r="A120" s="22" t="s">
        <v>150</v>
      </c>
      <c r="B120" s="94">
        <f>B119/B87</f>
        <v>4.2004822091571192E-2</v>
      </c>
      <c r="C120" s="94">
        <f>C119/C87</f>
        <v>6.2055155539302999E-2</v>
      </c>
      <c r="D120" s="94">
        <f>D119/D87</f>
        <v>6.1895065214039424E-2</v>
      </c>
      <c r="E120" s="94">
        <f>E119/E87</f>
        <v>6.50818900859194E-2</v>
      </c>
      <c r="F120" s="94">
        <f>F119/F87</f>
        <v>6.5053861122385065E-2</v>
      </c>
    </row>
    <row r="121" spans="1:6" x14ac:dyDescent="0.2">
      <c r="A121" s="22"/>
      <c r="B121" s="96"/>
      <c r="C121" s="96"/>
      <c r="D121" s="96"/>
      <c r="E121" s="96"/>
      <c r="F121" s="97"/>
    </row>
    <row r="122" spans="1:6" x14ac:dyDescent="0.2">
      <c r="A122" s="22" t="s">
        <v>151</v>
      </c>
      <c r="B122" s="94"/>
      <c r="C122" s="94"/>
      <c r="D122" s="94"/>
      <c r="E122" s="94"/>
      <c r="F122" s="95"/>
    </row>
    <row r="123" spans="1:6" x14ac:dyDescent="0.2">
      <c r="A123" s="43" t="s">
        <v>152</v>
      </c>
      <c r="B123" s="250">
        <f>B119</f>
        <v>789749.09681314416</v>
      </c>
      <c r="C123" s="250">
        <f>C119</f>
        <v>1340391.3596489448</v>
      </c>
      <c r="D123" s="250">
        <f>D119</f>
        <v>1336933.4086232516</v>
      </c>
      <c r="E123" s="250">
        <f>E119</f>
        <v>1405768.8258558591</v>
      </c>
      <c r="F123" s="250">
        <f>F119</f>
        <v>1405163.4002435175</v>
      </c>
    </row>
    <row r="124" spans="1:6" x14ac:dyDescent="0.2">
      <c r="A124" s="22" t="s">
        <v>153</v>
      </c>
      <c r="B124" s="251">
        <f>SUM(B10,B52,B69)</f>
        <v>1253937.4063333333</v>
      </c>
      <c r="C124" s="251">
        <f>SUM(C10,C52,C69)</f>
        <v>1253937.4063333333</v>
      </c>
      <c r="D124" s="251">
        <f>SUM(D10,D52,D69)</f>
        <v>1253937.4063333333</v>
      </c>
      <c r="E124" s="251">
        <f>SUM(E10,E52,E69)</f>
        <v>1152004.0730000001</v>
      </c>
      <c r="F124" s="251">
        <f>SUM(F10,F52,F69)</f>
        <v>1152004.0730000001</v>
      </c>
    </row>
    <row r="125" spans="1:6" x14ac:dyDescent="0.2">
      <c r="A125" s="32" t="s">
        <v>154</v>
      </c>
      <c r="B125" s="252">
        <f>B123+B124</f>
        <v>2043686.5031464775</v>
      </c>
      <c r="C125" s="252">
        <f>C123+C124</f>
        <v>2594328.7659822782</v>
      </c>
      <c r="D125" s="252">
        <f>D123+D124</f>
        <v>2590870.8149565849</v>
      </c>
      <c r="E125" s="252">
        <f>E123+E124</f>
        <v>2557772.8988558594</v>
      </c>
      <c r="F125" s="252">
        <f>F123+F124</f>
        <v>2557167.4732435178</v>
      </c>
    </row>
    <row r="126" spans="1:6" x14ac:dyDescent="0.2">
      <c r="A126" s="22"/>
      <c r="B126" s="27"/>
      <c r="C126" s="27"/>
      <c r="D126" s="27"/>
      <c r="E126" s="27"/>
      <c r="F126" s="98"/>
    </row>
    <row r="127" spans="1:6" x14ac:dyDescent="0.2">
      <c r="A127" s="22" t="s">
        <v>155</v>
      </c>
      <c r="B127" s="25">
        <f>B17*B18</f>
        <v>4230891.9323666664</v>
      </c>
      <c r="C127" s="25">
        <f t="shared" ref="C127:F127" si="4">C17*C18</f>
        <v>4230891.9323666664</v>
      </c>
      <c r="D127" s="25">
        <f t="shared" si="4"/>
        <v>4230891.9323666664</v>
      </c>
      <c r="E127" s="25">
        <f t="shared" si="4"/>
        <v>4138225.2657000003</v>
      </c>
      <c r="F127" s="25">
        <f t="shared" si="4"/>
        <v>4138225.2657000003</v>
      </c>
    </row>
    <row r="128" spans="1:6" x14ac:dyDescent="0.2">
      <c r="A128" s="43" t="s">
        <v>156</v>
      </c>
      <c r="B128" s="25">
        <f>B17*B19</f>
        <v>10441913.339680614</v>
      </c>
      <c r="C128" s="25">
        <f t="shared" ref="C128:F128" si="5">C17*C19</f>
        <v>11676027.051294666</v>
      </c>
      <c r="D128" s="25">
        <f t="shared" si="5"/>
        <v>11676027.051294666</v>
      </c>
      <c r="E128" s="25">
        <f t="shared" si="5"/>
        <v>11672320.384628</v>
      </c>
      <c r="F128" s="25">
        <f t="shared" si="5"/>
        <v>11672320.384628</v>
      </c>
    </row>
    <row r="129" spans="1:6" x14ac:dyDescent="0.2">
      <c r="A129" s="22" t="s">
        <v>157</v>
      </c>
      <c r="B129" s="25">
        <f>B60*B62</f>
        <v>1059014.7440936163</v>
      </c>
      <c r="C129" s="25">
        <f t="shared" ref="C129:F129" si="6">C60*C62</f>
        <v>1156677.6248226727</v>
      </c>
      <c r="D129" s="25">
        <f t="shared" si="6"/>
        <v>1156733.3873436274</v>
      </c>
      <c r="E129" s="25">
        <f t="shared" si="6"/>
        <v>1150902.674986427</v>
      </c>
      <c r="F129" s="25">
        <f t="shared" si="6"/>
        <v>1150912.438010294</v>
      </c>
    </row>
    <row r="130" spans="1:6" x14ac:dyDescent="0.2">
      <c r="A130" s="43" t="s">
        <v>158</v>
      </c>
      <c r="B130" s="25">
        <f>B60*B63</f>
        <v>0</v>
      </c>
      <c r="C130" s="25">
        <f t="shared" ref="C130:F130" si="7">C60*C63</f>
        <v>0</v>
      </c>
      <c r="D130" s="25">
        <f t="shared" si="7"/>
        <v>0</v>
      </c>
      <c r="E130" s="25">
        <f t="shared" si="7"/>
        <v>0</v>
      </c>
      <c r="F130" s="25">
        <f t="shared" si="7"/>
        <v>0</v>
      </c>
    </row>
    <row r="131" spans="1:6" x14ac:dyDescent="0.2">
      <c r="A131" s="22" t="s">
        <v>159</v>
      </c>
      <c r="B131" s="25">
        <f>B77*B79</f>
        <v>198462.0583400199</v>
      </c>
      <c r="C131" s="25">
        <f t="shared" ref="C131:F131" si="8">C77*C79</f>
        <v>207012.70987784356</v>
      </c>
      <c r="D131" s="25">
        <f t="shared" si="8"/>
        <v>207015.28353265685</v>
      </c>
      <c r="E131" s="25">
        <f t="shared" si="8"/>
        <v>202149.90706488863</v>
      </c>
      <c r="F131" s="25">
        <f t="shared" si="8"/>
        <v>202150.35766599019</v>
      </c>
    </row>
    <row r="132" spans="1:6" x14ac:dyDescent="0.2">
      <c r="A132" s="43" t="s">
        <v>160</v>
      </c>
      <c r="B132" s="25">
        <f>B77*B80</f>
        <v>1995199.6088153659</v>
      </c>
      <c r="C132" s="25">
        <f t="shared" ref="C132:F132" si="9">C77*C80</f>
        <v>2208834.3663073536</v>
      </c>
      <c r="D132" s="25">
        <f t="shared" si="9"/>
        <v>2208898.7076776861</v>
      </c>
      <c r="E132" s="25">
        <f t="shared" si="9"/>
        <v>2207730.9626501473</v>
      </c>
      <c r="F132" s="25">
        <f t="shared" si="9"/>
        <v>2207742.2276776861</v>
      </c>
    </row>
    <row r="133" spans="1:6" x14ac:dyDescent="0.2">
      <c r="A133" s="22" t="s">
        <v>161</v>
      </c>
      <c r="B133" s="25">
        <f>B87-B128-B130-B132</f>
        <v>6364278.3558518477</v>
      </c>
      <c r="C133" s="25">
        <f t="shared" ref="C133:F133" si="10">C87-C128-C130-C132</f>
        <v>7715138.5823979806</v>
      </c>
      <c r="D133" s="25">
        <f t="shared" si="10"/>
        <v>7715074.2410276476</v>
      </c>
      <c r="E133" s="25">
        <f t="shared" si="10"/>
        <v>7719948.652721853</v>
      </c>
      <c r="F133" s="25">
        <f t="shared" si="10"/>
        <v>7719937.3876943141</v>
      </c>
    </row>
    <row r="134" spans="1:6" x14ac:dyDescent="0.2">
      <c r="A134" s="32" t="s">
        <v>162</v>
      </c>
      <c r="B134" s="267">
        <f>((B127+B129+B131)/(B86-(B128+B130+B132)/B85))/B85</f>
        <v>0.86237094418628624</v>
      </c>
      <c r="C134" s="267">
        <f t="shared" ref="C134:F134" si="11">((C127+C129+C131)/(C86-(C128+C130+C132)/C85))/C85</f>
        <v>0.72514345754348097</v>
      </c>
      <c r="D134" s="267">
        <f t="shared" si="11"/>
        <v>0.72515706634311605</v>
      </c>
      <c r="E134" s="267">
        <f t="shared" si="11"/>
        <v>0.71131015176056056</v>
      </c>
      <c r="F134" s="267">
        <f t="shared" si="11"/>
        <v>0.71131251273222418</v>
      </c>
    </row>
    <row r="135" spans="1:6" ht="15.75" x14ac:dyDescent="0.25">
      <c r="A135" s="99" t="s">
        <v>163</v>
      </c>
    </row>
  </sheetData>
  <sheetProtection selectLockedCells="1" selectUnlockedCells="1"/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ignoredErrors>
    <ignoredError sqref="B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showGridLines="0" topLeftCell="A17" workbookViewId="0"/>
  </sheetViews>
  <sheetFormatPr defaultColWidth="11.42578125" defaultRowHeight="12.75" x14ac:dyDescent="0.2"/>
  <cols>
    <col min="1" max="1" width="11.42578125" customWidth="1"/>
    <col min="2" max="2" width="4.7109375" customWidth="1"/>
    <col min="5" max="6" width="13.7109375" bestFit="1" customWidth="1"/>
    <col min="11" max="11" width="5.28515625" customWidth="1"/>
  </cols>
  <sheetData>
    <row r="2" spans="2:14" x14ac:dyDescent="0.2">
      <c r="F2" s="275" t="s">
        <v>50</v>
      </c>
      <c r="G2" s="275" t="s">
        <v>94</v>
      </c>
    </row>
    <row r="3" spans="2:14" x14ac:dyDescent="0.2">
      <c r="B3" s="281" t="s">
        <v>155</v>
      </c>
      <c r="C3" s="281"/>
      <c r="D3" s="281"/>
      <c r="E3" s="281"/>
      <c r="F3" s="273">
        <f>'E-Costos'!B127</f>
        <v>4230891.9323666664</v>
      </c>
      <c r="G3" s="273">
        <f>'E-Costos'!F127</f>
        <v>4138225.2657000003</v>
      </c>
    </row>
    <row r="4" spans="2:14" x14ac:dyDescent="0.2">
      <c r="B4" s="281" t="s">
        <v>156</v>
      </c>
      <c r="C4" s="281"/>
      <c r="D4" s="281"/>
      <c r="E4" s="281"/>
      <c r="F4" s="273">
        <f>'E-Costos'!B128</f>
        <v>10441913.339680614</v>
      </c>
      <c r="G4" s="273">
        <f>'E-Costos'!F128</f>
        <v>11672320.384628</v>
      </c>
    </row>
    <row r="5" spans="2:14" x14ac:dyDescent="0.2">
      <c r="B5" s="281" t="s">
        <v>157</v>
      </c>
      <c r="C5" s="281"/>
      <c r="D5" s="281"/>
      <c r="E5" s="281"/>
      <c r="F5" s="273">
        <f>'E-Costos'!B129</f>
        <v>1059014.7440936163</v>
      </c>
      <c r="G5" s="273">
        <f>'E-Costos'!F129</f>
        <v>1150912.438010294</v>
      </c>
    </row>
    <row r="6" spans="2:14" x14ac:dyDescent="0.2">
      <c r="B6" s="281" t="s">
        <v>158</v>
      </c>
      <c r="C6" s="281"/>
      <c r="D6" s="281"/>
      <c r="E6" s="281"/>
      <c r="F6" s="273">
        <f>'E-Costos'!B130</f>
        <v>0</v>
      </c>
      <c r="G6" s="273">
        <f>'E-Costos'!F130</f>
        <v>0</v>
      </c>
    </row>
    <row r="7" spans="2:14" x14ac:dyDescent="0.2">
      <c r="B7" s="281" t="s">
        <v>159</v>
      </c>
      <c r="C7" s="281"/>
      <c r="D7" s="281"/>
      <c r="E7" s="281"/>
      <c r="F7" s="273">
        <f>'E-Costos'!B131</f>
        <v>198462.0583400199</v>
      </c>
      <c r="G7" s="273">
        <f>'E-Costos'!F131</f>
        <v>202150.35766599019</v>
      </c>
    </row>
    <row r="8" spans="2:14" x14ac:dyDescent="0.2">
      <c r="B8" s="281" t="s">
        <v>160</v>
      </c>
      <c r="C8" s="281"/>
      <c r="D8" s="281"/>
      <c r="E8" s="281"/>
      <c r="F8" s="273">
        <f>'E-Costos'!B132</f>
        <v>1995199.6088153659</v>
      </c>
      <c r="G8" s="273">
        <f>'E-Costos'!F132</f>
        <v>2207742.2276776861</v>
      </c>
    </row>
    <row r="9" spans="2:14" x14ac:dyDescent="0.2">
      <c r="B9" s="282" t="s">
        <v>469</v>
      </c>
      <c r="C9" s="282"/>
      <c r="D9" s="282"/>
      <c r="E9" s="282"/>
      <c r="F9" s="274">
        <f>'E-Costos'!B134</f>
        <v>0.86237094418628624</v>
      </c>
      <c r="G9" s="274">
        <f>'E-Costos'!F134</f>
        <v>0.71131251273222418</v>
      </c>
    </row>
    <row r="12" spans="2:14" x14ac:dyDescent="0.2">
      <c r="C12" s="277" t="s">
        <v>50</v>
      </c>
      <c r="L12" s="277" t="s">
        <v>94</v>
      </c>
    </row>
    <row r="13" spans="2:14" x14ac:dyDescent="0.2">
      <c r="D13" s="276">
        <v>0</v>
      </c>
      <c r="E13" s="276">
        <v>1</v>
      </c>
      <c r="M13" s="276">
        <v>0</v>
      </c>
      <c r="N13" s="276">
        <v>1</v>
      </c>
    </row>
    <row r="14" spans="2:14" x14ac:dyDescent="0.2">
      <c r="B14" s="283" t="s">
        <v>470</v>
      </c>
      <c r="C14" s="283"/>
      <c r="D14" s="273">
        <f>F3+F5+F7</f>
        <v>5488368.7348003024</v>
      </c>
      <c r="E14" s="273">
        <f>F3+F5+F7</f>
        <v>5488368.7348003024</v>
      </c>
      <c r="K14" s="284" t="s">
        <v>470</v>
      </c>
      <c r="L14" s="284"/>
      <c r="M14" s="273">
        <f>G3+G5+G7</f>
        <v>5491288.0613762848</v>
      </c>
      <c r="N14" s="273">
        <f>G3+G5+G7</f>
        <v>5491288.0613762848</v>
      </c>
    </row>
    <row r="15" spans="2:14" x14ac:dyDescent="0.2">
      <c r="B15" s="283" t="s">
        <v>471</v>
      </c>
      <c r="C15" s="283"/>
      <c r="D15" s="273">
        <f>F3+F5+F7</f>
        <v>5488368.7348003024</v>
      </c>
      <c r="E15" s="273">
        <f>SUM(F3:F8)</f>
        <v>17925481.683296282</v>
      </c>
      <c r="K15" s="284" t="s">
        <v>471</v>
      </c>
      <c r="L15" s="284"/>
      <c r="M15" s="273">
        <f>G3+G5+G7</f>
        <v>5491288.0613762848</v>
      </c>
      <c r="N15" s="273">
        <f>SUM(G3:G8)</f>
        <v>19371350.673681967</v>
      </c>
    </row>
    <row r="16" spans="2:14" x14ac:dyDescent="0.2">
      <c r="B16" s="284" t="s">
        <v>472</v>
      </c>
      <c r="C16" s="284"/>
      <c r="D16" s="273">
        <v>0</v>
      </c>
      <c r="E16" s="273">
        <f>'E-Costos'!B87</f>
        <v>18801391.304347828</v>
      </c>
      <c r="K16" s="284" t="s">
        <v>472</v>
      </c>
      <c r="L16" s="284"/>
      <c r="M16" s="273">
        <v>0</v>
      </c>
      <c r="N16" s="273">
        <f>'E-Costos'!F87</f>
        <v>21600000</v>
      </c>
    </row>
  </sheetData>
  <mergeCells count="13">
    <mergeCell ref="B9:E9"/>
    <mergeCell ref="B14:C14"/>
    <mergeCell ref="B15:C15"/>
    <mergeCell ref="B16:C16"/>
    <mergeCell ref="K14:L14"/>
    <mergeCell ref="K15:L15"/>
    <mergeCell ref="K16:L16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workbookViewId="0">
      <selection activeCell="I7" sqref="I7"/>
    </sheetView>
  </sheetViews>
  <sheetFormatPr defaultColWidth="11.42578125" defaultRowHeight="12.75" x14ac:dyDescent="0.2"/>
  <cols>
    <col min="1" max="1" width="45.5703125" style="15" customWidth="1"/>
    <col min="2" max="2" width="30" style="15" customWidth="1"/>
    <col min="3" max="3" width="21.42578125" style="15" customWidth="1"/>
    <col min="4" max="7" width="14.85546875" style="15" customWidth="1"/>
    <col min="8" max="8" width="17.42578125" style="15" customWidth="1"/>
    <col min="9" max="16384" width="11.42578125" style="15"/>
  </cols>
  <sheetData>
    <row r="1" spans="1:7" x14ac:dyDescent="0.2">
      <c r="A1" s="1" t="s">
        <v>0</v>
      </c>
      <c r="B1"/>
      <c r="C1"/>
      <c r="D1"/>
      <c r="E1" s="2">
        <f>InfoInicial!E1</f>
        <v>0</v>
      </c>
    </row>
    <row r="2" spans="1:7" x14ac:dyDescent="0.2">
      <c r="A2" s="1"/>
      <c r="B2"/>
      <c r="C2"/>
      <c r="D2"/>
      <c r="E2" s="100"/>
    </row>
    <row r="3" spans="1:7" ht="15.75" x14ac:dyDescent="0.25">
      <c r="A3" s="54" t="s">
        <v>164</v>
      </c>
      <c r="B3" s="55"/>
      <c r="C3" s="55"/>
      <c r="D3" s="55"/>
      <c r="E3" s="55"/>
      <c r="F3" s="55"/>
      <c r="G3" s="56"/>
    </row>
    <row r="4" spans="1:7" x14ac:dyDescent="0.2">
      <c r="A4" s="57" t="s">
        <v>90</v>
      </c>
      <c r="B4" s="18" t="s">
        <v>49</v>
      </c>
      <c r="C4" s="18" t="s">
        <v>50</v>
      </c>
      <c r="D4" s="18" t="s">
        <v>91</v>
      </c>
      <c r="E4" s="18" t="s">
        <v>92</v>
      </c>
      <c r="F4" s="18" t="s">
        <v>93</v>
      </c>
      <c r="G4" s="19" t="s">
        <v>94</v>
      </c>
    </row>
    <row r="5" spans="1:7" x14ac:dyDescent="0.2">
      <c r="A5" s="101" t="s">
        <v>165</v>
      </c>
      <c r="B5" s="102"/>
      <c r="C5" s="102"/>
      <c r="D5" s="102"/>
      <c r="E5" s="102"/>
      <c r="F5" s="102"/>
      <c r="G5" s="103"/>
    </row>
    <row r="6" spans="1:7" x14ac:dyDescent="0.2">
      <c r="A6" s="101" t="s">
        <v>166</v>
      </c>
      <c r="B6" s="60">
        <f>C6*0.8</f>
        <v>345600</v>
      </c>
      <c r="C6" s="60">
        <f>'E-Costos'!C87*0.02</f>
        <v>432000</v>
      </c>
      <c r="D6" s="60">
        <f>'E-Costos'!D87*0.02</f>
        <v>432000</v>
      </c>
      <c r="E6" s="60">
        <f>'E-Costos'!E87*0.02</f>
        <v>432000</v>
      </c>
      <c r="F6" s="60">
        <f>'E-Costos'!F87*0.02</f>
        <v>432000</v>
      </c>
      <c r="G6" s="60">
        <f>'E-Costos'!F87*0.02</f>
        <v>432000</v>
      </c>
    </row>
    <row r="7" spans="1:7" x14ac:dyDescent="0.2">
      <c r="A7" s="101" t="s">
        <v>167</v>
      </c>
      <c r="B7" s="60">
        <v>0</v>
      </c>
      <c r="C7" s="60">
        <f>'E-Costos'!C87*(30/365)</f>
        <v>1775342.4657534244</v>
      </c>
      <c r="D7" s="60">
        <f>'E-Costos'!D87*(30/365)</f>
        <v>1775342.4657534244</v>
      </c>
      <c r="E7" s="60">
        <f>'E-Costos'!E87*(30/365)</f>
        <v>1775342.4657534244</v>
      </c>
      <c r="F7" s="60">
        <f>'E-Costos'!F87*(30/365)</f>
        <v>1775342.4657534244</v>
      </c>
      <c r="G7" s="60">
        <f>'E-Costos'!F87*(30/365)</f>
        <v>1775342.4657534244</v>
      </c>
    </row>
    <row r="8" spans="1:7" x14ac:dyDescent="0.2">
      <c r="A8" s="104"/>
      <c r="B8" s="81"/>
      <c r="C8" s="81"/>
      <c r="D8" s="81"/>
      <c r="E8" s="81"/>
      <c r="F8" s="81"/>
      <c r="G8" s="82"/>
    </row>
    <row r="9" spans="1:7" x14ac:dyDescent="0.2">
      <c r="A9" s="101" t="s">
        <v>168</v>
      </c>
      <c r="B9" s="81">
        <f t="shared" ref="B9:G9" si="0">SUM(B10:B13)</f>
        <v>1395176.7157955272</v>
      </c>
      <c r="C9" s="81">
        <f t="shared" si="0"/>
        <v>8980745.5847005043</v>
      </c>
      <c r="D9" s="81">
        <f t="shared" si="0"/>
        <v>8770375.3778645787</v>
      </c>
      <c r="E9" s="81">
        <f t="shared" si="0"/>
        <v>8770384.314166015</v>
      </c>
      <c r="F9" s="81">
        <f t="shared" si="0"/>
        <v>8769283.3750617336</v>
      </c>
      <c r="G9" s="81">
        <f t="shared" si="0"/>
        <v>8769284.9396488927</v>
      </c>
    </row>
    <row r="10" spans="1:7" x14ac:dyDescent="0.2">
      <c r="A10" s="104" t="s">
        <v>169</v>
      </c>
      <c r="B10" s="60">
        <f>'Stocks Mp'!B44</f>
        <v>1303102.8260869565</v>
      </c>
      <c r="C10" s="60">
        <f>'Stocks Mp'!B43</f>
        <v>8488986.9565217383</v>
      </c>
      <c r="D10" s="60">
        <f>C10</f>
        <v>8488986.9565217383</v>
      </c>
      <c r="E10" s="60">
        <f>D10</f>
        <v>8488986.9565217383</v>
      </c>
      <c r="F10" s="60">
        <f>E10</f>
        <v>8488986.9565217383</v>
      </c>
      <c r="G10" s="60">
        <f>F10</f>
        <v>8488986.9565217383</v>
      </c>
    </row>
    <row r="11" spans="1:7" x14ac:dyDescent="0.2">
      <c r="A11" s="104" t="s">
        <v>170</v>
      </c>
      <c r="B11" s="60">
        <f>0.8*C11</f>
        <v>92073.889708570699</v>
      </c>
      <c r="C11" s="60">
        <f>'E-Costos'!B12*6/12+'E-Costos'!B53*1/12+'E-Costos'!B70*1/12</f>
        <v>115092.36213571337</v>
      </c>
      <c r="D11" s="60">
        <f>'E-Costos'!C12*6/12+'E-Costos'!C53*1/12+'E-Costos'!C70*1/12</f>
        <v>126083.936160813</v>
      </c>
      <c r="E11" s="60">
        <f>'E-Costos'!D12*6/12+'E-Costos'!D53*1/12+'E-Costos'!D70*1/12</f>
        <v>126092.87246224805</v>
      </c>
      <c r="F11" s="60">
        <f>'E-Costos'!E12*6/12+'E-Costos'!E53*1/12+'E-Costos'!E70*1/12</f>
        <v>125930.68565286766</v>
      </c>
      <c r="G11" s="60">
        <f>'E-Costos'!F12*6/12+'E-Costos'!F53*1/12+'E-Costos'!F70*1/12</f>
        <v>125932.25024002581</v>
      </c>
    </row>
    <row r="12" spans="1:7" x14ac:dyDescent="0.2">
      <c r="A12" s="104" t="s">
        <v>171</v>
      </c>
      <c r="B12" s="60">
        <v>0</v>
      </c>
      <c r="C12" s="60">
        <f>'E-Costos'!B34</f>
        <v>160666.26604305269</v>
      </c>
      <c r="D12" s="60">
        <f>'E-Costos'!C34</f>
        <v>155304.48518202853</v>
      </c>
      <c r="E12" s="60">
        <f>'E-Costos'!D34</f>
        <v>155304.48518202853</v>
      </c>
      <c r="F12" s="60">
        <f>'E-Costos'!E34</f>
        <v>154365.73288712773</v>
      </c>
      <c r="G12" s="60">
        <f>'E-Costos'!F34</f>
        <v>154365.73288712773</v>
      </c>
    </row>
    <row r="13" spans="1:7" x14ac:dyDescent="0.2">
      <c r="A13" s="104" t="s">
        <v>172</v>
      </c>
      <c r="B13" s="60">
        <v>0</v>
      </c>
      <c r="C13" s="60">
        <f>'E-Costos'!B104</f>
        <v>216000</v>
      </c>
      <c r="D13" s="60">
        <f>'E-Costos'!C104</f>
        <v>0</v>
      </c>
      <c r="E13" s="60">
        <f>'E-Costos'!D104</f>
        <v>0</v>
      </c>
      <c r="F13" s="60">
        <f>'E-Costos'!E104</f>
        <v>0</v>
      </c>
      <c r="G13" s="60">
        <f>'E-Costos'!F104</f>
        <v>0</v>
      </c>
    </row>
    <row r="14" spans="1:7" x14ac:dyDescent="0.2">
      <c r="A14" s="104"/>
      <c r="B14" s="81"/>
      <c r="C14" s="81"/>
      <c r="D14" s="81"/>
      <c r="F14" s="81"/>
      <c r="G14" s="82"/>
    </row>
    <row r="15" spans="1:7" x14ac:dyDescent="0.2">
      <c r="A15" s="101" t="s">
        <v>173</v>
      </c>
      <c r="B15" s="60">
        <f t="shared" ref="B15:G15" si="1">B9+B6</f>
        <v>1740776.7157955272</v>
      </c>
      <c r="C15" s="60">
        <f t="shared" si="1"/>
        <v>9412745.5847005043</v>
      </c>
      <c r="D15" s="60">
        <f t="shared" si="1"/>
        <v>9202375.3778645787</v>
      </c>
      <c r="E15" s="60">
        <f t="shared" si="1"/>
        <v>9202384.314166015</v>
      </c>
      <c r="F15" s="60">
        <f t="shared" si="1"/>
        <v>9201283.3750617336</v>
      </c>
      <c r="G15" s="60">
        <f t="shared" si="1"/>
        <v>9201284.9396488927</v>
      </c>
    </row>
    <row r="16" spans="1:7" x14ac:dyDescent="0.2">
      <c r="A16" s="101" t="s">
        <v>174</v>
      </c>
      <c r="B16" s="81"/>
      <c r="C16" s="81"/>
      <c r="D16" s="81"/>
      <c r="E16" s="81"/>
      <c r="F16" s="81"/>
      <c r="G16" s="82"/>
    </row>
    <row r="17" spans="1:7" x14ac:dyDescent="0.2">
      <c r="A17" s="104" t="s">
        <v>175</v>
      </c>
      <c r="B17" s="60">
        <v>0</v>
      </c>
      <c r="C17" s="60">
        <f>'E-Costos'!B27</f>
        <v>11236.581354492064</v>
      </c>
      <c r="D17" s="60">
        <f>'E-Costos'!C27</f>
        <v>9993.5500168763047</v>
      </c>
      <c r="E17" s="60">
        <f>'E-Costos'!D27</f>
        <v>9993.5500168763047</v>
      </c>
      <c r="F17" s="60">
        <f>'E-Costos'!E27</f>
        <v>9090.9035794717038</v>
      </c>
      <c r="G17" s="60">
        <f>'E-Costos'!F27</f>
        <v>9090.9035794717038</v>
      </c>
    </row>
    <row r="18" spans="1:7" x14ac:dyDescent="0.2">
      <c r="A18" s="104" t="s">
        <v>176</v>
      </c>
      <c r="B18" s="268">
        <v>0</v>
      </c>
      <c r="C18" s="60">
        <f>('E-Costos'!B10-'E-Costos'!B27)/'Cuadro resumen'!F3*'Cuadro resumen'!F4</f>
        <v>11657.532204435573</v>
      </c>
      <c r="D18" s="60">
        <f>('E-Costos'!C10-'E-Costos'!C27)/'Cuadro resumen'!G3*'Cuadro resumen'!G4</f>
        <v>10159.551823497904</v>
      </c>
      <c r="E18" s="60">
        <f>('E-Costos'!D10-'E-Costos'!D27)/'Cuadro resumen'!G3*'Cuadro resumen'!G4</f>
        <v>10159.551823497904</v>
      </c>
      <c r="F18" s="60">
        <f>('E-Costos'!E10-'E-Costos'!E27)/'Cuadro resumen'!G3*'Cuadro resumen'!G4</f>
        <v>9241.9116212052832</v>
      </c>
      <c r="G18" s="61">
        <f>('E-Costos'!F10-'E-Costos'!F27)/'Cuadro resumen'!G3*'Cuadro resumen'!G4</f>
        <v>9241.9116212052832</v>
      </c>
    </row>
    <row r="19" spans="1:7" x14ac:dyDescent="0.2">
      <c r="A19" s="104" t="s">
        <v>177</v>
      </c>
      <c r="B19" s="60">
        <v>0</v>
      </c>
      <c r="C19" s="60">
        <f>'E-Costos'!B120*'E-InvAT'!C7</f>
        <v>74572.944425583919</v>
      </c>
      <c r="D19" s="60">
        <f>'E-Costos'!C120*'E-InvAT'!D7</f>
        <v>110169.15284785847</v>
      </c>
      <c r="E19" s="60">
        <f>'E-Costos'!D120*'E-InvAT'!E7</f>
        <v>109884.93769506176</v>
      </c>
      <c r="F19" s="60">
        <f>'E-Costos'!E120*'E-InvAT'!F7</f>
        <v>115542.6432210295</v>
      </c>
      <c r="G19" s="60">
        <f>'E-Costos'!F120*'E-InvAT'!G7</f>
        <v>115492.88221179594</v>
      </c>
    </row>
    <row r="20" spans="1:7" x14ac:dyDescent="0.2">
      <c r="A20" s="104" t="s">
        <v>178</v>
      </c>
      <c r="B20" s="60">
        <v>0</v>
      </c>
      <c r="C20" s="60">
        <f>('E-Costos'!B124-'E-InvAT'!C17-'E-InvAT'!C18)/365*30</f>
        <v>101181.64050200593</v>
      </c>
      <c r="D20" s="60">
        <f>('E-Costos'!C124-'E-InvAT'!D17-'E-InvAT'!D18+'E-InvAT'!C17+'E-InvAT'!C18)/365*30</f>
        <v>103288.63710015509</v>
      </c>
      <c r="E20" s="60">
        <f>('E-Costos'!D124-'E-InvAT'!E17-'E-InvAT'!E18+'E-InvAT'!D17+'E-InvAT'!D18)/365*30</f>
        <v>103063.34846575341</v>
      </c>
      <c r="F20" s="60">
        <f>('E-Costos'!E124-'E-InvAT'!F17-'E-InvAT'!F18+'E-InvAT'!E17+'E-InvAT'!E18)/365*30</f>
        <v>94834.878874495684</v>
      </c>
      <c r="G20" s="60">
        <f>('E-Costos'!F124-'E-InvAT'!G17-'E-InvAT'!G18+'E-InvAT'!F17+'E-InvAT'!F18)/365*30</f>
        <v>94685.266273972607</v>
      </c>
    </row>
    <row r="21" spans="1:7" x14ac:dyDescent="0.2">
      <c r="A21" s="104"/>
      <c r="B21" s="81"/>
      <c r="C21" s="81"/>
      <c r="D21" s="81"/>
      <c r="E21" s="81"/>
      <c r="F21" s="81"/>
      <c r="G21" s="82"/>
    </row>
    <row r="22" spans="1:7" x14ac:dyDescent="0.2">
      <c r="A22" s="101" t="s">
        <v>179</v>
      </c>
      <c r="B22" s="60">
        <f t="shared" ref="B22:G22" si="2">B15-SUM(B17:B20)</f>
        <v>1740776.7157955272</v>
      </c>
      <c r="C22" s="60">
        <f t="shared" si="2"/>
        <v>9214096.8862139862</v>
      </c>
      <c r="D22" s="60">
        <f t="shared" si="2"/>
        <v>8968764.4860761911</v>
      </c>
      <c r="E22" s="60">
        <f t="shared" si="2"/>
        <v>8969282.9261648264</v>
      </c>
      <c r="F22" s="60">
        <f t="shared" si="2"/>
        <v>8972573.0377655309</v>
      </c>
      <c r="G22" s="60">
        <f t="shared" si="2"/>
        <v>8972773.975962447</v>
      </c>
    </row>
    <row r="23" spans="1:7" x14ac:dyDescent="0.2">
      <c r="A23" s="104"/>
      <c r="B23" s="81"/>
      <c r="C23" s="81"/>
      <c r="D23" s="81"/>
      <c r="E23" s="81"/>
      <c r="F23" s="81"/>
      <c r="G23" s="82"/>
    </row>
    <row r="24" spans="1:7" x14ac:dyDescent="0.2">
      <c r="A24" s="101" t="s">
        <v>180</v>
      </c>
      <c r="B24" s="60">
        <f>B22</f>
        <v>1740776.7157955272</v>
      </c>
      <c r="C24" s="60">
        <f>C15-B15</f>
        <v>7671968.8689049771</v>
      </c>
      <c r="D24" s="60">
        <f t="shared" ref="D24:G24" si="3">D15-C15</f>
        <v>-210370.20683592558</v>
      </c>
      <c r="E24" s="60">
        <f t="shared" si="3"/>
        <v>8.9363014362752438</v>
      </c>
      <c r="F24" s="60">
        <f t="shared" si="3"/>
        <v>-1100.9391042813659</v>
      </c>
      <c r="G24" s="60">
        <f t="shared" si="3"/>
        <v>1.5645871590822935</v>
      </c>
    </row>
    <row r="25" spans="1:7" x14ac:dyDescent="0.2">
      <c r="A25" s="101" t="s">
        <v>181</v>
      </c>
      <c r="B25" s="60">
        <f>B22</f>
        <v>1740776.7157955272</v>
      </c>
      <c r="C25" s="60">
        <f>C22-B22</f>
        <v>7473320.170418459</v>
      </c>
      <c r="D25" s="60">
        <f t="shared" ref="D25:G25" si="4">D22-C22</f>
        <v>-245332.40013779514</v>
      </c>
      <c r="E25" s="60">
        <f t="shared" si="4"/>
        <v>518.44008863531053</v>
      </c>
      <c r="F25" s="60">
        <f t="shared" si="4"/>
        <v>3290.1116007044911</v>
      </c>
      <c r="G25" s="60">
        <f t="shared" si="4"/>
        <v>200.93819691613317</v>
      </c>
    </row>
    <row r="26" spans="1:7" x14ac:dyDescent="0.2">
      <c r="A26" s="104"/>
      <c r="B26" s="81"/>
      <c r="C26" s="81"/>
      <c r="D26" s="81"/>
      <c r="E26" s="81"/>
      <c r="F26" s="81"/>
      <c r="G26" s="82"/>
    </row>
    <row r="27" spans="1:7" x14ac:dyDescent="0.2">
      <c r="A27" s="101" t="s">
        <v>182</v>
      </c>
      <c r="B27" s="81"/>
      <c r="C27" s="81"/>
      <c r="D27" s="81"/>
      <c r="E27" s="81"/>
      <c r="F27" s="81"/>
      <c r="G27" s="82"/>
    </row>
    <row r="28" spans="1:7" x14ac:dyDescent="0.2">
      <c r="A28" s="104" t="s">
        <v>183</v>
      </c>
      <c r="B28" s="60"/>
      <c r="C28" s="60"/>
      <c r="D28" s="60"/>
      <c r="E28" s="60"/>
      <c r="F28" s="60"/>
      <c r="G28" s="61"/>
    </row>
    <row r="29" spans="1:7" x14ac:dyDescent="0.2">
      <c r="A29" s="104" t="s">
        <v>184</v>
      </c>
      <c r="B29" s="60"/>
      <c r="C29" s="60"/>
      <c r="D29" s="60"/>
      <c r="E29" s="60"/>
      <c r="F29" s="60"/>
      <c r="G29" s="61"/>
    </row>
    <row r="30" spans="1:7" x14ac:dyDescent="0.2">
      <c r="A30" s="104" t="s">
        <v>185</v>
      </c>
      <c r="B30" s="60">
        <f>0.21*B10</f>
        <v>273651.59347826085</v>
      </c>
      <c r="C30" s="60">
        <f>0.21*(C10-B10)</f>
        <v>1509035.6673913039</v>
      </c>
      <c r="D30" s="60">
        <f t="shared" ref="D30:G30" si="5">0.21*(D10-C10)</f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</row>
    <row r="31" spans="1:7" x14ac:dyDescent="0.2">
      <c r="A31" s="104" t="s">
        <v>186</v>
      </c>
      <c r="B31" s="60">
        <f t="shared" ref="B31:B33" si="6">0.21*B11</f>
        <v>19335.516838799846</v>
      </c>
      <c r="C31" s="60">
        <f t="shared" ref="C31:G33" si="7">0.21*(C11-B11)</f>
        <v>4833.8792096999596</v>
      </c>
      <c r="D31" s="60">
        <f t="shared" si="7"/>
        <v>2308.2305452709224</v>
      </c>
      <c r="E31" s="60">
        <f t="shared" si="7"/>
        <v>1.8766233013611053</v>
      </c>
      <c r="F31" s="60">
        <f t="shared" si="7"/>
        <v>-34.05922996988258</v>
      </c>
      <c r="G31" s="60">
        <f t="shared" si="7"/>
        <v>0.32856330321170391</v>
      </c>
    </row>
    <row r="32" spans="1:7" x14ac:dyDescent="0.2">
      <c r="A32" s="104" t="s">
        <v>187</v>
      </c>
      <c r="B32" s="60">
        <f t="shared" si="6"/>
        <v>0</v>
      </c>
      <c r="C32" s="60">
        <f t="shared" si="7"/>
        <v>33739.915869041062</v>
      </c>
      <c r="D32" s="60">
        <f t="shared" si="7"/>
        <v>-1125.9739808150741</v>
      </c>
      <c r="E32" s="60">
        <f t="shared" si="7"/>
        <v>0</v>
      </c>
      <c r="F32" s="60">
        <f t="shared" si="7"/>
        <v>-197.13798192916758</v>
      </c>
      <c r="G32" s="60">
        <f t="shared" si="7"/>
        <v>0</v>
      </c>
    </row>
    <row r="33" spans="1:7" x14ac:dyDescent="0.2">
      <c r="A33" s="104" t="s">
        <v>188</v>
      </c>
      <c r="B33" s="60">
        <f t="shared" si="6"/>
        <v>0</v>
      </c>
      <c r="C33" s="60">
        <f t="shared" si="7"/>
        <v>45360</v>
      </c>
      <c r="D33" s="60">
        <f t="shared" si="7"/>
        <v>-45360</v>
      </c>
      <c r="E33" s="60">
        <f t="shared" si="7"/>
        <v>0</v>
      </c>
      <c r="F33" s="60">
        <f t="shared" si="7"/>
        <v>0</v>
      </c>
      <c r="G33" s="60">
        <f t="shared" si="7"/>
        <v>0</v>
      </c>
    </row>
    <row r="34" spans="1:7" x14ac:dyDescent="0.2">
      <c r="A34" s="101" t="s">
        <v>189</v>
      </c>
      <c r="B34" s="269">
        <f>SUM(B30:B33)</f>
        <v>292987.11031706072</v>
      </c>
      <c r="C34" s="269">
        <f t="shared" ref="C34:G34" si="8">SUM(C30:C33)</f>
        <v>1592969.4624700451</v>
      </c>
      <c r="D34" s="269">
        <f t="shared" si="8"/>
        <v>-44177.743435544151</v>
      </c>
      <c r="E34" s="269">
        <f t="shared" si="8"/>
        <v>1.8766233013611053</v>
      </c>
      <c r="F34" s="269">
        <f t="shared" si="8"/>
        <v>-231.19721189905016</v>
      </c>
      <c r="G34" s="269">
        <f t="shared" si="8"/>
        <v>0.32856330321170391</v>
      </c>
    </row>
    <row r="35" spans="1:7" x14ac:dyDescent="0.2">
      <c r="A35" s="104"/>
      <c r="B35" s="62"/>
      <c r="C35" s="62"/>
      <c r="D35" s="62"/>
      <c r="E35" s="62"/>
      <c r="F35" s="62"/>
      <c r="G35" s="63"/>
    </row>
    <row r="36" spans="1:7" x14ac:dyDescent="0.2">
      <c r="A36" s="105" t="s">
        <v>190</v>
      </c>
      <c r="B36" s="65">
        <f>B25+B34</f>
        <v>2033763.8261125879</v>
      </c>
      <c r="C36" s="65">
        <f t="shared" ref="C36:G36" si="9">C25+C34</f>
        <v>9066289.6328885034</v>
      </c>
      <c r="D36" s="65">
        <f t="shared" si="9"/>
        <v>-289510.14357333927</v>
      </c>
      <c r="E36" s="65">
        <f t="shared" si="9"/>
        <v>520.3167119366716</v>
      </c>
      <c r="F36" s="65">
        <f t="shared" si="9"/>
        <v>3058.9143888054409</v>
      </c>
      <c r="G36" s="65">
        <f t="shared" si="9"/>
        <v>201.26676021934486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H8" sqref="H8"/>
    </sheetView>
  </sheetViews>
  <sheetFormatPr defaultColWidth="11.42578125" defaultRowHeight="12.75" x14ac:dyDescent="0.2"/>
  <cols>
    <col min="1" max="1" width="28.140625" style="15" customWidth="1"/>
    <col min="2" max="2" width="14" style="15" customWidth="1"/>
    <col min="3" max="3" width="17.28515625" style="15" customWidth="1"/>
    <col min="4" max="4" width="17" style="15" customWidth="1"/>
    <col min="5" max="8" width="14" style="15" customWidth="1"/>
    <col min="9" max="9" width="19.140625" style="15" customWidth="1"/>
    <col min="10" max="10" width="17.42578125" style="15" customWidth="1"/>
    <col min="11" max="16384" width="11.42578125" style="15"/>
  </cols>
  <sheetData>
    <row r="1" spans="1:9" x14ac:dyDescent="0.2">
      <c r="A1" s="1" t="s">
        <v>0</v>
      </c>
      <c r="B1"/>
      <c r="C1"/>
      <c r="D1"/>
      <c r="G1" s="2">
        <f>InfoInicial!E1</f>
        <v>0</v>
      </c>
    </row>
    <row r="3" spans="1:9" ht="15.75" x14ac:dyDescent="0.25">
      <c r="A3" s="54" t="s">
        <v>191</v>
      </c>
      <c r="B3" s="55"/>
      <c r="C3" s="55"/>
      <c r="D3" s="55"/>
      <c r="E3" s="55"/>
      <c r="F3" s="55"/>
      <c r="G3" s="55"/>
      <c r="H3" s="55"/>
      <c r="I3" s="56"/>
    </row>
    <row r="4" spans="1:9" ht="25.5" x14ac:dyDescent="0.2">
      <c r="A4" s="57" t="s">
        <v>90</v>
      </c>
      <c r="B4" s="106" t="s">
        <v>192</v>
      </c>
      <c r="C4" s="106" t="s">
        <v>193</v>
      </c>
      <c r="D4" s="18" t="s">
        <v>50</v>
      </c>
      <c r="E4" s="18" t="s">
        <v>91</v>
      </c>
      <c r="F4" s="18" t="s">
        <v>92</v>
      </c>
      <c r="G4" s="18" t="s">
        <v>93</v>
      </c>
      <c r="H4" s="107" t="s">
        <v>94</v>
      </c>
      <c r="I4" s="19" t="s">
        <v>194</v>
      </c>
    </row>
    <row r="5" spans="1:9" x14ac:dyDescent="0.2">
      <c r="A5" s="101" t="s">
        <v>195</v>
      </c>
      <c r="B5" s="102"/>
      <c r="C5" s="102"/>
      <c r="D5" s="102"/>
      <c r="E5" s="102"/>
      <c r="F5" s="102"/>
      <c r="G5" s="102"/>
      <c r="H5" s="108"/>
      <c r="I5" s="103"/>
    </row>
    <row r="6" spans="1:9" x14ac:dyDescent="0.2">
      <c r="A6" s="109" t="s">
        <v>196</v>
      </c>
      <c r="B6" s="60">
        <v>0</v>
      </c>
      <c r="C6" s="60">
        <f>'E-Inv AF y Am'!B20</f>
        <v>31093569.165000003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1">
        <f>SUM(B6:H6)</f>
        <v>31093569.165000003</v>
      </c>
    </row>
    <row r="7" spans="1:9" x14ac:dyDescent="0.2">
      <c r="A7" s="109" t="s">
        <v>197</v>
      </c>
      <c r="B7" s="60">
        <f>'E-Inv AF y Am'!B23</f>
        <v>30000</v>
      </c>
      <c r="C7" s="60">
        <f>'E-Inv AF y Am'!B24+'E-Inv AF y Am'!B25+'E-Inv AF y Am'!B29+'E-Inv AF y Am'!B27+'E-Inv AF y Am'!B28</f>
        <v>5721200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1">
        <f t="shared" ref="I7:I25" si="0">SUM(B7:H7)</f>
        <v>5751200</v>
      </c>
    </row>
    <row r="8" spans="1:9" x14ac:dyDescent="0.2">
      <c r="A8" s="101" t="s">
        <v>198</v>
      </c>
      <c r="B8" s="60">
        <f>B6+B7</f>
        <v>30000</v>
      </c>
      <c r="C8" s="60">
        <f>C6+C7</f>
        <v>36814769.165000007</v>
      </c>
      <c r="D8" s="60">
        <f>D6+D7</f>
        <v>0</v>
      </c>
      <c r="E8" s="60">
        <f t="shared" ref="E8:H8" si="1">E6+E7</f>
        <v>0</v>
      </c>
      <c r="F8" s="60">
        <f t="shared" si="1"/>
        <v>0</v>
      </c>
      <c r="G8" s="60">
        <f t="shared" si="1"/>
        <v>0</v>
      </c>
      <c r="H8" s="60">
        <f t="shared" si="1"/>
        <v>0</v>
      </c>
      <c r="I8" s="61">
        <f t="shared" si="0"/>
        <v>36844769.165000007</v>
      </c>
    </row>
    <row r="9" spans="1:9" x14ac:dyDescent="0.2">
      <c r="A9" s="109"/>
      <c r="B9" s="81"/>
      <c r="C9" s="81"/>
      <c r="D9" s="81"/>
      <c r="E9" s="81"/>
      <c r="F9" s="81"/>
      <c r="G9" s="81"/>
      <c r="H9" s="111"/>
      <c r="I9" s="61"/>
    </row>
    <row r="10" spans="1:9" x14ac:dyDescent="0.2">
      <c r="A10" s="101" t="s">
        <v>199</v>
      </c>
      <c r="B10" s="60"/>
      <c r="C10" s="60"/>
      <c r="D10" s="60"/>
      <c r="E10" s="60"/>
      <c r="F10" s="60"/>
      <c r="G10" s="60"/>
      <c r="H10" s="110"/>
      <c r="I10" s="61"/>
    </row>
    <row r="11" spans="1:9" x14ac:dyDescent="0.2">
      <c r="A11" s="109" t="s">
        <v>200</v>
      </c>
      <c r="C11" s="60">
        <f>'E-InvAT'!B6</f>
        <v>345600</v>
      </c>
      <c r="D11" s="60">
        <f>'E-InvAT'!C6-'E-InvAT'!B6</f>
        <v>86400</v>
      </c>
      <c r="E11" s="60">
        <f>'E-InvAT'!D6-'E-InvAT'!C6</f>
        <v>0</v>
      </c>
      <c r="F11" s="60">
        <f>'E-InvAT'!E6-'E-InvAT'!D6</f>
        <v>0</v>
      </c>
      <c r="G11" s="60">
        <f>'E-InvAT'!F6-'E-InvAT'!E6</f>
        <v>0</v>
      </c>
      <c r="H11" s="60">
        <f>'E-InvAT'!G6-'E-InvAT'!F6</f>
        <v>0</v>
      </c>
      <c r="I11" s="61">
        <f t="shared" si="0"/>
        <v>432000</v>
      </c>
    </row>
    <row r="12" spans="1:9" x14ac:dyDescent="0.2">
      <c r="A12" s="109" t="s">
        <v>201</v>
      </c>
      <c r="B12" s="60">
        <v>0</v>
      </c>
      <c r="C12" s="60">
        <v>0</v>
      </c>
      <c r="D12" s="60">
        <f>'E-InvAT'!C7-'E-InvAT'!B7</f>
        <v>1775342.4657534244</v>
      </c>
      <c r="E12" s="60">
        <f>'E-InvAT'!D7-'E-InvAT'!C7</f>
        <v>0</v>
      </c>
      <c r="F12" s="60">
        <f>'E-InvAT'!E7-'E-InvAT'!D7</f>
        <v>0</v>
      </c>
      <c r="G12" s="60">
        <f>'E-InvAT'!F7-'E-InvAT'!E7</f>
        <v>0</v>
      </c>
      <c r="H12" s="60">
        <f>'E-InvAT'!G7-'E-InvAT'!F7</f>
        <v>0</v>
      </c>
      <c r="I12" s="61">
        <f t="shared" si="0"/>
        <v>1775342.4657534244</v>
      </c>
    </row>
    <row r="13" spans="1:9" x14ac:dyDescent="0.2">
      <c r="A13" s="109" t="s">
        <v>202</v>
      </c>
      <c r="B13" s="60"/>
      <c r="C13" s="60"/>
      <c r="D13" s="60"/>
      <c r="E13" s="60"/>
      <c r="F13" s="60"/>
      <c r="G13" s="60"/>
      <c r="H13" s="110"/>
      <c r="I13" s="61"/>
    </row>
    <row r="14" spans="1:9" x14ac:dyDescent="0.2">
      <c r="A14" s="109" t="s">
        <v>203</v>
      </c>
      <c r="B14" s="60"/>
      <c r="C14" s="60">
        <f>'E-InvAT'!B10</f>
        <v>1303102.8260869565</v>
      </c>
      <c r="D14" s="60">
        <f>'E-InvAT'!C10-'E-InvAT'!B10</f>
        <v>7185884.1304347813</v>
      </c>
      <c r="E14" s="60">
        <f>'E-InvAT'!D10-'E-InvAT'!C10</f>
        <v>0</v>
      </c>
      <c r="F14" s="60">
        <f>'E-InvAT'!E10-'E-InvAT'!D10</f>
        <v>0</v>
      </c>
      <c r="G14" s="60">
        <f>'E-InvAT'!F10-'E-InvAT'!E10</f>
        <v>0</v>
      </c>
      <c r="H14" s="60">
        <f>'E-InvAT'!G10-'E-InvAT'!F10</f>
        <v>0</v>
      </c>
      <c r="I14" s="61">
        <f t="shared" si="0"/>
        <v>8488986.9565217383</v>
      </c>
    </row>
    <row r="15" spans="1:9" x14ac:dyDescent="0.2">
      <c r="A15" s="109" t="s">
        <v>204</v>
      </c>
      <c r="B15" s="60"/>
      <c r="C15" s="60">
        <f>'E-InvAT'!B11</f>
        <v>92073.889708570699</v>
      </c>
      <c r="D15" s="60">
        <f>'E-InvAT'!C11-'E-InvAT'!B11</f>
        <v>23018.472427142668</v>
      </c>
      <c r="E15" s="60">
        <f>'E-InvAT'!D11-'E-InvAT'!C11</f>
        <v>10991.574025099631</v>
      </c>
      <c r="F15" s="60">
        <f>'E-InvAT'!E11-'E-InvAT'!D11</f>
        <v>8.9363014350528829</v>
      </c>
      <c r="G15" s="60">
        <f>'E-InvAT'!F11-'E-InvAT'!E11</f>
        <v>-162.18680938039324</v>
      </c>
      <c r="H15" s="60">
        <f>'E-InvAT'!G11-'E-InvAT'!F11</f>
        <v>1.5645871581509709</v>
      </c>
      <c r="I15" s="61">
        <f t="shared" si="0"/>
        <v>125932.25024002581</v>
      </c>
    </row>
    <row r="16" spans="1:9" x14ac:dyDescent="0.2">
      <c r="A16" s="109" t="s">
        <v>205</v>
      </c>
      <c r="B16" s="60"/>
      <c r="C16" s="60">
        <f>'E-InvAT'!B12</f>
        <v>0</v>
      </c>
      <c r="D16" s="60">
        <f>'E-InvAT'!C12-'E-InvAT'!B12</f>
        <v>160666.26604305269</v>
      </c>
      <c r="E16" s="60">
        <f>'E-InvAT'!D12-'E-InvAT'!C12</f>
        <v>-5361.7808610241627</v>
      </c>
      <c r="F16" s="60">
        <f>'E-InvAT'!E12-'E-InvAT'!D12</f>
        <v>0</v>
      </c>
      <c r="G16" s="60">
        <f>'E-InvAT'!F12-'E-InvAT'!E12</f>
        <v>-938.75229490079801</v>
      </c>
      <c r="H16" s="60">
        <f>'E-InvAT'!G12-'E-InvAT'!F12</f>
        <v>0</v>
      </c>
      <c r="I16" s="61">
        <f t="shared" si="0"/>
        <v>154365.73288712773</v>
      </c>
    </row>
    <row r="17" spans="1:9" x14ac:dyDescent="0.2">
      <c r="A17" s="109" t="s">
        <v>206</v>
      </c>
      <c r="B17" s="60"/>
      <c r="C17" s="60">
        <f>'E-InvAT'!B13</f>
        <v>0</v>
      </c>
      <c r="D17" s="60">
        <f>'E-InvAT'!C13-'E-InvAT'!B13</f>
        <v>216000</v>
      </c>
      <c r="E17" s="60">
        <f>'E-InvAT'!D13-'E-InvAT'!C13</f>
        <v>-216000</v>
      </c>
      <c r="F17" s="60">
        <f>'E-InvAT'!E13-'E-InvAT'!D13</f>
        <v>0</v>
      </c>
      <c r="G17" s="60">
        <f>'E-InvAT'!F13-'E-InvAT'!E13</f>
        <v>0</v>
      </c>
      <c r="H17" s="60">
        <f>'E-InvAT'!G13-'E-InvAT'!F13</f>
        <v>0</v>
      </c>
      <c r="I17" s="61">
        <f t="shared" si="0"/>
        <v>0</v>
      </c>
    </row>
    <row r="18" spans="1:9" x14ac:dyDescent="0.2">
      <c r="A18" s="101" t="s">
        <v>207</v>
      </c>
      <c r="B18" s="60"/>
      <c r="C18" s="60">
        <f>SUM(C14:C17)+C12+C11</f>
        <v>1740776.7157955272</v>
      </c>
      <c r="D18" s="60">
        <f t="shared" ref="D18:H18" si="2">SUM(D14:D17)+D12+D11</f>
        <v>9447311.3346584011</v>
      </c>
      <c r="E18" s="60">
        <f t="shared" si="2"/>
        <v>-210370.20683592453</v>
      </c>
      <c r="F18" s="60">
        <f t="shared" si="2"/>
        <v>8.9363014350528829</v>
      </c>
      <c r="G18" s="60">
        <f t="shared" si="2"/>
        <v>-1100.9391042811912</v>
      </c>
      <c r="H18" s="60">
        <f t="shared" si="2"/>
        <v>1.5645871581509709</v>
      </c>
      <c r="I18" s="61">
        <f t="shared" si="0"/>
        <v>10976627.405402314</v>
      </c>
    </row>
    <row r="19" spans="1:9" x14ac:dyDescent="0.2">
      <c r="A19" s="109"/>
      <c r="B19" s="81"/>
      <c r="C19" s="81"/>
      <c r="D19" s="81"/>
      <c r="E19" s="81"/>
      <c r="F19" s="81"/>
      <c r="G19" s="81"/>
      <c r="H19" s="111"/>
      <c r="I19" s="61"/>
    </row>
    <row r="20" spans="1:9" x14ac:dyDescent="0.2">
      <c r="A20" s="101" t="s">
        <v>208</v>
      </c>
      <c r="B20" s="81"/>
      <c r="C20" s="81"/>
      <c r="D20" s="81"/>
      <c r="E20" s="81"/>
      <c r="F20" s="81"/>
      <c r="G20" s="81"/>
      <c r="H20" s="111"/>
      <c r="I20" s="61"/>
    </row>
    <row r="21" spans="1:9" x14ac:dyDescent="0.2">
      <c r="A21" s="109" t="s">
        <v>209</v>
      </c>
      <c r="B21" s="60">
        <f>0.21*B8</f>
        <v>6300</v>
      </c>
      <c r="C21" s="60">
        <f t="shared" ref="C21:H21" si="3">0.21*C8</f>
        <v>7731101.524650001</v>
      </c>
      <c r="D21" s="60">
        <f t="shared" si="3"/>
        <v>0</v>
      </c>
      <c r="E21" s="60">
        <f t="shared" si="3"/>
        <v>0</v>
      </c>
      <c r="F21" s="60">
        <f t="shared" si="3"/>
        <v>0</v>
      </c>
      <c r="G21" s="60">
        <f t="shared" si="3"/>
        <v>0</v>
      </c>
      <c r="H21" s="60">
        <f t="shared" si="3"/>
        <v>0</v>
      </c>
      <c r="I21" s="61">
        <f t="shared" si="0"/>
        <v>7737401.524650001</v>
      </c>
    </row>
    <row r="22" spans="1:9" x14ac:dyDescent="0.2">
      <c r="A22" s="109" t="s">
        <v>210</v>
      </c>
      <c r="C22" s="60">
        <f>'E-InvAT'!B34</f>
        <v>292987.11031706072</v>
      </c>
      <c r="D22" s="60">
        <f>'E-InvAT'!C34</f>
        <v>1592969.4624700451</v>
      </c>
      <c r="E22" s="60">
        <f>'E-InvAT'!D34</f>
        <v>-44177.743435544151</v>
      </c>
      <c r="F22" s="60">
        <f>'E-InvAT'!E34</f>
        <v>1.8766233013611053</v>
      </c>
      <c r="G22" s="60">
        <f>'E-InvAT'!F34</f>
        <v>-231.19721189905016</v>
      </c>
      <c r="H22" s="60">
        <f>'E-InvAT'!G34</f>
        <v>0.32856330321170391</v>
      </c>
      <c r="I22" s="61">
        <f>SUM(C22:H22)</f>
        <v>1841549.837326267</v>
      </c>
    </row>
    <row r="23" spans="1:9" x14ac:dyDescent="0.2">
      <c r="A23" s="101" t="s">
        <v>211</v>
      </c>
      <c r="B23" s="60">
        <f>B21+B22</f>
        <v>6300</v>
      </c>
      <c r="C23" s="60">
        <f t="shared" ref="C23:H23" si="4">C21+C22</f>
        <v>8024088.6349670617</v>
      </c>
      <c r="D23" s="60">
        <f t="shared" si="4"/>
        <v>1592969.4624700451</v>
      </c>
      <c r="E23" s="60">
        <f t="shared" si="4"/>
        <v>-44177.743435544151</v>
      </c>
      <c r="F23" s="60">
        <f t="shared" si="4"/>
        <v>1.8766233013611053</v>
      </c>
      <c r="G23" s="60">
        <f t="shared" si="4"/>
        <v>-231.19721189905016</v>
      </c>
      <c r="H23" s="60">
        <f t="shared" si="4"/>
        <v>0.32856330321170391</v>
      </c>
      <c r="I23" s="61">
        <f t="shared" si="0"/>
        <v>9578951.3619762659</v>
      </c>
    </row>
    <row r="24" spans="1:9" x14ac:dyDescent="0.2">
      <c r="A24" s="101"/>
      <c r="B24" s="81"/>
      <c r="C24" s="81"/>
      <c r="D24" s="81"/>
      <c r="E24" s="81"/>
      <c r="F24" s="81"/>
      <c r="G24" s="81"/>
      <c r="H24" s="111"/>
      <c r="I24" s="61"/>
    </row>
    <row r="25" spans="1:9" x14ac:dyDescent="0.2">
      <c r="A25" s="105" t="s">
        <v>212</v>
      </c>
      <c r="B25" s="65">
        <f>B23+B18+B8</f>
        <v>36300</v>
      </c>
      <c r="C25" s="65">
        <f t="shared" ref="C25:H25" si="5">C23+C18+C8</f>
        <v>46579634.515762597</v>
      </c>
      <c r="D25" s="65">
        <f t="shared" si="5"/>
        <v>11040280.797128446</v>
      </c>
      <c r="E25" s="65">
        <f t="shared" si="5"/>
        <v>-254547.95027146867</v>
      </c>
      <c r="F25" s="65">
        <f t="shared" si="5"/>
        <v>10.812924736413988</v>
      </c>
      <c r="G25" s="65">
        <f t="shared" si="5"/>
        <v>-1332.1363161802415</v>
      </c>
      <c r="H25" s="65">
        <f t="shared" si="5"/>
        <v>1.8931504613626748</v>
      </c>
      <c r="I25" s="61">
        <f t="shared" si="0"/>
        <v>57400347.93237859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H29" sqref="H29"/>
    </sheetView>
  </sheetViews>
  <sheetFormatPr defaultColWidth="11.42578125" defaultRowHeight="12.75" x14ac:dyDescent="0.2"/>
  <cols>
    <col min="1" max="1" width="28.140625" style="15" customWidth="1"/>
    <col min="2" max="7" width="15.7109375" style="15" customWidth="1"/>
    <col min="8" max="8" width="17.42578125" style="15" customWidth="1"/>
    <col min="9" max="16384" width="11.42578125" style="15"/>
  </cols>
  <sheetData>
    <row r="1" spans="1:7" x14ac:dyDescent="0.2">
      <c r="A1" s="1" t="s">
        <v>0</v>
      </c>
      <c r="B1"/>
      <c r="C1"/>
      <c r="D1"/>
      <c r="G1" s="2">
        <f>InfoInicial!E1</f>
        <v>0</v>
      </c>
    </row>
    <row r="2" spans="1:7" ht="15.75" x14ac:dyDescent="0.25">
      <c r="A2" s="113" t="s">
        <v>213</v>
      </c>
      <c r="B2" s="55"/>
      <c r="C2" s="55"/>
      <c r="D2" s="55"/>
      <c r="E2" s="55"/>
      <c r="F2" s="55"/>
      <c r="G2" s="56"/>
    </row>
    <row r="3" spans="1:7" ht="15.75" x14ac:dyDescent="0.25">
      <c r="A3" s="114"/>
      <c r="B3" s="115" t="s">
        <v>214</v>
      </c>
      <c r="C3" s="115"/>
      <c r="D3" s="115"/>
      <c r="E3" s="115"/>
      <c r="F3" s="115"/>
      <c r="G3" s="116"/>
    </row>
    <row r="4" spans="1:7" x14ac:dyDescent="0.2">
      <c r="A4" s="117" t="s">
        <v>90</v>
      </c>
      <c r="B4" s="106" t="s">
        <v>49</v>
      </c>
      <c r="C4" s="18" t="s">
        <v>50</v>
      </c>
      <c r="D4" s="18" t="s">
        <v>91</v>
      </c>
      <c r="E4" s="18" t="s">
        <v>92</v>
      </c>
      <c r="F4" s="18" t="s">
        <v>93</v>
      </c>
      <c r="G4" s="19" t="s">
        <v>94</v>
      </c>
    </row>
    <row r="5" spans="1:7" x14ac:dyDescent="0.2">
      <c r="A5" s="118" t="s">
        <v>215</v>
      </c>
      <c r="B5" s="119"/>
      <c r="C5" s="102"/>
      <c r="D5" s="102"/>
      <c r="E5" s="102"/>
      <c r="F5" s="102"/>
      <c r="G5" s="103"/>
    </row>
    <row r="6" spans="1:7" x14ac:dyDescent="0.2">
      <c r="A6" s="120" t="s">
        <v>216</v>
      </c>
      <c r="B6" s="121"/>
      <c r="C6" s="60">
        <f>0.21*'E-Costos'!B7</f>
        <v>1915374.2086956524</v>
      </c>
      <c r="D6" s="60">
        <f>0.21*'E-Costos'!C7</f>
        <v>2153614.89</v>
      </c>
      <c r="E6" s="60">
        <f>0.21*'E-Costos'!D7</f>
        <v>2153614.89</v>
      </c>
      <c r="F6" s="60">
        <f>0.21*'E-Costos'!E7</f>
        <v>2153614.89</v>
      </c>
      <c r="G6" s="60">
        <f>0.21*'E-Costos'!F7</f>
        <v>2153614.89</v>
      </c>
    </row>
    <row r="7" spans="1:7" x14ac:dyDescent="0.2">
      <c r="A7" s="120" t="s">
        <v>100</v>
      </c>
      <c r="B7" s="121"/>
      <c r="C7" s="60">
        <f>0.21*'E-Costos'!B12</f>
        <v>37424.613130434787</v>
      </c>
      <c r="D7" s="60">
        <f>0.21*'E-Costos'!C12</f>
        <v>40998.223349999993</v>
      </c>
      <c r="E7" s="60">
        <f>0.21*'E-Costos'!D12</f>
        <v>40998.223349999993</v>
      </c>
      <c r="F7" s="60">
        <f>0.21*'E-Costos'!E12</f>
        <v>40998.223349999993</v>
      </c>
      <c r="G7" s="60">
        <f>0.21*'E-Costos'!F12</f>
        <v>40998.223349999993</v>
      </c>
    </row>
    <row r="8" spans="1:7" x14ac:dyDescent="0.2">
      <c r="A8" s="120" t="s">
        <v>101</v>
      </c>
      <c r="B8" s="121"/>
      <c r="C8" s="60">
        <f>0.21*'E-Costos'!B13</f>
        <v>13761.860001844612</v>
      </c>
      <c r="D8" s="60">
        <f>0.21*'E-Costos'!C13</f>
        <v>15473.606399999999</v>
      </c>
      <c r="E8" s="60">
        <f>0.21*'E-Costos'!D13</f>
        <v>15473.606399999999</v>
      </c>
      <c r="F8" s="60">
        <f>0.21*'E-Costos'!E13</f>
        <v>15473.606399999999</v>
      </c>
      <c r="G8" s="60">
        <f>0.21*'E-Costos'!F13</f>
        <v>15473.606399999999</v>
      </c>
    </row>
    <row r="9" spans="1:7" x14ac:dyDescent="0.2">
      <c r="A9" s="120" t="s">
        <v>102</v>
      </c>
      <c r="B9" s="121"/>
      <c r="C9" s="60">
        <f>0.21*'E-Costos'!B14</f>
        <v>0</v>
      </c>
      <c r="D9" s="60">
        <f>0.21*'E-Costos'!C14</f>
        <v>0</v>
      </c>
      <c r="E9" s="60">
        <f>0.21*'E-Costos'!D14</f>
        <v>0</v>
      </c>
      <c r="F9" s="60">
        <f>0.21*'E-Costos'!E14</f>
        <v>0</v>
      </c>
      <c r="G9" s="60">
        <f>0.21*'E-Costos'!F14</f>
        <v>0</v>
      </c>
    </row>
    <row r="10" spans="1:7" x14ac:dyDescent="0.2">
      <c r="A10" s="120" t="s">
        <v>217</v>
      </c>
      <c r="B10" s="121"/>
      <c r="C10" s="60"/>
      <c r="D10" s="60"/>
      <c r="E10" s="60"/>
      <c r="F10" s="60"/>
      <c r="G10" s="61"/>
    </row>
    <row r="11" spans="1:7" x14ac:dyDescent="0.2">
      <c r="A11" s="120" t="s">
        <v>126</v>
      </c>
      <c r="B11" s="121"/>
      <c r="C11" s="60">
        <f>0.21*'E-Costos'!B56</f>
        <v>10500</v>
      </c>
      <c r="D11" s="60">
        <f>0.21*'E-Costos'!C56</f>
        <v>10500</v>
      </c>
      <c r="E11" s="60">
        <f>0.21*'E-Costos'!D56</f>
        <v>10500</v>
      </c>
      <c r="F11" s="60">
        <f>0.21*'E-Costos'!E56</f>
        <v>10500</v>
      </c>
      <c r="G11" s="60">
        <f>0.21*'E-Costos'!F56</f>
        <v>10500</v>
      </c>
    </row>
    <row r="12" spans="1:7" x14ac:dyDescent="0.2">
      <c r="A12" s="122" t="s">
        <v>85</v>
      </c>
      <c r="B12" s="121"/>
      <c r="C12" s="60">
        <f>SUM(C6:C11)</f>
        <v>1977060.6818279319</v>
      </c>
      <c r="D12" s="60">
        <f t="shared" ref="D12:G12" si="0">SUM(D6:D11)</f>
        <v>2220586.7197500002</v>
      </c>
      <c r="E12" s="60">
        <f t="shared" si="0"/>
        <v>2220586.7197500002</v>
      </c>
      <c r="F12" s="60">
        <f t="shared" si="0"/>
        <v>2220586.7197500002</v>
      </c>
      <c r="G12" s="60">
        <f t="shared" si="0"/>
        <v>2220586.7197500002</v>
      </c>
    </row>
    <row r="13" spans="1:7" x14ac:dyDescent="0.2">
      <c r="A13" s="120" t="s">
        <v>218</v>
      </c>
      <c r="B13" s="121"/>
      <c r="C13" s="60">
        <f>0.21*'E-Inv AF y Am'!C26</f>
        <v>0</v>
      </c>
      <c r="D13" s="60"/>
      <c r="E13" s="60"/>
      <c r="F13" s="60"/>
      <c r="G13" s="61"/>
    </row>
    <row r="14" spans="1:7" x14ac:dyDescent="0.2">
      <c r="A14" s="120" t="s">
        <v>219</v>
      </c>
      <c r="B14" s="123"/>
      <c r="C14" s="81"/>
      <c r="D14" s="81"/>
      <c r="E14" s="81"/>
      <c r="F14" s="81"/>
      <c r="G14" s="82"/>
    </row>
    <row r="15" spans="1:7" x14ac:dyDescent="0.2">
      <c r="A15" s="120" t="s">
        <v>220</v>
      </c>
      <c r="B15" s="121">
        <f>'E-InvAT'!B32</f>
        <v>0</v>
      </c>
      <c r="C15" s="121">
        <f>'E-InvAT'!C32</f>
        <v>33739.915869041062</v>
      </c>
      <c r="D15" s="121">
        <f>'E-InvAT'!D32</f>
        <v>-1125.9739808150741</v>
      </c>
      <c r="E15" s="121">
        <f>'E-InvAT'!E32</f>
        <v>0</v>
      </c>
      <c r="F15" s="121">
        <f>'E-InvAT'!F32</f>
        <v>-197.13798192916758</v>
      </c>
      <c r="G15" s="121">
        <f>'E-InvAT'!G32</f>
        <v>0</v>
      </c>
    </row>
    <row r="16" spans="1:7" x14ac:dyDescent="0.2">
      <c r="A16" s="120" t="s">
        <v>221</v>
      </c>
      <c r="B16" s="121">
        <f>'E-InvAT'!B33</f>
        <v>0</v>
      </c>
      <c r="C16" s="121">
        <f>'E-InvAT'!C33</f>
        <v>45360</v>
      </c>
      <c r="D16" s="121">
        <f>'E-InvAT'!D33</f>
        <v>-45360</v>
      </c>
      <c r="E16" s="121">
        <f>'E-InvAT'!E33</f>
        <v>0</v>
      </c>
      <c r="F16" s="121">
        <f>'E-InvAT'!F33</f>
        <v>0</v>
      </c>
      <c r="G16" s="121">
        <f>'E-InvAT'!G33</f>
        <v>0</v>
      </c>
    </row>
    <row r="17" spans="1:7" x14ac:dyDescent="0.2">
      <c r="A17" s="122" t="s">
        <v>222</v>
      </c>
      <c r="B17" s="121"/>
      <c r="C17" s="60">
        <f>C12-(C15+C16)</f>
        <v>1897960.7659588908</v>
      </c>
      <c r="D17" s="60">
        <f t="shared" ref="D17:G17" si="1">D12-(D15+D16)</f>
        <v>2267072.6937308153</v>
      </c>
      <c r="E17" s="60">
        <f t="shared" si="1"/>
        <v>2220586.7197500002</v>
      </c>
      <c r="F17" s="60">
        <f t="shared" si="1"/>
        <v>2220783.8577319295</v>
      </c>
      <c r="G17" s="60">
        <f t="shared" si="1"/>
        <v>2220586.7197500002</v>
      </c>
    </row>
    <row r="18" spans="1:7" x14ac:dyDescent="0.2">
      <c r="A18" s="122" t="s">
        <v>223</v>
      </c>
      <c r="B18" s="121"/>
      <c r="C18" s="60">
        <f>0.21*(+'E-Costos'!B53+'E-Costos'!B54+'E-Costos'!B55+'E-Costos'!B56)</f>
        <v>40574.128055787885</v>
      </c>
      <c r="D18" s="60">
        <f>0.21*(+'E-Costos'!C53+'E-Costos'!C54+'E-Costos'!C55+'E-Costos'!C56)</f>
        <v>43914.51743377043</v>
      </c>
      <c r="E18" s="60">
        <f>0.21*(+'E-Costos'!D53+'E-Costos'!D54+'E-Costos'!D55+'E-Costos'!D56)</f>
        <v>43925.777173578579</v>
      </c>
      <c r="F18" s="60">
        <f>0.21*(+'E-Costos'!E53+'E-Costos'!E54+'E-Costos'!E55+'E-Costos'!E56)</f>
        <v>43721.421793759298</v>
      </c>
      <c r="G18" s="60">
        <f>0.21*(+'E-Costos'!F53+'E-Costos'!F54+'E-Costos'!F55+'E-Costos'!F56)</f>
        <v>43723.393173578588</v>
      </c>
    </row>
    <row r="19" spans="1:7" x14ac:dyDescent="0.2">
      <c r="A19" s="122" t="s">
        <v>224</v>
      </c>
      <c r="B19" s="121"/>
      <c r="C19" s="60">
        <f>0.21*('E-Costos'!B70+'E-Costos'!B71+'E-Costos'!B72+'E-Costos'!B73)</f>
        <v>79346.414011113447</v>
      </c>
      <c r="D19" s="60">
        <f>0.21*('E-Costos'!C70+'E-Costos'!C71+'E-Costos'!C72+'E-Costos'!C73)</f>
        <v>82848.810232434073</v>
      </c>
      <c r="E19" s="60">
        <f>0.21*('E-Costos'!D70+'E-Costos'!D71+'E-Costos'!D72+'E-Costos'!D73)</f>
        <v>82862.321920203845</v>
      </c>
      <c r="F19" s="60">
        <f>0.21*('E-Costos'!E70+'E-Costos'!E71+'E-Costos'!E72+'E-Costos'!E73)</f>
        <v>82617.095464420694</v>
      </c>
      <c r="G19" s="60">
        <f>0.21*('E-Costos'!F70+'E-Costos'!F71+'E-Costos'!F72+'E-Costos'!F73)</f>
        <v>82619.46112020385</v>
      </c>
    </row>
    <row r="20" spans="1:7" x14ac:dyDescent="0.2">
      <c r="A20" s="122"/>
      <c r="B20" s="123"/>
      <c r="C20" s="81"/>
      <c r="D20" s="81"/>
      <c r="E20" s="81"/>
      <c r="F20" s="81"/>
      <c r="G20" s="82"/>
    </row>
    <row r="21" spans="1:7" x14ac:dyDescent="0.2">
      <c r="A21" s="120" t="s">
        <v>225</v>
      </c>
      <c r="B21" s="121"/>
      <c r="C21" s="60">
        <f>SUM(C17:C19)</f>
        <v>2017881.308025792</v>
      </c>
      <c r="D21" s="60">
        <f t="shared" ref="D21:G21" si="2">SUM(D17:D19)</f>
        <v>2393836.0213970197</v>
      </c>
      <c r="E21" s="60">
        <f t="shared" si="2"/>
        <v>2347374.8188437829</v>
      </c>
      <c r="F21" s="60">
        <f t="shared" si="2"/>
        <v>2347122.3749901094</v>
      </c>
      <c r="G21" s="60">
        <f t="shared" si="2"/>
        <v>2346929.5740437829</v>
      </c>
    </row>
    <row r="22" spans="1:7" x14ac:dyDescent="0.2">
      <c r="A22" s="120" t="s">
        <v>226</v>
      </c>
      <c r="B22" s="121"/>
      <c r="C22" s="60">
        <f>0.21*'E-Costos'!B87</f>
        <v>3948292.1739130439</v>
      </c>
      <c r="D22" s="60">
        <f>0.21*'E-Costos'!C87</f>
        <v>4536000</v>
      </c>
      <c r="E22" s="60">
        <f>0.21*'E-Costos'!D87</f>
        <v>4536000</v>
      </c>
      <c r="F22" s="60">
        <f>0.21*'E-Costos'!E87</f>
        <v>4536000</v>
      </c>
      <c r="G22" s="60">
        <f>0.21*'E-Costos'!F87</f>
        <v>4536000</v>
      </c>
    </row>
    <row r="23" spans="1:7" x14ac:dyDescent="0.2">
      <c r="A23" s="122" t="s">
        <v>227</v>
      </c>
      <c r="B23" s="121"/>
      <c r="C23" s="60">
        <f>C22-C21</f>
        <v>1930410.8658872519</v>
      </c>
      <c r="D23" s="60">
        <f t="shared" ref="D23:G23" si="3">D22-D21</f>
        <v>2142163.9786029803</v>
      </c>
      <c r="E23" s="60">
        <f t="shared" si="3"/>
        <v>2188625.1811562171</v>
      </c>
      <c r="F23" s="60">
        <f t="shared" si="3"/>
        <v>2188877.6250098906</v>
      </c>
      <c r="G23" s="60">
        <f t="shared" si="3"/>
        <v>2189070.4259562171</v>
      </c>
    </row>
    <row r="24" spans="1:7" x14ac:dyDescent="0.2">
      <c r="A24" s="120"/>
      <c r="B24" s="123"/>
      <c r="C24" s="81"/>
      <c r="D24" s="81"/>
      <c r="E24" s="81"/>
      <c r="F24" s="81"/>
      <c r="G24" s="82"/>
    </row>
    <row r="25" spans="1:7" x14ac:dyDescent="0.2">
      <c r="A25" s="124" t="s">
        <v>228</v>
      </c>
      <c r="B25" s="121"/>
      <c r="C25" s="60">
        <f>B27</f>
        <v>8030388.6349670617</v>
      </c>
      <c r="D25" s="60">
        <f t="shared" ref="D25:G25" si="4">C27</f>
        <v>7692947.2315498553</v>
      </c>
      <c r="E25" s="60">
        <f t="shared" si="4"/>
        <v>5506605.5095113311</v>
      </c>
      <c r="F25" s="60">
        <f t="shared" si="4"/>
        <v>3317982.2049784153</v>
      </c>
      <c r="G25" s="60">
        <f t="shared" si="4"/>
        <v>1128873.3827566255</v>
      </c>
    </row>
    <row r="26" spans="1:7" x14ac:dyDescent="0.2">
      <c r="A26" s="124" t="s">
        <v>229</v>
      </c>
      <c r="B26" s="121">
        <f>'E-Cal Inv.'!B23+'E-Cal Inv.'!C23</f>
        <v>8030388.6349670617</v>
      </c>
      <c r="C26" s="60">
        <f>'E-Cal Inv.'!D23</f>
        <v>1592969.4624700451</v>
      </c>
      <c r="D26" s="60">
        <f>'E-Cal Inv.'!E23</f>
        <v>-44177.743435544151</v>
      </c>
      <c r="E26" s="60">
        <f>'E-Cal Inv.'!F23</f>
        <v>1.8766233013611053</v>
      </c>
      <c r="F26" s="60">
        <f>'E-Cal Inv.'!G23</f>
        <v>-231.19721189905016</v>
      </c>
      <c r="G26" s="60">
        <f>'E-Cal Inv.'!H23</f>
        <v>0.32856330321170391</v>
      </c>
    </row>
    <row r="27" spans="1:7" x14ac:dyDescent="0.2">
      <c r="A27" s="122" t="s">
        <v>230</v>
      </c>
      <c r="B27" s="121">
        <f>B26</f>
        <v>8030388.6349670617</v>
      </c>
      <c r="C27" s="60">
        <f>C25-C23+C26</f>
        <v>7692947.2315498553</v>
      </c>
      <c r="D27" s="60">
        <f t="shared" ref="D27:G27" si="5">D25-D23+D26</f>
        <v>5506605.5095113311</v>
      </c>
      <c r="E27" s="60">
        <f t="shared" si="5"/>
        <v>3317982.2049784153</v>
      </c>
      <c r="F27" s="60">
        <f t="shared" si="5"/>
        <v>1128873.3827566255</v>
      </c>
      <c r="G27" s="60">
        <f t="shared" si="5"/>
        <v>-1060196.7146362884</v>
      </c>
    </row>
    <row r="28" spans="1:7" x14ac:dyDescent="0.2">
      <c r="A28" s="122" t="s">
        <v>468</v>
      </c>
      <c r="B28" s="121">
        <f>B25+B26-B27</f>
        <v>0</v>
      </c>
      <c r="C28" s="121">
        <f t="shared" ref="C28:G28" si="6">C25+C26-C27</f>
        <v>1930410.8658872508</v>
      </c>
      <c r="D28" s="121">
        <f t="shared" si="6"/>
        <v>2142163.9786029803</v>
      </c>
      <c r="E28" s="121">
        <f t="shared" si="6"/>
        <v>2188625.1811562176</v>
      </c>
      <c r="F28" s="121">
        <f t="shared" si="6"/>
        <v>2188877.6250098906</v>
      </c>
      <c r="G28" s="121">
        <f t="shared" si="6"/>
        <v>2189070.4259562171</v>
      </c>
    </row>
    <row r="29" spans="1:7" x14ac:dyDescent="0.2">
      <c r="A29" s="120"/>
      <c r="B29" s="123"/>
      <c r="C29" s="81"/>
      <c r="D29" s="81"/>
      <c r="E29" s="81"/>
      <c r="F29" s="81"/>
      <c r="G29" s="82"/>
    </row>
    <row r="30" spans="1:7" x14ac:dyDescent="0.2">
      <c r="A30" s="125" t="s">
        <v>231</v>
      </c>
      <c r="B30" s="126">
        <f>B23-B28</f>
        <v>0</v>
      </c>
      <c r="C30" s="126">
        <f t="shared" ref="C30:G30" si="7">C23-C28</f>
        <v>0</v>
      </c>
      <c r="D30" s="126">
        <f t="shared" si="7"/>
        <v>0</v>
      </c>
      <c r="E30" s="126">
        <f t="shared" si="7"/>
        <v>0</v>
      </c>
      <c r="F30" s="126">
        <f t="shared" si="7"/>
        <v>0</v>
      </c>
      <c r="G30" s="126">
        <f t="shared" si="7"/>
        <v>0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E19" sqref="E19"/>
    </sheetView>
  </sheetViews>
  <sheetFormatPr defaultColWidth="11.42578125" defaultRowHeight="12.75" x14ac:dyDescent="0.2"/>
  <cols>
    <col min="1" max="1" width="8" style="15" customWidth="1"/>
    <col min="2" max="3" width="17" style="15" customWidth="1"/>
    <col min="4" max="4" width="17.7109375" style="15" customWidth="1"/>
    <col min="5" max="6" width="14.85546875" style="15" customWidth="1"/>
    <col min="7" max="7" width="17" style="15" customWidth="1"/>
    <col min="8" max="11" width="14.85546875" style="15" customWidth="1"/>
    <col min="12" max="12" width="17.28515625" style="15" customWidth="1"/>
    <col min="13" max="13" width="15.85546875" style="15" customWidth="1"/>
    <col min="14" max="14" width="17.42578125" style="15" customWidth="1"/>
    <col min="15" max="16384" width="11.42578125" style="15"/>
  </cols>
  <sheetData>
    <row r="1" spans="1:13" x14ac:dyDescent="0.2">
      <c r="A1" s="1" t="s">
        <v>0</v>
      </c>
      <c r="B1"/>
      <c r="C1"/>
      <c r="D1"/>
      <c r="G1" s="15">
        <f>InfoInicial!E1</f>
        <v>0</v>
      </c>
      <c r="H1" s="2"/>
    </row>
    <row r="2" spans="1:13" ht="15.75" x14ac:dyDescent="0.25">
      <c r="A2" s="113" t="s">
        <v>232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ht="38.25" x14ac:dyDescent="0.2">
      <c r="A3" s="117" t="s">
        <v>233</v>
      </c>
      <c r="B3" s="106" t="s">
        <v>234</v>
      </c>
      <c r="C3" s="106" t="s">
        <v>235</v>
      </c>
      <c r="D3" s="106" t="s">
        <v>236</v>
      </c>
      <c r="E3" s="106" t="s">
        <v>3</v>
      </c>
      <c r="F3" s="106" t="s">
        <v>237</v>
      </c>
      <c r="G3" s="106" t="s">
        <v>238</v>
      </c>
      <c r="H3" s="106" t="s">
        <v>239</v>
      </c>
      <c r="I3" s="106" t="s">
        <v>98</v>
      </c>
      <c r="J3" s="106" t="s">
        <v>240</v>
      </c>
      <c r="K3" s="106" t="s">
        <v>241</v>
      </c>
      <c r="L3" s="127" t="s">
        <v>242</v>
      </c>
      <c r="M3" s="128" t="s">
        <v>243</v>
      </c>
    </row>
    <row r="4" spans="1:13" x14ac:dyDescent="0.2">
      <c r="A4" s="129">
        <v>0</v>
      </c>
      <c r="B4" s="130">
        <f>SUM('E-Cal Inv.'!B8,'E-Cal Inv.'!C8)</f>
        <v>36844769.165000007</v>
      </c>
      <c r="C4" s="58">
        <f>'E-Cal Inv.'!B18+'E-Cal Inv.'!C18</f>
        <v>1740776.7157955272</v>
      </c>
      <c r="D4" s="58">
        <f>'E-IVA '!B26</f>
        <v>8030388.6349670617</v>
      </c>
      <c r="E4" s="58">
        <f>0</f>
        <v>0</v>
      </c>
      <c r="F4" s="58">
        <v>0</v>
      </c>
      <c r="G4" s="58">
        <f>SUM(B4:F4)</f>
        <v>46615934.51576259</v>
      </c>
      <c r="H4" s="58">
        <v>0</v>
      </c>
      <c r="I4" s="58">
        <v>0</v>
      </c>
      <c r="J4" s="58">
        <f>'E-IVA '!B28</f>
        <v>0</v>
      </c>
      <c r="K4" s="58">
        <f>SUM(H4:J4)</f>
        <v>0</v>
      </c>
      <c r="L4" s="131">
        <f>K4-G4</f>
        <v>-46615934.51576259</v>
      </c>
      <c r="M4" s="59">
        <f>L4</f>
        <v>-46615934.51576259</v>
      </c>
    </row>
    <row r="5" spans="1:13" x14ac:dyDescent="0.2">
      <c r="A5" s="132">
        <v>1</v>
      </c>
      <c r="B5" s="121">
        <f>'E-Cal Inv.'!D8</f>
        <v>0</v>
      </c>
      <c r="C5" s="60">
        <f>'E-Cal Inv.'!D18</f>
        <v>9447311.3346584011</v>
      </c>
      <c r="D5" s="60">
        <f>'E-IVA '!C26</f>
        <v>1592969.4624700451</v>
      </c>
      <c r="E5" s="60">
        <f>'E-Costos'!B116</f>
        <v>37577.276612837944</v>
      </c>
      <c r="F5" s="60">
        <f>'E-Costos'!B117</f>
        <v>425249.51366861607</v>
      </c>
      <c r="G5" s="58">
        <f t="shared" ref="G5:G9" si="0">SUM(B5:F5)</f>
        <v>11503107.587409901</v>
      </c>
      <c r="H5" s="60">
        <f>'E-Costos'!B115</f>
        <v>1252575.8870945983</v>
      </c>
      <c r="I5" s="60">
        <f>'E-Inv AF y Am'!D56</f>
        <v>2279886.7396666668</v>
      </c>
      <c r="J5" s="60">
        <f>'E-IVA '!C28</f>
        <v>1930410.8658872508</v>
      </c>
      <c r="K5" s="58">
        <f t="shared" ref="K5:K9" si="1">SUM(H5:J5)</f>
        <v>5462873.4926485159</v>
      </c>
      <c r="L5" s="131">
        <f t="shared" ref="L5:L9" si="2">K5-G5</f>
        <v>-6040234.0947613847</v>
      </c>
      <c r="M5" s="61">
        <f>M4+L5</f>
        <v>-52656168.610523976</v>
      </c>
    </row>
    <row r="6" spans="1:13" x14ac:dyDescent="0.2">
      <c r="A6" s="132">
        <v>2</v>
      </c>
      <c r="B6" s="121">
        <f>'E-Cal Inv.'!E8</f>
        <v>0</v>
      </c>
      <c r="C6" s="60">
        <f>'E-Cal Inv.'!E18</f>
        <v>-210370.20683592453</v>
      </c>
      <c r="D6" s="60">
        <f>'E-IVA '!D26</f>
        <v>-44177.743435544151</v>
      </c>
      <c r="E6" s="60">
        <f>'E-Costos'!C116</f>
        <v>63777.542885754701</v>
      </c>
      <c r="F6" s="60">
        <f>'E-Costos'!C117</f>
        <v>721749.19365712407</v>
      </c>
      <c r="G6" s="58">
        <f t="shared" si="0"/>
        <v>530978.78627141006</v>
      </c>
      <c r="H6" s="60">
        <f>'E-Costos'!C115</f>
        <v>2125918.0961918235</v>
      </c>
      <c r="I6" s="60">
        <f>'E-Inv AF y Am'!D56</f>
        <v>2279886.7396666668</v>
      </c>
      <c r="J6" s="60">
        <f>'E-IVA '!D28</f>
        <v>2142163.9786029803</v>
      </c>
      <c r="K6" s="58">
        <f t="shared" si="1"/>
        <v>6547968.8144614706</v>
      </c>
      <c r="L6" s="131">
        <f t="shared" si="2"/>
        <v>6016990.0281900605</v>
      </c>
      <c r="M6" s="61">
        <f>M5+L6</f>
        <v>-46639178.582333915</v>
      </c>
    </row>
    <row r="7" spans="1:13" x14ac:dyDescent="0.2">
      <c r="A7" s="132">
        <v>3</v>
      </c>
      <c r="B7" s="121">
        <f>'E-Cal Inv.'!F8</f>
        <v>0</v>
      </c>
      <c r="C7" s="60">
        <f>'E-Cal Inv.'!F18</f>
        <v>8.9363014350528829</v>
      </c>
      <c r="D7" s="60">
        <f>'E-IVA '!E26</f>
        <v>1.8766233013611053</v>
      </c>
      <c r="E7" s="60">
        <f>'E-Costos'!D116</f>
        <v>63613.009133540909</v>
      </c>
      <c r="F7" s="60">
        <f>'E-Costos'!D117</f>
        <v>719887.22002790461</v>
      </c>
      <c r="G7" s="58">
        <f t="shared" si="0"/>
        <v>783511.04208618193</v>
      </c>
      <c r="H7" s="60">
        <f>'E-Costos'!D115</f>
        <v>2120433.6377846971</v>
      </c>
      <c r="I7" s="60">
        <f>'E-Inv AF y Am'!D56</f>
        <v>2279886.7396666668</v>
      </c>
      <c r="J7" s="60">
        <f>'E-IVA '!E28</f>
        <v>2188625.1811562176</v>
      </c>
      <c r="K7" s="58">
        <f t="shared" si="1"/>
        <v>6588945.558607582</v>
      </c>
      <c r="L7" s="131">
        <f t="shared" si="2"/>
        <v>5805434.5165213998</v>
      </c>
      <c r="M7" s="61">
        <f t="shared" ref="M7:M9" si="3">M6+L7</f>
        <v>-40833744.065812513</v>
      </c>
    </row>
    <row r="8" spans="1:13" x14ac:dyDescent="0.2">
      <c r="A8" s="132">
        <v>4</v>
      </c>
      <c r="B8" s="121">
        <f>'E-Cal Inv.'!G8</f>
        <v>0</v>
      </c>
      <c r="C8" s="60">
        <f>'E-Cal Inv.'!G18</f>
        <v>-1100.9391042811912</v>
      </c>
      <c r="D8" s="60">
        <f>'E-IVA '!F26</f>
        <v>-231.19721189905016</v>
      </c>
      <c r="E8" s="60">
        <f>'E-Costos'!E116</f>
        <v>66888.286717963143</v>
      </c>
      <c r="F8" s="60">
        <f>'E-Costos'!E117</f>
        <v>756952.44469161623</v>
      </c>
      <c r="G8" s="58">
        <f t="shared" si="0"/>
        <v>822508.59509339917</v>
      </c>
      <c r="H8" s="60">
        <f>'E-Costos'!E115</f>
        <v>2229609.5572654381</v>
      </c>
      <c r="I8" s="60">
        <f>'E-Inv AF y Am'!E56</f>
        <v>2187220.0729999999</v>
      </c>
      <c r="J8" s="60">
        <f>'E-IVA '!F28</f>
        <v>2188877.6250098906</v>
      </c>
      <c r="K8" s="58">
        <f t="shared" si="1"/>
        <v>6605707.2552753286</v>
      </c>
      <c r="L8" s="131">
        <f t="shared" si="2"/>
        <v>5783198.6601819294</v>
      </c>
      <c r="M8" s="61">
        <f t="shared" si="3"/>
        <v>-35050545.405630581</v>
      </c>
    </row>
    <row r="9" spans="1:13" x14ac:dyDescent="0.2">
      <c r="A9" s="132">
        <v>5</v>
      </c>
      <c r="B9" s="121">
        <f>-'E-Inv AF y Am'!G56</f>
        <v>-26254472.800000001</v>
      </c>
      <c r="C9" s="60">
        <f>-'E-Cal Inv.'!I18</f>
        <v>-10976627.405402314</v>
      </c>
      <c r="D9" s="60">
        <f>'E-IVA '!G26</f>
        <v>0.32856330321170391</v>
      </c>
      <c r="E9" s="60">
        <f>'E-Costos'!F116</f>
        <v>66859.47978954087</v>
      </c>
      <c r="F9" s="60">
        <f>'E-Costos'!F117</f>
        <v>756626.44628497085</v>
      </c>
      <c r="G9" s="58">
        <f t="shared" si="0"/>
        <v>-36407613.9507645</v>
      </c>
      <c r="H9" s="60">
        <f>'E-Costos'!F115</f>
        <v>2228649.3263180293</v>
      </c>
      <c r="I9" s="60">
        <f>'E-Inv AF y Am'!E56</f>
        <v>2187220.0729999999</v>
      </c>
      <c r="J9" s="60">
        <f>'E-IVA '!G28</f>
        <v>2189070.4259562171</v>
      </c>
      <c r="K9" s="58">
        <f t="shared" si="1"/>
        <v>6604939.8252742458</v>
      </c>
      <c r="L9" s="131">
        <f t="shared" si="2"/>
        <v>43012553.776038744</v>
      </c>
      <c r="M9" s="61">
        <f t="shared" si="3"/>
        <v>7962008.3704081625</v>
      </c>
    </row>
    <row r="10" spans="1:13" x14ac:dyDescent="0.2">
      <c r="A10" s="132"/>
      <c r="B10" s="123"/>
      <c r="C10" s="81"/>
      <c r="D10" s="81"/>
      <c r="E10" s="81"/>
      <c r="F10" s="81"/>
      <c r="G10" s="81"/>
      <c r="H10" s="81"/>
      <c r="I10" s="81"/>
      <c r="J10" s="81"/>
      <c r="K10" s="81"/>
      <c r="L10" s="111"/>
      <c r="M10" s="82"/>
    </row>
    <row r="11" spans="1:13" x14ac:dyDescent="0.2">
      <c r="A11" s="133" t="s">
        <v>244</v>
      </c>
      <c r="B11" s="126">
        <f t="shared" ref="B11:L11" si="4">SUM(B4:B9)</f>
        <v>10590296.365000006</v>
      </c>
      <c r="C11" s="65">
        <f t="shared" si="4"/>
        <v>-1.5645871572196484</v>
      </c>
      <c r="D11" s="65">
        <f t="shared" si="4"/>
        <v>9578951.3619762659</v>
      </c>
      <c r="E11" s="65">
        <f t="shared" si="4"/>
        <v>298715.59513963759</v>
      </c>
      <c r="F11" s="65">
        <f t="shared" si="4"/>
        <v>3380464.8183302316</v>
      </c>
      <c r="G11" s="65">
        <f t="shared" si="4"/>
        <v>23848426.57585898</v>
      </c>
      <c r="H11" s="65">
        <f t="shared" si="4"/>
        <v>9957186.5046545863</v>
      </c>
      <c r="I11" s="65">
        <f t="shared" si="4"/>
        <v>11214100.364999998</v>
      </c>
      <c r="J11" s="65">
        <f t="shared" si="4"/>
        <v>10639148.076612556</v>
      </c>
      <c r="K11" s="65">
        <f t="shared" si="4"/>
        <v>31810434.946267143</v>
      </c>
      <c r="L11" s="112">
        <f t="shared" si="4"/>
        <v>7962008.3704081625</v>
      </c>
      <c r="M11" s="66"/>
    </row>
    <row r="13" spans="1:13" x14ac:dyDescent="0.2">
      <c r="C13" s="134" t="s">
        <v>245</v>
      </c>
      <c r="D13" s="135">
        <f>L11</f>
        <v>7962008.3704081625</v>
      </c>
    </row>
    <row r="14" spans="1:13" x14ac:dyDescent="0.2">
      <c r="A14" s="70"/>
      <c r="C14" s="134" t="s">
        <v>246</v>
      </c>
      <c r="D14" s="272">
        <f>4+(-M8)/L9</f>
        <v>4.8148910568792216</v>
      </c>
      <c r="E14" s="15" t="s">
        <v>247</v>
      </c>
      <c r="F14" s="237"/>
    </row>
    <row r="15" spans="1:13" x14ac:dyDescent="0.2">
      <c r="C15" s="134" t="s">
        <v>248</v>
      </c>
      <c r="D15" s="137">
        <f>L11/('E-Cal Inv.'!I8+'E-Cal Inv.'!I18)</f>
        <v>0.16649468525425748</v>
      </c>
      <c r="F15" s="237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F1" sqref="F1"/>
    </sheetView>
  </sheetViews>
  <sheetFormatPr defaultColWidth="11.42578125" defaultRowHeight="12.75" x14ac:dyDescent="0.2"/>
  <cols>
    <col min="1" max="1" width="27.28515625" style="15" customWidth="1"/>
    <col min="2" max="9" width="15.140625" style="15" customWidth="1"/>
    <col min="10" max="16384" width="11.42578125" style="15"/>
  </cols>
  <sheetData>
    <row r="1" spans="1:9" x14ac:dyDescent="0.2">
      <c r="A1" s="1" t="s">
        <v>0</v>
      </c>
      <c r="B1"/>
      <c r="C1"/>
      <c r="D1"/>
      <c r="F1" s="138">
        <f>InfoInicial!E1</f>
        <v>0</v>
      </c>
      <c r="G1" s="2"/>
    </row>
    <row r="2" spans="1:9" ht="15.75" x14ac:dyDescent="0.25">
      <c r="A2" s="139" t="s">
        <v>249</v>
      </c>
      <c r="B2" s="86"/>
      <c r="C2" s="86"/>
      <c r="D2" s="86"/>
      <c r="E2" s="86"/>
      <c r="F2" s="86"/>
      <c r="G2" s="87"/>
    </row>
    <row r="3" spans="1:9" x14ac:dyDescent="0.2">
      <c r="A3" s="57" t="s">
        <v>90</v>
      </c>
      <c r="B3" s="285" t="s">
        <v>250</v>
      </c>
      <c r="C3" s="285"/>
      <c r="D3" s="285" t="s">
        <v>251</v>
      </c>
      <c r="E3" s="285"/>
      <c r="F3" s="286" t="s">
        <v>252</v>
      </c>
      <c r="G3" s="286"/>
    </row>
    <row r="4" spans="1:9" x14ac:dyDescent="0.2">
      <c r="A4" s="57" t="s">
        <v>76</v>
      </c>
      <c r="B4" s="140" t="s">
        <v>253</v>
      </c>
      <c r="C4" s="140" t="s">
        <v>254</v>
      </c>
      <c r="D4" s="140" t="s">
        <v>253</v>
      </c>
      <c r="E4" s="140" t="s">
        <v>254</v>
      </c>
      <c r="F4" s="140" t="s">
        <v>253</v>
      </c>
      <c r="G4" s="141" t="s">
        <v>254</v>
      </c>
    </row>
    <row r="5" spans="1:9" x14ac:dyDescent="0.2">
      <c r="A5" s="26" t="s">
        <v>255</v>
      </c>
      <c r="B5" s="60"/>
      <c r="C5" s="83"/>
      <c r="D5" s="60"/>
      <c r="E5" s="83"/>
      <c r="F5" s="60"/>
      <c r="G5" s="84"/>
    </row>
    <row r="6" spans="1:9" x14ac:dyDescent="0.2">
      <c r="A6" s="24" t="s">
        <v>256</v>
      </c>
      <c r="B6" s="60"/>
      <c r="C6" s="83"/>
      <c r="D6" s="60"/>
      <c r="E6" s="83"/>
      <c r="F6" s="60"/>
      <c r="G6" s="84"/>
    </row>
    <row r="7" spans="1:9" x14ac:dyDescent="0.2">
      <c r="A7" s="24" t="s">
        <v>257</v>
      </c>
      <c r="B7" s="60"/>
      <c r="C7" s="83"/>
      <c r="D7" s="60"/>
      <c r="E7" s="94"/>
      <c r="F7" s="60"/>
      <c r="G7" s="84"/>
    </row>
    <row r="8" spans="1:9" x14ac:dyDescent="0.2">
      <c r="A8" s="32" t="s">
        <v>194</v>
      </c>
      <c r="B8" s="142"/>
      <c r="C8" s="143"/>
      <c r="D8" s="142"/>
      <c r="E8" s="143"/>
      <c r="F8" s="142"/>
      <c r="G8" s="144"/>
    </row>
    <row r="9" spans="1:9" x14ac:dyDescent="0.2">
      <c r="A9" s="70"/>
      <c r="B9" s="53"/>
      <c r="C9" s="145"/>
      <c r="D9" s="53"/>
      <c r="E9" s="53"/>
      <c r="F9" s="53"/>
      <c r="G9" s="53"/>
    </row>
    <row r="10" spans="1:9" ht="15.75" x14ac:dyDescent="0.25">
      <c r="A10" s="146" t="s">
        <v>258</v>
      </c>
      <c r="B10" s="147"/>
      <c r="C10" s="147"/>
      <c r="D10" s="147"/>
      <c r="E10" s="147"/>
      <c r="F10" s="147"/>
      <c r="G10" s="147"/>
      <c r="H10" s="147"/>
      <c r="I10" s="148"/>
    </row>
    <row r="11" spans="1:9" x14ac:dyDescent="0.2">
      <c r="A11" s="149" t="s">
        <v>259</v>
      </c>
      <c r="B11" s="150" t="s">
        <v>260</v>
      </c>
      <c r="C11" s="150" t="s">
        <v>261</v>
      </c>
      <c r="D11" s="150" t="s">
        <v>262</v>
      </c>
      <c r="E11" s="150" t="s">
        <v>261</v>
      </c>
      <c r="F11" s="150" t="s">
        <v>263</v>
      </c>
      <c r="G11" s="150" t="s">
        <v>262</v>
      </c>
      <c r="H11" s="150"/>
      <c r="I11" s="151" t="s">
        <v>264</v>
      </c>
    </row>
    <row r="12" spans="1:9" x14ac:dyDescent="0.2">
      <c r="A12" s="152"/>
      <c r="B12" s="153"/>
      <c r="C12" s="153" t="s">
        <v>265</v>
      </c>
      <c r="D12" s="153" t="s">
        <v>265</v>
      </c>
      <c r="E12" s="153" t="s">
        <v>36</v>
      </c>
      <c r="F12" s="153" t="s">
        <v>266</v>
      </c>
      <c r="G12" s="153" t="s">
        <v>36</v>
      </c>
      <c r="H12" s="153" t="s">
        <v>267</v>
      </c>
      <c r="I12" s="154" t="s">
        <v>268</v>
      </c>
    </row>
    <row r="13" spans="1:9" x14ac:dyDescent="0.2">
      <c r="A13" s="155"/>
      <c r="B13" s="79"/>
      <c r="C13" s="79"/>
      <c r="D13" s="79"/>
      <c r="E13" s="79"/>
      <c r="F13" s="156"/>
      <c r="G13" s="79"/>
      <c r="H13" s="157"/>
      <c r="I13" s="80"/>
    </row>
    <row r="14" spans="1:9" x14ac:dyDescent="0.2">
      <c r="A14" s="158"/>
      <c r="B14" s="60"/>
      <c r="C14" s="60"/>
      <c r="D14" s="60"/>
      <c r="E14" s="60"/>
      <c r="F14" s="25"/>
      <c r="G14" s="60"/>
      <c r="H14" s="94"/>
      <c r="I14" s="61"/>
    </row>
    <row r="15" spans="1:9" x14ac:dyDescent="0.2">
      <c r="A15" s="158"/>
      <c r="B15" s="60"/>
      <c r="C15" s="60"/>
      <c r="D15" s="60"/>
      <c r="E15" s="60"/>
      <c r="F15" s="25"/>
      <c r="G15" s="60"/>
      <c r="H15" s="94"/>
      <c r="I15" s="61"/>
    </row>
    <row r="16" spans="1:9" x14ac:dyDescent="0.2">
      <c r="A16" s="158"/>
      <c r="B16" s="60"/>
      <c r="C16" s="60"/>
      <c r="D16" s="60"/>
      <c r="E16" s="60"/>
      <c r="F16" s="25"/>
      <c r="G16" s="60"/>
      <c r="H16" s="94"/>
      <c r="I16" s="61"/>
    </row>
    <row r="17" spans="1:9" x14ac:dyDescent="0.2">
      <c r="A17" s="158"/>
      <c r="B17" s="60"/>
      <c r="C17" s="60"/>
      <c r="D17" s="60"/>
      <c r="E17" s="60"/>
      <c r="F17" s="25"/>
      <c r="G17" s="60"/>
      <c r="H17" s="94"/>
      <c r="I17" s="61"/>
    </row>
    <row r="18" spans="1:9" x14ac:dyDescent="0.2">
      <c r="A18" s="158"/>
      <c r="B18" s="60"/>
      <c r="C18" s="60"/>
      <c r="D18" s="60"/>
      <c r="E18" s="60"/>
      <c r="F18" s="25"/>
      <c r="G18" s="60"/>
      <c r="H18" s="94"/>
      <c r="I18" s="61"/>
    </row>
    <row r="19" spans="1:9" x14ac:dyDescent="0.2">
      <c r="A19" s="158"/>
      <c r="B19" s="60"/>
      <c r="C19" s="60"/>
      <c r="D19" s="60"/>
      <c r="E19" s="60"/>
      <c r="F19" s="25"/>
      <c r="G19" s="60"/>
      <c r="H19" s="94"/>
      <c r="I19" s="61"/>
    </row>
    <row r="20" spans="1:9" x14ac:dyDescent="0.2">
      <c r="A20" s="159"/>
      <c r="B20" s="65"/>
      <c r="C20" s="65"/>
      <c r="D20" s="74"/>
      <c r="E20" s="65"/>
      <c r="F20" s="29"/>
      <c r="G20" s="74"/>
      <c r="H20" s="160"/>
      <c r="I20" s="75"/>
    </row>
    <row r="21" spans="1:9" x14ac:dyDescent="0.2">
      <c r="A21" s="161" t="s">
        <v>269</v>
      </c>
      <c r="B21" s="162"/>
      <c r="C21" s="162"/>
      <c r="D21" s="163"/>
      <c r="E21" s="162"/>
      <c r="F21" s="164"/>
      <c r="G21" s="163"/>
      <c r="H21" s="165"/>
      <c r="I21" s="163"/>
    </row>
    <row r="22" spans="1:9" x14ac:dyDescent="0.2">
      <c r="A22" s="155"/>
      <c r="B22" s="79"/>
      <c r="C22" s="79"/>
      <c r="D22" s="58"/>
      <c r="E22" s="79"/>
      <c r="F22" s="156"/>
      <c r="G22" s="58"/>
      <c r="H22" s="157"/>
      <c r="I22" s="59"/>
    </row>
    <row r="23" spans="1:9" x14ac:dyDescent="0.2">
      <c r="A23" s="158"/>
      <c r="B23" s="60"/>
      <c r="C23" s="60"/>
      <c r="D23" s="60"/>
      <c r="E23" s="60"/>
      <c r="F23" s="25"/>
      <c r="G23" s="60"/>
      <c r="H23" s="94"/>
      <c r="I23" s="61"/>
    </row>
    <row r="24" spans="1:9" x14ac:dyDescent="0.2">
      <c r="A24" s="166"/>
      <c r="B24" s="60"/>
      <c r="C24" s="60"/>
      <c r="D24" s="60"/>
      <c r="E24" s="60"/>
      <c r="F24" s="60"/>
      <c r="G24" s="60"/>
      <c r="H24" s="83"/>
      <c r="I24" s="61"/>
    </row>
    <row r="25" spans="1:9" x14ac:dyDescent="0.2">
      <c r="A25" s="166"/>
      <c r="B25" s="60"/>
      <c r="C25" s="60"/>
      <c r="D25" s="60"/>
      <c r="E25" s="60"/>
      <c r="F25" s="60"/>
      <c r="G25" s="60"/>
      <c r="H25" s="83"/>
      <c r="I25" s="61"/>
    </row>
    <row r="26" spans="1:9" x14ac:dyDescent="0.2">
      <c r="A26" s="166"/>
      <c r="B26" s="60"/>
      <c r="C26" s="60"/>
      <c r="D26" s="60"/>
      <c r="E26" s="60"/>
      <c r="F26" s="60"/>
      <c r="G26" s="60"/>
      <c r="H26" s="83"/>
      <c r="I26" s="61"/>
    </row>
    <row r="27" spans="1:9" x14ac:dyDescent="0.2">
      <c r="A27" s="166"/>
      <c r="B27" s="60"/>
      <c r="C27" s="60"/>
      <c r="D27" s="60"/>
      <c r="E27" s="60"/>
      <c r="F27" s="60"/>
      <c r="G27" s="60"/>
      <c r="H27" s="83"/>
      <c r="I27" s="61"/>
    </row>
    <row r="28" spans="1:9" x14ac:dyDescent="0.2">
      <c r="A28" s="166"/>
      <c r="B28" s="60"/>
      <c r="C28" s="60"/>
      <c r="D28" s="60"/>
      <c r="E28" s="60"/>
      <c r="F28" s="60"/>
      <c r="G28" s="60"/>
      <c r="H28" s="83"/>
      <c r="I28" s="61"/>
    </row>
    <row r="29" spans="1:9" x14ac:dyDescent="0.2">
      <c r="A29" s="166"/>
      <c r="B29" s="60"/>
      <c r="C29" s="60"/>
      <c r="D29" s="60"/>
      <c r="E29" s="60"/>
      <c r="F29" s="60"/>
      <c r="G29" s="60"/>
      <c r="H29" s="83"/>
      <c r="I29" s="61"/>
    </row>
    <row r="30" spans="1:9" x14ac:dyDescent="0.2">
      <c r="A30" s="166"/>
      <c r="B30" s="60"/>
      <c r="C30" s="60"/>
      <c r="D30" s="60"/>
      <c r="E30" s="60"/>
      <c r="F30" s="60"/>
      <c r="G30" s="60"/>
      <c r="H30" s="83"/>
      <c r="I30" s="61"/>
    </row>
    <row r="31" spans="1:9" x14ac:dyDescent="0.2">
      <c r="A31" s="166"/>
      <c r="B31" s="60"/>
      <c r="C31" s="60"/>
      <c r="D31" s="60"/>
      <c r="E31" s="60"/>
      <c r="F31" s="60"/>
      <c r="G31" s="60"/>
      <c r="H31" s="83"/>
      <c r="I31" s="61"/>
    </row>
    <row r="32" spans="1:9" x14ac:dyDescent="0.2">
      <c r="A32" s="166"/>
      <c r="B32" s="60"/>
      <c r="C32" s="60"/>
      <c r="D32" s="60"/>
      <c r="E32" s="60"/>
      <c r="F32" s="60"/>
      <c r="G32" s="60"/>
      <c r="H32" s="83"/>
      <c r="I32" s="61"/>
    </row>
    <row r="33" spans="1:9" x14ac:dyDescent="0.2">
      <c r="A33" s="166"/>
      <c r="B33" s="60"/>
      <c r="C33" s="60"/>
      <c r="D33" s="60"/>
      <c r="E33" s="60"/>
      <c r="F33" s="60"/>
      <c r="G33" s="60"/>
      <c r="H33" s="83"/>
      <c r="I33" s="61"/>
    </row>
    <row r="34" spans="1:9" x14ac:dyDescent="0.2">
      <c r="A34" s="166"/>
      <c r="B34" s="60"/>
      <c r="C34" s="60"/>
      <c r="D34" s="60"/>
      <c r="E34" s="60"/>
      <c r="F34" s="60"/>
      <c r="G34" s="60"/>
      <c r="H34" s="83"/>
      <c r="I34" s="61"/>
    </row>
    <row r="35" spans="1:9" x14ac:dyDescent="0.2">
      <c r="A35" s="166"/>
      <c r="B35" s="60"/>
      <c r="C35" s="60"/>
      <c r="D35" s="60"/>
      <c r="E35" s="60"/>
      <c r="F35" s="25"/>
      <c r="G35" s="60"/>
      <c r="H35" s="94"/>
      <c r="I35" s="61"/>
    </row>
    <row r="36" spans="1:9" x14ac:dyDescent="0.2">
      <c r="A36" s="166"/>
      <c r="B36" s="60"/>
      <c r="C36" s="60"/>
      <c r="D36" s="60"/>
      <c r="E36" s="60"/>
      <c r="F36" s="60"/>
      <c r="G36" s="60"/>
      <c r="H36" s="83"/>
      <c r="I36" s="61"/>
    </row>
    <row r="37" spans="1:9" x14ac:dyDescent="0.2">
      <c r="A37" s="166"/>
      <c r="B37" s="60"/>
      <c r="C37" s="60"/>
      <c r="D37" s="60"/>
      <c r="E37" s="60"/>
      <c r="F37" s="25"/>
      <c r="G37" s="60"/>
      <c r="H37" s="94"/>
      <c r="I37" s="61"/>
    </row>
    <row r="38" spans="1:9" x14ac:dyDescent="0.2">
      <c r="A38" s="166"/>
      <c r="B38" s="60"/>
      <c r="C38" s="60"/>
      <c r="D38" s="60"/>
      <c r="E38" s="60"/>
      <c r="F38" s="60"/>
      <c r="G38" s="60"/>
      <c r="H38" s="83"/>
      <c r="I38" s="61"/>
    </row>
    <row r="39" spans="1:9" x14ac:dyDescent="0.2">
      <c r="A39" s="166"/>
      <c r="B39" s="60"/>
      <c r="C39" s="60"/>
      <c r="D39" s="60"/>
      <c r="E39" s="60"/>
      <c r="F39" s="25"/>
      <c r="G39" s="60"/>
      <c r="H39" s="94"/>
      <c r="I39" s="61"/>
    </row>
    <row r="40" spans="1:9" x14ac:dyDescent="0.2">
      <c r="A40" s="166"/>
      <c r="B40" s="60"/>
      <c r="C40" s="60"/>
      <c r="D40" s="60"/>
      <c r="E40" s="60"/>
      <c r="F40" s="60"/>
      <c r="G40" s="60"/>
      <c r="H40" s="83"/>
      <c r="I40" s="61"/>
    </row>
    <row r="41" spans="1:9" x14ac:dyDescent="0.2">
      <c r="A41" s="166"/>
      <c r="B41" s="60"/>
      <c r="C41" s="60"/>
      <c r="D41" s="60"/>
      <c r="E41" s="60"/>
      <c r="F41" s="25"/>
      <c r="G41" s="60"/>
      <c r="H41" s="94"/>
      <c r="I41" s="61"/>
    </row>
    <row r="42" spans="1:9" x14ac:dyDescent="0.2">
      <c r="A42" s="166"/>
      <c r="B42" s="60"/>
      <c r="C42" s="60"/>
      <c r="D42" s="60"/>
      <c r="E42" s="60"/>
      <c r="F42" s="60"/>
      <c r="G42" s="60"/>
      <c r="H42" s="83"/>
      <c r="I42" s="61"/>
    </row>
    <row r="43" spans="1:9" x14ac:dyDescent="0.2">
      <c r="A43" s="166"/>
      <c r="B43" s="60"/>
      <c r="C43" s="60"/>
      <c r="D43" s="60"/>
      <c r="E43" s="60"/>
      <c r="F43" s="25"/>
      <c r="G43" s="60"/>
      <c r="H43" s="94"/>
      <c r="I43" s="61"/>
    </row>
    <row r="44" spans="1:9" x14ac:dyDescent="0.2">
      <c r="A44" s="166"/>
      <c r="B44" s="60"/>
      <c r="C44" s="60"/>
      <c r="D44" s="60"/>
      <c r="E44" s="60"/>
      <c r="F44" s="60"/>
      <c r="G44" s="60"/>
      <c r="H44" s="83"/>
      <c r="I44" s="61"/>
    </row>
    <row r="45" spans="1:9" x14ac:dyDescent="0.2">
      <c r="A45" s="166"/>
      <c r="B45" s="60"/>
      <c r="C45" s="60"/>
      <c r="D45" s="60"/>
      <c r="E45" s="60"/>
      <c r="F45" s="25"/>
      <c r="G45" s="60"/>
      <c r="H45" s="94"/>
      <c r="I45" s="61"/>
    </row>
    <row r="46" spans="1:9" x14ac:dyDescent="0.2">
      <c r="A46" s="166"/>
      <c r="B46" s="60"/>
      <c r="C46" s="60"/>
      <c r="D46" s="60"/>
      <c r="E46" s="60"/>
      <c r="F46" s="60"/>
      <c r="G46" s="60"/>
      <c r="H46" s="83"/>
      <c r="I46" s="61"/>
    </row>
    <row r="47" spans="1:9" x14ac:dyDescent="0.2">
      <c r="A47" s="166"/>
      <c r="B47" s="60"/>
      <c r="C47" s="60"/>
      <c r="D47" s="60"/>
      <c r="E47" s="60"/>
      <c r="F47" s="25"/>
      <c r="G47" s="60"/>
      <c r="H47" s="94"/>
      <c r="I47" s="61"/>
    </row>
    <row r="48" spans="1:9" x14ac:dyDescent="0.2">
      <c r="A48" s="166"/>
      <c r="B48" s="60"/>
      <c r="C48" s="60"/>
      <c r="D48" s="60"/>
      <c r="E48" s="60"/>
      <c r="F48" s="60"/>
      <c r="G48" s="60"/>
      <c r="H48" s="83"/>
      <c r="I48" s="61"/>
    </row>
    <row r="49" spans="1:9" x14ac:dyDescent="0.2">
      <c r="A49" s="166"/>
      <c r="B49" s="60"/>
      <c r="C49" s="60"/>
      <c r="D49" s="60"/>
      <c r="E49" s="60"/>
      <c r="F49" s="25"/>
      <c r="G49" s="60"/>
      <c r="H49" s="94"/>
      <c r="I49" s="61"/>
    </row>
    <row r="50" spans="1:9" x14ac:dyDescent="0.2">
      <c r="A50" s="166"/>
      <c r="B50" s="60"/>
      <c r="C50" s="60"/>
      <c r="D50" s="60"/>
      <c r="E50" s="60"/>
      <c r="F50" s="60"/>
      <c r="G50" s="60"/>
      <c r="H50" s="83"/>
      <c r="I50" s="61"/>
    </row>
    <row r="51" spans="1:9" x14ac:dyDescent="0.2">
      <c r="A51" s="166"/>
      <c r="B51" s="60"/>
      <c r="C51" s="60"/>
      <c r="D51" s="60"/>
      <c r="E51" s="60"/>
      <c r="F51" s="25"/>
      <c r="G51" s="60"/>
      <c r="H51" s="94"/>
      <c r="I51" s="61"/>
    </row>
    <row r="52" spans="1:9" x14ac:dyDescent="0.2">
      <c r="A52" s="166"/>
      <c r="B52" s="60"/>
      <c r="C52" s="60"/>
      <c r="D52" s="60"/>
      <c r="E52" s="60"/>
      <c r="F52" s="60"/>
      <c r="G52" s="60"/>
      <c r="H52" s="83"/>
      <c r="I52" s="61"/>
    </row>
    <row r="53" spans="1:9" x14ac:dyDescent="0.2">
      <c r="A53" s="158"/>
      <c r="B53" s="60"/>
      <c r="C53" s="60"/>
      <c r="D53" s="60"/>
      <c r="E53" s="60"/>
      <c r="F53" s="25"/>
      <c r="G53" s="60"/>
      <c r="H53" s="94"/>
      <c r="I53" s="61"/>
    </row>
    <row r="54" spans="1:9" x14ac:dyDescent="0.2">
      <c r="A54" s="78" t="s">
        <v>270</v>
      </c>
      <c r="B54" s="142"/>
      <c r="C54" s="142"/>
      <c r="D54" s="142"/>
      <c r="E54" s="142"/>
      <c r="F54" s="167"/>
      <c r="G54" s="142"/>
      <c r="H54" s="168"/>
      <c r="I54" s="169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InfoInicial</vt:lpstr>
      <vt:lpstr>E-Inv AF y Am</vt:lpstr>
      <vt:lpstr>E-Costos</vt:lpstr>
      <vt:lpstr>punto de equilibrio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Consumo MP</vt:lpstr>
      <vt:lpstr>Cuadro resumen</vt:lpstr>
      <vt:lpstr>Stocks Mp</vt:lpstr>
      <vt:lpstr>Salarios</vt:lpstr>
      <vt:lpstr>'E-Costos'!Print_Area</vt:lpstr>
      <vt:lpstr>'F- CFyU'!Print_Area</vt:lpstr>
      <vt:lpstr>'F-Balance'!Print_Area</vt:lpstr>
      <vt:lpstr>'F-Cred'!Print_Area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saenz</dc:creator>
  <cp:lastModifiedBy>Agustin</cp:lastModifiedBy>
  <cp:revision/>
  <dcterms:created xsi:type="dcterms:W3CDTF">2016-09-16T11:18:23Z</dcterms:created>
  <dcterms:modified xsi:type="dcterms:W3CDTF">2016-09-29T19:17:26Z</dcterms:modified>
</cp:coreProperties>
</file>