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8800" windowHeight="12435" tabRatio="500" firstSheet="2" activeTab="9"/>
  </bookViews>
  <sheets>
    <sheet name="InfoInicial" sheetId="1" r:id="rId1"/>
    <sheet name="E-Inv AF y Am" sheetId="2" r:id="rId2"/>
    <sheet name="Detalle Inv AF" sheetId="15" r:id="rId3"/>
    <sheet name="E-Costos" sheetId="3" r:id="rId4"/>
    <sheet name="Detalle Costo" sheetId="16" r:id="rId5"/>
    <sheet name="E-InvAT" sheetId="4" r:id="rId6"/>
    <sheet name="Detalle Inv-AT" sheetId="17" r:id="rId7"/>
    <sheet name="E-Cal Inv." sheetId="5" r:id="rId8"/>
    <sheet name="E-IVA " sheetId="6" r:id="rId9"/>
    <sheet name="E-Form" sheetId="7" r:id="rId10"/>
    <sheet name="F-Cred" sheetId="8" r:id="rId11"/>
    <sheet name="F-CRes" sheetId="9" r:id="rId12"/>
    <sheet name="F-2 Estructura" sheetId="10" r:id="rId13"/>
    <sheet name="F-IVA" sheetId="11" r:id="rId14"/>
    <sheet name="F- CFyU" sheetId="12" r:id="rId15"/>
    <sheet name="F-Balance" sheetId="13" r:id="rId16"/>
    <sheet name="F- Form" sheetId="14" r:id="rId17"/>
  </sheets>
  <definedNames>
    <definedName name="_xlnm.Print_Area" localSheetId="3">('E-Costos'!$A$3:$G$46,'E-Costos'!$A$49:$F$80,'E-Costos'!$A$83:$F$135)</definedName>
    <definedName name="_xlnm.Print_Area" localSheetId="14">'F- CFyU'!$A$3:$H$28</definedName>
    <definedName name="_xlnm.Print_Area" localSheetId="15">'F-Balance'!$A$3:$G$35</definedName>
    <definedName name="_xlnm.Print_Area" localSheetId="10">'F-Cred'!$A$1:$I$54</definedName>
    <definedName name="Excel_BuiltIn_Print_Area" localSheetId="14">('F- CFyU'!#REF!,'F- CFyU'!#REF!,'F- CFyU'!$A$3:$H$28)</definedName>
    <definedName name="Excel_BuiltIn_Print_Area" localSheetId="15">('F-Balance'!#REF!,'F-Balance'!#REF!,'F-Balance'!$A$3:$G$35)</definedName>
  </definedNames>
  <calcPr calcId="152511" concurrentCalc="0"/>
</workbook>
</file>

<file path=xl/calcChain.xml><?xml version="1.0" encoding="utf-8"?>
<calcChain xmlns="http://schemas.openxmlformats.org/spreadsheetml/2006/main">
  <c r="D15" i="7" l="1"/>
  <c r="D14" i="7"/>
  <c r="D13" i="7"/>
  <c r="M6" i="7"/>
  <c r="M7" i="7"/>
  <c r="M8" i="7"/>
  <c r="M9" i="7"/>
  <c r="M5" i="7"/>
  <c r="M4" i="7"/>
  <c r="L5" i="7"/>
  <c r="L6" i="7"/>
  <c r="L7" i="7"/>
  <c r="L8" i="7"/>
  <c r="L9" i="7"/>
  <c r="L4" i="7"/>
  <c r="K5" i="7"/>
  <c r="K6" i="7"/>
  <c r="K7" i="7"/>
  <c r="K8" i="7"/>
  <c r="K9" i="7"/>
  <c r="K4" i="7"/>
  <c r="J6" i="7"/>
  <c r="J7" i="7"/>
  <c r="J8" i="7"/>
  <c r="J9" i="7"/>
  <c r="J5" i="7"/>
  <c r="H6" i="7"/>
  <c r="H7" i="7"/>
  <c r="H8" i="7"/>
  <c r="H9" i="7"/>
  <c r="H5" i="7"/>
  <c r="G5" i="7"/>
  <c r="G6" i="7"/>
  <c r="G7" i="7"/>
  <c r="G8" i="7"/>
  <c r="I11" i="7"/>
  <c r="B9" i="7"/>
  <c r="G9" i="7"/>
  <c r="G4" i="7"/>
  <c r="E6" i="7"/>
  <c r="E7" i="7"/>
  <c r="E8" i="7"/>
  <c r="E9" i="7"/>
  <c r="F6" i="7"/>
  <c r="F7" i="7"/>
  <c r="F8" i="7"/>
  <c r="F9" i="7"/>
  <c r="F5" i="7"/>
  <c r="E5" i="7"/>
  <c r="D5" i="7"/>
  <c r="D6" i="7"/>
  <c r="D7" i="7"/>
  <c r="D8" i="7"/>
  <c r="D4" i="7"/>
  <c r="C9" i="7"/>
  <c r="C5" i="7"/>
  <c r="C6" i="7"/>
  <c r="C7" i="7"/>
  <c r="C8" i="7"/>
  <c r="C4" i="7"/>
  <c r="L11" i="7"/>
  <c r="B11" i="7"/>
  <c r="C11" i="7"/>
  <c r="D11" i="7"/>
  <c r="E11" i="7"/>
  <c r="F11" i="7"/>
  <c r="G11" i="7"/>
  <c r="H11" i="7"/>
  <c r="J11" i="7"/>
  <c r="K11" i="7"/>
  <c r="I6" i="7"/>
  <c r="I7" i="7"/>
  <c r="I8" i="7"/>
  <c r="I9" i="7"/>
  <c r="I5" i="7"/>
  <c r="B5" i="7"/>
  <c r="B4" i="7"/>
  <c r="D30" i="6"/>
  <c r="G28" i="6"/>
  <c r="D25" i="6"/>
  <c r="D26" i="6"/>
  <c r="D27" i="6"/>
  <c r="E25" i="6"/>
  <c r="E26" i="6"/>
  <c r="E30" i="6"/>
  <c r="E27" i="6"/>
  <c r="F25" i="6"/>
  <c r="F26" i="6"/>
  <c r="F30" i="6"/>
  <c r="F27" i="6"/>
  <c r="G25" i="6"/>
  <c r="G26" i="6"/>
  <c r="G30" i="6"/>
  <c r="G27" i="6"/>
  <c r="D28" i="6"/>
  <c r="E28" i="6"/>
  <c r="F28" i="6"/>
  <c r="C30" i="6"/>
  <c r="C28" i="6"/>
  <c r="C27" i="6"/>
  <c r="C26" i="6"/>
  <c r="C25" i="6"/>
  <c r="B27" i="6"/>
  <c r="B26" i="6"/>
  <c r="D19" i="6"/>
  <c r="E19" i="6"/>
  <c r="F19" i="6"/>
  <c r="G19" i="6"/>
  <c r="C19" i="6"/>
  <c r="D18" i="6"/>
  <c r="E18" i="6"/>
  <c r="F18" i="6"/>
  <c r="G18" i="6"/>
  <c r="C18" i="6"/>
  <c r="C32" i="4"/>
  <c r="C13" i="6"/>
  <c r="D12" i="6"/>
  <c r="D17" i="6"/>
  <c r="D21" i="6"/>
  <c r="D23" i="6"/>
  <c r="E12" i="6"/>
  <c r="E17" i="6"/>
  <c r="E21" i="6"/>
  <c r="E23" i="6"/>
  <c r="F12" i="6"/>
  <c r="F17" i="6"/>
  <c r="F21" i="6"/>
  <c r="F23" i="6"/>
  <c r="G12" i="6"/>
  <c r="G17" i="6"/>
  <c r="G21" i="6"/>
  <c r="G23" i="6"/>
  <c r="C12" i="6"/>
  <c r="C15" i="6"/>
  <c r="C17" i="6"/>
  <c r="C21" i="6"/>
  <c r="C23" i="6"/>
  <c r="D22" i="6"/>
  <c r="E22" i="6"/>
  <c r="F22" i="6"/>
  <c r="G22" i="6"/>
  <c r="C22" i="6"/>
  <c r="C16" i="6"/>
  <c r="D16" i="6"/>
  <c r="E16" i="6"/>
  <c r="F16" i="6"/>
  <c r="G16" i="6"/>
  <c r="D15" i="6"/>
  <c r="E15" i="6"/>
  <c r="F15" i="6"/>
  <c r="G15" i="6"/>
  <c r="C6" i="6"/>
  <c r="C7" i="6"/>
  <c r="C8" i="6"/>
  <c r="C9" i="6"/>
  <c r="D8" i="6"/>
  <c r="E8" i="6"/>
  <c r="F8" i="6"/>
  <c r="G8" i="6"/>
  <c r="D6" i="6"/>
  <c r="E6" i="6"/>
  <c r="F6" i="6"/>
  <c r="G6" i="6"/>
  <c r="D7" i="6"/>
  <c r="E7" i="6"/>
  <c r="F7" i="6"/>
  <c r="G7" i="6"/>
  <c r="D9" i="6"/>
  <c r="E9" i="6"/>
  <c r="F9" i="6"/>
  <c r="G9" i="6"/>
  <c r="B29" i="2"/>
  <c r="B31" i="2"/>
  <c r="C7" i="5"/>
  <c r="C8" i="5"/>
  <c r="B53" i="2"/>
  <c r="D53" i="2"/>
  <c r="D56" i="2"/>
  <c r="B54" i="16"/>
  <c r="B56" i="16"/>
  <c r="C10" i="3"/>
  <c r="C15" i="3"/>
  <c r="C16" i="3"/>
  <c r="B94" i="16"/>
  <c r="B96" i="16"/>
  <c r="B53" i="3"/>
  <c r="C53" i="3"/>
  <c r="D53" i="3"/>
  <c r="C13" i="17"/>
  <c r="D13" i="17"/>
  <c r="B115" i="16"/>
  <c r="B117" i="16"/>
  <c r="B70" i="3"/>
  <c r="C70" i="3"/>
  <c r="D70" i="3"/>
  <c r="C14" i="17"/>
  <c r="D14" i="17"/>
  <c r="D11" i="17"/>
  <c r="D15" i="17"/>
  <c r="B11" i="4"/>
  <c r="C15" i="5"/>
  <c r="C18" i="5"/>
  <c r="B33" i="2"/>
  <c r="B34" i="2"/>
  <c r="C21" i="5"/>
  <c r="B31" i="4"/>
  <c r="B34" i="4"/>
  <c r="C22" i="5"/>
  <c r="C23" i="5"/>
  <c r="C25" i="5"/>
  <c r="C11" i="4"/>
  <c r="D15" i="5"/>
  <c r="B58" i="16"/>
  <c r="E52" i="16"/>
  <c r="B27" i="3"/>
  <c r="B33" i="3"/>
  <c r="B34" i="3"/>
  <c r="C12" i="4"/>
  <c r="D16" i="5"/>
  <c r="B10" i="3"/>
  <c r="B15" i="3"/>
  <c r="B16" i="3"/>
  <c r="B93" i="3"/>
  <c r="B41" i="3"/>
  <c r="B97" i="3"/>
  <c r="B99" i="3"/>
  <c r="B101" i="3"/>
  <c r="B104" i="3"/>
  <c r="C13" i="4"/>
  <c r="D17" i="5"/>
  <c r="D18" i="5"/>
  <c r="D22" i="17"/>
  <c r="C31" i="4"/>
  <c r="D18" i="17"/>
  <c r="C34" i="4"/>
  <c r="D22" i="5"/>
  <c r="D23" i="5"/>
  <c r="D25" i="5"/>
  <c r="D11" i="4"/>
  <c r="E15" i="5"/>
  <c r="B57" i="16"/>
  <c r="E53" i="16"/>
  <c r="C27" i="3"/>
  <c r="C33" i="3"/>
  <c r="C34" i="3"/>
  <c r="D12" i="4"/>
  <c r="E16" i="5"/>
  <c r="C93" i="3"/>
  <c r="C41" i="3"/>
  <c r="C97" i="3"/>
  <c r="C99" i="3"/>
  <c r="C101" i="3"/>
  <c r="H104" i="3"/>
  <c r="D13" i="4"/>
  <c r="E17" i="5"/>
  <c r="E18" i="5"/>
  <c r="E22" i="17"/>
  <c r="D31" i="4"/>
  <c r="E18" i="17"/>
  <c r="E19" i="17"/>
  <c r="D32" i="4"/>
  <c r="D34" i="4"/>
  <c r="E22" i="5"/>
  <c r="E23" i="5"/>
  <c r="E25" i="5"/>
  <c r="E11" i="4"/>
  <c r="F15" i="5"/>
  <c r="D27" i="3"/>
  <c r="D33" i="3"/>
  <c r="D34" i="3"/>
  <c r="E12" i="4"/>
  <c r="F16" i="5"/>
  <c r="D10" i="3"/>
  <c r="D15" i="3"/>
  <c r="D16" i="3"/>
  <c r="D93" i="3"/>
  <c r="D41" i="3"/>
  <c r="D97" i="3"/>
  <c r="D99" i="3"/>
  <c r="D101" i="3"/>
  <c r="I104" i="3"/>
  <c r="E13" i="4"/>
  <c r="F17" i="5"/>
  <c r="F18" i="5"/>
  <c r="F22" i="17"/>
  <c r="E31" i="4"/>
  <c r="F18" i="17"/>
  <c r="F19" i="17"/>
  <c r="E32" i="4"/>
  <c r="E34" i="4"/>
  <c r="F22" i="5"/>
  <c r="F23" i="5"/>
  <c r="F25" i="5"/>
  <c r="E53" i="3"/>
  <c r="C9" i="17"/>
  <c r="D9" i="17"/>
  <c r="E70" i="3"/>
  <c r="C10" i="17"/>
  <c r="D10" i="17"/>
  <c r="D7" i="17"/>
  <c r="F11" i="4"/>
  <c r="G15" i="5"/>
  <c r="E53" i="2"/>
  <c r="E56" i="2"/>
  <c r="B51" i="16"/>
  <c r="B52" i="16"/>
  <c r="E54" i="16"/>
  <c r="E27" i="3"/>
  <c r="E33" i="3"/>
  <c r="E34" i="3"/>
  <c r="F12" i="4"/>
  <c r="G16" i="5"/>
  <c r="E10" i="3"/>
  <c r="E15" i="3"/>
  <c r="E16" i="3"/>
  <c r="E93" i="3"/>
  <c r="E41" i="3"/>
  <c r="E97" i="3"/>
  <c r="E99" i="3"/>
  <c r="E101" i="3"/>
  <c r="J104" i="3"/>
  <c r="F13" i="4"/>
  <c r="G17" i="5"/>
  <c r="G18" i="5"/>
  <c r="G22" i="17"/>
  <c r="F31" i="4"/>
  <c r="G18" i="17"/>
  <c r="G19" i="17"/>
  <c r="F32" i="4"/>
  <c r="F34" i="4"/>
  <c r="G22" i="5"/>
  <c r="G23" i="5"/>
  <c r="G25" i="5"/>
  <c r="G11" i="4"/>
  <c r="H15" i="5"/>
  <c r="F27" i="3"/>
  <c r="F33" i="3"/>
  <c r="F34" i="3"/>
  <c r="G12" i="4"/>
  <c r="H16" i="5"/>
  <c r="F10" i="3"/>
  <c r="F15" i="3"/>
  <c r="F16" i="3"/>
  <c r="F93" i="3"/>
  <c r="F41" i="3"/>
  <c r="F97" i="3"/>
  <c r="F99" i="3"/>
  <c r="F101" i="3"/>
  <c r="K104" i="3"/>
  <c r="G13" i="4"/>
  <c r="H17" i="5"/>
  <c r="H18" i="5"/>
  <c r="H22" i="17"/>
  <c r="G31" i="4"/>
  <c r="H18" i="17"/>
  <c r="H19" i="17"/>
  <c r="G32" i="4"/>
  <c r="G34" i="4"/>
  <c r="H22" i="5"/>
  <c r="H23" i="5"/>
  <c r="H25" i="5"/>
  <c r="I22" i="5"/>
  <c r="I21" i="5"/>
  <c r="I23" i="5"/>
  <c r="I7" i="5"/>
  <c r="I8" i="5"/>
  <c r="I15" i="5"/>
  <c r="I16" i="5"/>
  <c r="I17" i="5"/>
  <c r="I18" i="5"/>
  <c r="I25" i="5"/>
  <c r="B23" i="5"/>
  <c r="B25" i="5"/>
  <c r="D8" i="5"/>
  <c r="E8" i="5"/>
  <c r="F8" i="5"/>
  <c r="G8" i="5"/>
  <c r="H8" i="5"/>
  <c r="B8" i="5"/>
  <c r="I6" i="5"/>
  <c r="B7" i="5"/>
  <c r="B49" i="2"/>
  <c r="B21" i="5"/>
  <c r="C6" i="5"/>
  <c r="D7" i="5"/>
  <c r="D21" i="5"/>
  <c r="B18" i="5"/>
  <c r="I14" i="5"/>
  <c r="E14" i="5"/>
  <c r="F14" i="5"/>
  <c r="G14" i="5"/>
  <c r="H14" i="5"/>
  <c r="D14" i="5"/>
  <c r="C14" i="5"/>
  <c r="I12" i="5"/>
  <c r="E12" i="5"/>
  <c r="F12" i="5"/>
  <c r="G12" i="5"/>
  <c r="H12" i="5"/>
  <c r="D12" i="5"/>
  <c r="I11" i="5"/>
  <c r="E11" i="5"/>
  <c r="F11" i="5"/>
  <c r="G11" i="5"/>
  <c r="H11" i="5"/>
  <c r="D11" i="5"/>
  <c r="C11" i="5"/>
  <c r="B9" i="4"/>
  <c r="B15" i="4"/>
  <c r="B22" i="4"/>
  <c r="B25" i="4"/>
  <c r="B36" i="4"/>
  <c r="D33" i="4"/>
  <c r="E33" i="4"/>
  <c r="F33" i="4"/>
  <c r="G33" i="4"/>
  <c r="C33" i="4"/>
  <c r="E35" i="17"/>
  <c r="F35" i="17"/>
  <c r="G35" i="17"/>
  <c r="D35" i="17"/>
  <c r="C35" i="17"/>
  <c r="D34" i="17"/>
  <c r="E34" i="17"/>
  <c r="F34" i="17"/>
  <c r="G34" i="17"/>
  <c r="C34" i="17"/>
  <c r="E33" i="17"/>
  <c r="F33" i="17"/>
  <c r="G33" i="17"/>
  <c r="D33" i="17"/>
  <c r="E32" i="17"/>
  <c r="F32" i="17"/>
  <c r="G32" i="17"/>
  <c r="D32" i="17"/>
  <c r="E31" i="17"/>
  <c r="F31" i="17"/>
  <c r="G31" i="17"/>
  <c r="E30" i="17"/>
  <c r="F30" i="17"/>
  <c r="G30" i="17"/>
  <c r="D30" i="17"/>
  <c r="D31" i="17"/>
  <c r="C33" i="17"/>
  <c r="C32" i="17"/>
  <c r="C31" i="17"/>
  <c r="C30" i="17"/>
  <c r="H9" i="17"/>
  <c r="G9" i="4"/>
  <c r="G15" i="4"/>
  <c r="G17" i="4"/>
  <c r="F17" i="4"/>
  <c r="G18" i="4"/>
  <c r="B88" i="16"/>
  <c r="F52" i="3"/>
  <c r="F53" i="3"/>
  <c r="F58" i="3"/>
  <c r="F60" i="3"/>
  <c r="F108" i="3"/>
  <c r="F69" i="3"/>
  <c r="F70" i="3"/>
  <c r="F75" i="3"/>
  <c r="F77" i="3"/>
  <c r="F109" i="3"/>
  <c r="F111" i="3"/>
  <c r="F115" i="3"/>
  <c r="F116" i="3"/>
  <c r="F117" i="3"/>
  <c r="F119" i="3"/>
  <c r="F120" i="3"/>
  <c r="G19" i="4"/>
  <c r="F124" i="3"/>
  <c r="G20" i="4"/>
  <c r="G16" i="4"/>
  <c r="G22" i="4"/>
  <c r="F9" i="4"/>
  <c r="F15" i="4"/>
  <c r="E17" i="4"/>
  <c r="F18" i="4"/>
  <c r="E52" i="3"/>
  <c r="E58" i="3"/>
  <c r="E60" i="3"/>
  <c r="E108" i="3"/>
  <c r="E69" i="3"/>
  <c r="E75" i="3"/>
  <c r="E77" i="3"/>
  <c r="E109" i="3"/>
  <c r="E111" i="3"/>
  <c r="E115" i="3"/>
  <c r="E116" i="3"/>
  <c r="E117" i="3"/>
  <c r="E119" i="3"/>
  <c r="E120" i="3"/>
  <c r="F19" i="4"/>
  <c r="E124" i="3"/>
  <c r="F20" i="4"/>
  <c r="F16" i="4"/>
  <c r="F22" i="4"/>
  <c r="G25" i="4"/>
  <c r="G30" i="4"/>
  <c r="G36" i="4"/>
  <c r="C9" i="4"/>
  <c r="C15" i="4"/>
  <c r="C17" i="4"/>
  <c r="C18" i="4"/>
  <c r="B87" i="16"/>
  <c r="B52" i="3"/>
  <c r="B58" i="3"/>
  <c r="B60" i="3"/>
  <c r="B108" i="3"/>
  <c r="B69" i="3"/>
  <c r="B75" i="3"/>
  <c r="B77" i="3"/>
  <c r="B109" i="3"/>
  <c r="B111" i="3"/>
  <c r="B115" i="3"/>
  <c r="B116" i="3"/>
  <c r="B117" i="3"/>
  <c r="B119" i="3"/>
  <c r="B120" i="3"/>
  <c r="C19" i="4"/>
  <c r="B124" i="3"/>
  <c r="C20" i="4"/>
  <c r="C16" i="4"/>
  <c r="C22" i="4"/>
  <c r="C25" i="4"/>
  <c r="C30" i="4"/>
  <c r="C36" i="4"/>
  <c r="D9" i="4"/>
  <c r="D15" i="4"/>
  <c r="D17" i="4"/>
  <c r="D18" i="4"/>
  <c r="C52" i="3"/>
  <c r="C58" i="3"/>
  <c r="C60" i="3"/>
  <c r="C108" i="3"/>
  <c r="C69" i="3"/>
  <c r="C75" i="3"/>
  <c r="C77" i="3"/>
  <c r="C109" i="3"/>
  <c r="C111" i="3"/>
  <c r="C115" i="3"/>
  <c r="C116" i="3"/>
  <c r="C117" i="3"/>
  <c r="C119" i="3"/>
  <c r="C120" i="3"/>
  <c r="D19" i="4"/>
  <c r="C124" i="3"/>
  <c r="D20" i="4"/>
  <c r="D16" i="4"/>
  <c r="D22" i="4"/>
  <c r="D25" i="4"/>
  <c r="D30" i="4"/>
  <c r="D36" i="4"/>
  <c r="E9" i="4"/>
  <c r="E15" i="4"/>
  <c r="E18" i="4"/>
  <c r="D52" i="3"/>
  <c r="D58" i="3"/>
  <c r="D60" i="3"/>
  <c r="D108" i="3"/>
  <c r="D69" i="3"/>
  <c r="D75" i="3"/>
  <c r="D77" i="3"/>
  <c r="D109" i="3"/>
  <c r="D111" i="3"/>
  <c r="D115" i="3"/>
  <c r="D116" i="3"/>
  <c r="D117" i="3"/>
  <c r="D119" i="3"/>
  <c r="D120" i="3"/>
  <c r="E19" i="4"/>
  <c r="D124" i="3"/>
  <c r="E20" i="4"/>
  <c r="E16" i="4"/>
  <c r="E22" i="4"/>
  <c r="E25" i="4"/>
  <c r="E30" i="4"/>
  <c r="E36" i="4"/>
  <c r="F25" i="4"/>
  <c r="F30" i="4"/>
  <c r="F36" i="4"/>
  <c r="C22" i="17"/>
  <c r="E21" i="17"/>
  <c r="F21" i="17"/>
  <c r="G21" i="17"/>
  <c r="H21" i="17"/>
  <c r="D21" i="17"/>
  <c r="C21" i="17"/>
  <c r="D19" i="17"/>
  <c r="B32" i="4"/>
  <c r="B33" i="4"/>
  <c r="B30" i="4"/>
  <c r="D24" i="4"/>
  <c r="E24" i="4"/>
  <c r="F24" i="4"/>
  <c r="G24" i="4"/>
  <c r="C24" i="4"/>
  <c r="B24" i="4"/>
  <c r="B12" i="2"/>
  <c r="B13" i="2"/>
  <c r="B14" i="2"/>
  <c r="B15" i="2"/>
  <c r="B16" i="2"/>
  <c r="E25" i="15"/>
  <c r="B26" i="15"/>
  <c r="D11" i="2"/>
  <c r="B40" i="15"/>
  <c r="B41" i="15"/>
  <c r="B23" i="2"/>
  <c r="B17" i="15"/>
  <c r="B18" i="15"/>
  <c r="B11" i="15"/>
  <c r="B12" i="15"/>
  <c r="F4" i="15"/>
  <c r="B25" i="2"/>
  <c r="F17" i="15"/>
  <c r="F14" i="15"/>
  <c r="F15" i="15"/>
  <c r="F18" i="15"/>
  <c r="F19" i="15"/>
  <c r="F9" i="15"/>
  <c r="F10" i="15"/>
  <c r="F11" i="15"/>
  <c r="F20" i="15"/>
  <c r="C26" i="2"/>
  <c r="C31" i="2"/>
  <c r="C53" i="2"/>
  <c r="B8" i="2"/>
  <c r="B44" i="2"/>
  <c r="C44" i="2"/>
  <c r="D44" i="2"/>
  <c r="B9" i="2"/>
  <c r="B45" i="2"/>
  <c r="C45" i="2"/>
  <c r="D45" i="2"/>
  <c r="B46" i="2"/>
  <c r="C46" i="2"/>
  <c r="D46" i="2"/>
  <c r="B47" i="2"/>
  <c r="C47" i="2"/>
  <c r="D47" i="2"/>
  <c r="B48" i="2"/>
  <c r="C48" i="2"/>
  <c r="D48" i="2"/>
  <c r="B5" i="15"/>
  <c r="B6" i="15"/>
  <c r="B7" i="2"/>
  <c r="B18" i="2"/>
  <c r="C49" i="2"/>
  <c r="D49" i="2"/>
  <c r="B50" i="2"/>
  <c r="C50" i="2"/>
  <c r="D50" i="2"/>
  <c r="D51" i="2"/>
  <c r="B55" i="16"/>
  <c r="I28" i="16"/>
  <c r="K28" i="16"/>
  <c r="I32" i="16"/>
  <c r="E44" i="2"/>
  <c r="E45" i="2"/>
  <c r="E46" i="2"/>
  <c r="E47" i="2"/>
  <c r="E48" i="2"/>
  <c r="E49" i="2"/>
  <c r="E51" i="2"/>
  <c r="E3" i="16"/>
  <c r="F3" i="16"/>
  <c r="G3" i="16"/>
  <c r="H3" i="16"/>
  <c r="H4" i="16"/>
  <c r="H5" i="16"/>
  <c r="H7" i="16"/>
  <c r="F32" i="16"/>
  <c r="E28" i="16"/>
  <c r="F28" i="16"/>
  <c r="G10" i="16"/>
  <c r="E10" i="16"/>
  <c r="F10" i="16"/>
  <c r="H10" i="16"/>
  <c r="H11" i="16"/>
  <c r="H12" i="16"/>
  <c r="G13" i="16"/>
  <c r="E13" i="16"/>
  <c r="F13" i="16"/>
  <c r="H13" i="16"/>
  <c r="H14" i="16"/>
  <c r="L4" i="16"/>
  <c r="E4" i="16"/>
  <c r="E5" i="16"/>
  <c r="E6" i="16"/>
  <c r="E7" i="16"/>
  <c r="D17" i="16"/>
  <c r="E17" i="16"/>
  <c r="E11" i="16"/>
  <c r="E12" i="16"/>
  <c r="E14" i="16"/>
  <c r="D18" i="16"/>
  <c r="E18" i="16"/>
  <c r="E19" i="16"/>
  <c r="L5" i="16"/>
  <c r="L6" i="16"/>
  <c r="L11" i="16"/>
  <c r="F7" i="3"/>
  <c r="B40" i="16"/>
  <c r="B41" i="16"/>
  <c r="F8" i="3"/>
  <c r="B63" i="16"/>
  <c r="B65" i="16"/>
  <c r="B66" i="16"/>
  <c r="F11" i="3"/>
  <c r="B20" i="2"/>
  <c r="I44" i="16"/>
  <c r="I45" i="16"/>
  <c r="I46" i="16"/>
  <c r="C7" i="3"/>
  <c r="I47" i="16"/>
  <c r="I49" i="16"/>
  <c r="F12" i="3"/>
  <c r="I66" i="16"/>
  <c r="F13" i="3"/>
  <c r="P43" i="16"/>
  <c r="P42" i="16"/>
  <c r="P41" i="16"/>
  <c r="P44" i="16"/>
  <c r="P48" i="16"/>
  <c r="F14" i="3"/>
  <c r="P11" i="16"/>
  <c r="F24" i="3"/>
  <c r="B42" i="16"/>
  <c r="B45" i="16"/>
  <c r="F25" i="3"/>
  <c r="B67" i="16"/>
  <c r="I33" i="16"/>
  <c r="B68" i="16"/>
  <c r="F28" i="3"/>
  <c r="I50" i="16"/>
  <c r="I51" i="16"/>
  <c r="F29" i="3"/>
  <c r="M38" i="16"/>
  <c r="M39" i="16"/>
  <c r="M52" i="16"/>
  <c r="M48" i="16"/>
  <c r="M49" i="16"/>
  <c r="M50" i="16"/>
  <c r="M53" i="16"/>
  <c r="M55" i="16"/>
  <c r="M51" i="16"/>
  <c r="M56" i="16"/>
  <c r="M57" i="16"/>
  <c r="M58" i="16"/>
  <c r="F30" i="3"/>
  <c r="I68" i="16"/>
  <c r="I71" i="16"/>
  <c r="F31" i="3"/>
  <c r="P45" i="16"/>
  <c r="P46" i="16"/>
  <c r="F32" i="3"/>
  <c r="E24" i="3"/>
  <c r="E25" i="3"/>
  <c r="E28" i="3"/>
  <c r="E29" i="3"/>
  <c r="E30" i="3"/>
  <c r="E31" i="3"/>
  <c r="E32" i="3"/>
  <c r="F100" i="3"/>
  <c r="E7" i="3"/>
  <c r="E8" i="3"/>
  <c r="E11" i="3"/>
  <c r="E12" i="3"/>
  <c r="E13" i="3"/>
  <c r="E14" i="3"/>
  <c r="D24" i="3"/>
  <c r="D25" i="3"/>
  <c r="D28" i="3"/>
  <c r="I53" i="16"/>
  <c r="I54" i="16"/>
  <c r="I55" i="16"/>
  <c r="D29" i="3"/>
  <c r="D30" i="3"/>
  <c r="D31" i="3"/>
  <c r="D32" i="3"/>
  <c r="E100" i="3"/>
  <c r="D7" i="3"/>
  <c r="D8" i="3"/>
  <c r="D11" i="3"/>
  <c r="D12" i="3"/>
  <c r="D13" i="3"/>
  <c r="D14" i="3"/>
  <c r="C24" i="3"/>
  <c r="C25" i="3"/>
  <c r="C28" i="3"/>
  <c r="C29" i="3"/>
  <c r="C30" i="3"/>
  <c r="C31" i="3"/>
  <c r="C32" i="3"/>
  <c r="D100" i="3"/>
  <c r="C8" i="3"/>
  <c r="C11" i="3"/>
  <c r="C12" i="3"/>
  <c r="C13" i="3"/>
  <c r="C14" i="3"/>
  <c r="O11" i="16"/>
  <c r="B24" i="3"/>
  <c r="B25" i="3"/>
  <c r="B69" i="16"/>
  <c r="B70" i="16"/>
  <c r="B71" i="16"/>
  <c r="B28" i="3"/>
  <c r="I57" i="16"/>
  <c r="I61" i="16"/>
  <c r="I59" i="16"/>
  <c r="B29" i="3"/>
  <c r="M62" i="16"/>
  <c r="M54" i="16"/>
  <c r="M66" i="16"/>
  <c r="M68" i="16"/>
  <c r="M63" i="16"/>
  <c r="M65" i="16"/>
  <c r="B30" i="3"/>
  <c r="I67" i="16"/>
  <c r="I69" i="16"/>
  <c r="I70" i="16"/>
  <c r="B31" i="3"/>
  <c r="P49" i="16"/>
  <c r="P50" i="16"/>
  <c r="B32" i="3"/>
  <c r="C100" i="3"/>
  <c r="C87" i="3"/>
  <c r="C6" i="4"/>
  <c r="B87" i="3"/>
  <c r="C7" i="4"/>
  <c r="C10" i="4"/>
  <c r="B12" i="3"/>
  <c r="C12" i="17"/>
  <c r="D12" i="17"/>
  <c r="B80" i="16"/>
  <c r="B82" i="16"/>
  <c r="B83" i="16"/>
  <c r="B95" i="16"/>
  <c r="B93" i="16"/>
  <c r="B103" i="16"/>
  <c r="B104" i="16"/>
  <c r="B116" i="16"/>
  <c r="B114" i="16"/>
  <c r="L10" i="16"/>
  <c r="B7" i="3"/>
  <c r="B43" i="16"/>
  <c r="B8" i="3"/>
  <c r="B11" i="3"/>
  <c r="B13" i="3"/>
  <c r="B14" i="3"/>
  <c r="I30" i="16"/>
  <c r="I31" i="16"/>
  <c r="O12" i="16"/>
  <c r="G24" i="3"/>
  <c r="B44" i="16"/>
  <c r="B46" i="16"/>
  <c r="G25" i="3"/>
  <c r="I58" i="16"/>
  <c r="I60" i="16"/>
  <c r="G29" i="3"/>
  <c r="M64" i="16"/>
  <c r="M67" i="16"/>
  <c r="M69" i="16"/>
  <c r="G30" i="3"/>
  <c r="I72" i="16"/>
  <c r="I73" i="16"/>
  <c r="G31" i="3"/>
  <c r="G33" i="3"/>
  <c r="G34" i="3"/>
  <c r="B96" i="3"/>
  <c r="B100" i="3"/>
  <c r="D10" i="4"/>
  <c r="D87" i="3"/>
  <c r="D6" i="4"/>
  <c r="D7" i="4"/>
  <c r="E10" i="4"/>
  <c r="E87" i="3"/>
  <c r="E6" i="4"/>
  <c r="E7" i="4"/>
  <c r="F10" i="4"/>
  <c r="C8" i="17"/>
  <c r="D8" i="17"/>
  <c r="F87" i="3"/>
  <c r="F6" i="4"/>
  <c r="F7" i="4"/>
  <c r="G10" i="4"/>
  <c r="G6" i="4"/>
  <c r="G7" i="4"/>
  <c r="L7" i="16"/>
  <c r="B10" i="4"/>
  <c r="B6" i="4"/>
  <c r="E104" i="3"/>
  <c r="F104" i="3"/>
  <c r="D104" i="3"/>
  <c r="C104" i="3"/>
  <c r="C106" i="3"/>
  <c r="F19" i="3"/>
  <c r="F128" i="3"/>
  <c r="E79" i="16"/>
  <c r="E80" i="16"/>
  <c r="F54" i="3"/>
  <c r="F51" i="3"/>
  <c r="E91" i="16"/>
  <c r="E89" i="16"/>
  <c r="E88" i="16"/>
  <c r="E87" i="16"/>
  <c r="E92" i="16"/>
  <c r="F57" i="3"/>
  <c r="F63" i="3"/>
  <c r="F130" i="3"/>
  <c r="E103" i="16"/>
  <c r="F71" i="3"/>
  <c r="F68" i="3"/>
  <c r="E113" i="16"/>
  <c r="E111" i="16"/>
  <c r="E110" i="16"/>
  <c r="E114" i="16"/>
  <c r="F74" i="3"/>
  <c r="F80" i="3"/>
  <c r="F132" i="3"/>
  <c r="B182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186" i="3"/>
  <c r="F79" i="3"/>
  <c r="F131" i="3"/>
  <c r="F62" i="3"/>
  <c r="F129" i="3"/>
  <c r="F18" i="3"/>
  <c r="F127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186" i="3"/>
  <c r="E225" i="3"/>
  <c r="D225" i="3"/>
  <c r="E224" i="3"/>
  <c r="D224" i="3"/>
  <c r="E223" i="3"/>
  <c r="D223" i="3"/>
  <c r="E222" i="3"/>
  <c r="D222" i="3"/>
  <c r="E221" i="3"/>
  <c r="D221" i="3"/>
  <c r="E220" i="3"/>
  <c r="D220" i="3"/>
  <c r="E219" i="3"/>
  <c r="D219" i="3"/>
  <c r="E218" i="3"/>
  <c r="D218" i="3"/>
  <c r="E217" i="3"/>
  <c r="D217" i="3"/>
  <c r="E216" i="3"/>
  <c r="D216" i="3"/>
  <c r="E215" i="3"/>
  <c r="D215" i="3"/>
  <c r="E214" i="3"/>
  <c r="D214" i="3"/>
  <c r="E213" i="3"/>
  <c r="D213" i="3"/>
  <c r="E212" i="3"/>
  <c r="D212" i="3"/>
  <c r="E211" i="3"/>
  <c r="D211" i="3"/>
  <c r="E210" i="3"/>
  <c r="D210" i="3"/>
  <c r="E209" i="3"/>
  <c r="D209" i="3"/>
  <c r="E208" i="3"/>
  <c r="D208" i="3"/>
  <c r="E207" i="3"/>
  <c r="D207" i="3"/>
  <c r="E206" i="3"/>
  <c r="D206" i="3"/>
  <c r="E205" i="3"/>
  <c r="D205" i="3"/>
  <c r="E204" i="3"/>
  <c r="D204" i="3"/>
  <c r="E203" i="3"/>
  <c r="D203" i="3"/>
  <c r="E202" i="3"/>
  <c r="D202" i="3"/>
  <c r="E201" i="3"/>
  <c r="D201" i="3"/>
  <c r="E200" i="3"/>
  <c r="D200" i="3"/>
  <c r="E199" i="3"/>
  <c r="D199" i="3"/>
  <c r="E198" i="3"/>
  <c r="D198" i="3"/>
  <c r="E197" i="3"/>
  <c r="D197" i="3"/>
  <c r="E196" i="3"/>
  <c r="D196" i="3"/>
  <c r="E195" i="3"/>
  <c r="D195" i="3"/>
  <c r="E194" i="3"/>
  <c r="D194" i="3"/>
  <c r="E193" i="3"/>
  <c r="D193" i="3"/>
  <c r="E192" i="3"/>
  <c r="D192" i="3"/>
  <c r="E191" i="3"/>
  <c r="D191" i="3"/>
  <c r="E190" i="3"/>
  <c r="D190" i="3"/>
  <c r="E189" i="3"/>
  <c r="D189" i="3"/>
  <c r="E188" i="3"/>
  <c r="D188" i="3"/>
  <c r="E187" i="3"/>
  <c r="D187" i="3"/>
  <c r="E186" i="3"/>
  <c r="D186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39" i="3"/>
  <c r="B19" i="3"/>
  <c r="B128" i="3"/>
  <c r="B57" i="3"/>
  <c r="B51" i="3"/>
  <c r="E82" i="16"/>
  <c r="B54" i="3"/>
  <c r="B63" i="3"/>
  <c r="B130" i="3"/>
  <c r="E115" i="16"/>
  <c r="E116" i="16"/>
  <c r="B74" i="3"/>
  <c r="B68" i="3"/>
  <c r="E105" i="16"/>
  <c r="B71" i="3"/>
  <c r="B80" i="3"/>
  <c r="B132" i="3"/>
  <c r="B181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B79" i="3"/>
  <c r="B131" i="3"/>
  <c r="B62" i="3"/>
  <c r="B129" i="3"/>
  <c r="B18" i="3"/>
  <c r="B127" i="3"/>
  <c r="B140" i="3"/>
  <c r="D140" i="3"/>
  <c r="B141" i="3"/>
  <c r="D141" i="3"/>
  <c r="B142" i="3"/>
  <c r="D142" i="3"/>
  <c r="B143" i="3"/>
  <c r="D143" i="3"/>
  <c r="B144" i="3"/>
  <c r="D144" i="3"/>
  <c r="B145" i="3"/>
  <c r="D145" i="3"/>
  <c r="B146" i="3"/>
  <c r="D146" i="3"/>
  <c r="B147" i="3"/>
  <c r="D147" i="3"/>
  <c r="B148" i="3"/>
  <c r="D148" i="3"/>
  <c r="B149" i="3"/>
  <c r="D149" i="3"/>
  <c r="B150" i="3"/>
  <c r="D150" i="3"/>
  <c r="B151" i="3"/>
  <c r="D151" i="3"/>
  <c r="B152" i="3"/>
  <c r="D152" i="3"/>
  <c r="B153" i="3"/>
  <c r="D153" i="3"/>
  <c r="B154" i="3"/>
  <c r="D154" i="3"/>
  <c r="B155" i="3"/>
  <c r="D155" i="3"/>
  <c r="B156" i="3"/>
  <c r="D156" i="3"/>
  <c r="B157" i="3"/>
  <c r="D157" i="3"/>
  <c r="B158" i="3"/>
  <c r="D158" i="3"/>
  <c r="B159" i="3"/>
  <c r="D159" i="3"/>
  <c r="B160" i="3"/>
  <c r="D160" i="3"/>
  <c r="B161" i="3"/>
  <c r="D161" i="3"/>
  <c r="B162" i="3"/>
  <c r="D162" i="3"/>
  <c r="B163" i="3"/>
  <c r="D163" i="3"/>
  <c r="B164" i="3"/>
  <c r="D164" i="3"/>
  <c r="B165" i="3"/>
  <c r="D165" i="3"/>
  <c r="B166" i="3"/>
  <c r="D166" i="3"/>
  <c r="B167" i="3"/>
  <c r="D167" i="3"/>
  <c r="B168" i="3"/>
  <c r="D168" i="3"/>
  <c r="B169" i="3"/>
  <c r="D169" i="3"/>
  <c r="B170" i="3"/>
  <c r="D170" i="3"/>
  <c r="B171" i="3"/>
  <c r="D171" i="3"/>
  <c r="B172" i="3"/>
  <c r="D172" i="3"/>
  <c r="B173" i="3"/>
  <c r="D173" i="3"/>
  <c r="B174" i="3"/>
  <c r="D174" i="3"/>
  <c r="B175" i="3"/>
  <c r="D175" i="3"/>
  <c r="B176" i="3"/>
  <c r="D176" i="3"/>
  <c r="B177" i="3"/>
  <c r="D177" i="3"/>
  <c r="B178" i="3"/>
  <c r="D178" i="3"/>
  <c r="B179" i="3"/>
  <c r="D179" i="3"/>
  <c r="B139" i="3"/>
  <c r="C139" i="3"/>
  <c r="D139" i="3"/>
  <c r="C18" i="3"/>
  <c r="C127" i="3"/>
  <c r="C57" i="3"/>
  <c r="C51" i="3"/>
  <c r="C54" i="3"/>
  <c r="C62" i="3"/>
  <c r="C129" i="3"/>
  <c r="C74" i="3"/>
  <c r="C68" i="3"/>
  <c r="C71" i="3"/>
  <c r="C79" i="3"/>
  <c r="C131" i="3"/>
  <c r="C19" i="3"/>
  <c r="C128" i="3"/>
  <c r="C63" i="3"/>
  <c r="C130" i="3"/>
  <c r="C80" i="3"/>
  <c r="C132" i="3"/>
  <c r="C133" i="3"/>
  <c r="C134" i="3"/>
  <c r="D18" i="3"/>
  <c r="D127" i="3"/>
  <c r="D57" i="3"/>
  <c r="D51" i="3"/>
  <c r="D54" i="3"/>
  <c r="D62" i="3"/>
  <c r="D129" i="3"/>
  <c r="D74" i="3"/>
  <c r="D68" i="3"/>
  <c r="D71" i="3"/>
  <c r="D79" i="3"/>
  <c r="D131" i="3"/>
  <c r="D19" i="3"/>
  <c r="D128" i="3"/>
  <c r="D63" i="3"/>
  <c r="D130" i="3"/>
  <c r="D80" i="3"/>
  <c r="D132" i="3"/>
  <c r="D133" i="3"/>
  <c r="D134" i="3"/>
  <c r="E18" i="3"/>
  <c r="E127" i="3"/>
  <c r="E57" i="3"/>
  <c r="E51" i="3"/>
  <c r="E54" i="3"/>
  <c r="E62" i="3"/>
  <c r="E129" i="3"/>
  <c r="E74" i="3"/>
  <c r="E68" i="3"/>
  <c r="E71" i="3"/>
  <c r="E79" i="3"/>
  <c r="E131" i="3"/>
  <c r="E19" i="3"/>
  <c r="E128" i="3"/>
  <c r="E63" i="3"/>
  <c r="E130" i="3"/>
  <c r="E80" i="3"/>
  <c r="E132" i="3"/>
  <c r="E133" i="3"/>
  <c r="E134" i="3"/>
  <c r="F133" i="3"/>
  <c r="F134" i="3"/>
  <c r="B133" i="3"/>
  <c r="B134" i="3"/>
  <c r="C123" i="3"/>
  <c r="C125" i="3"/>
  <c r="D123" i="3"/>
  <c r="D125" i="3"/>
  <c r="E123" i="3"/>
  <c r="E125" i="3"/>
  <c r="F123" i="3"/>
  <c r="F125" i="3"/>
  <c r="B123" i="3"/>
  <c r="B125" i="3"/>
  <c r="C113" i="3"/>
  <c r="D113" i="3"/>
  <c r="E113" i="3"/>
  <c r="F113" i="3"/>
  <c r="B113" i="3"/>
  <c r="D106" i="3"/>
  <c r="E106" i="3"/>
  <c r="F106" i="3"/>
  <c r="B106" i="3"/>
  <c r="C91" i="3"/>
  <c r="D91" i="3"/>
  <c r="E91" i="3"/>
  <c r="F91" i="3"/>
  <c r="B91" i="3"/>
  <c r="C90" i="3"/>
  <c r="D90" i="3"/>
  <c r="E90" i="3"/>
  <c r="F90" i="3"/>
  <c r="B90" i="3"/>
  <c r="C89" i="3"/>
  <c r="D89" i="3"/>
  <c r="E89" i="3"/>
  <c r="F89" i="3"/>
  <c r="B89" i="3"/>
  <c r="E102" i="16"/>
  <c r="D38" i="3"/>
  <c r="D42" i="3"/>
  <c r="D43" i="3"/>
  <c r="E38" i="3"/>
  <c r="E42" i="3"/>
  <c r="E43" i="3"/>
  <c r="F38" i="3"/>
  <c r="F42" i="3"/>
  <c r="F43" i="3"/>
  <c r="C38" i="3"/>
  <c r="C42" i="3"/>
  <c r="C43" i="3"/>
  <c r="B38" i="3"/>
  <c r="B40" i="3"/>
  <c r="B42" i="3"/>
  <c r="B43" i="3"/>
  <c r="M61" i="16"/>
  <c r="M60" i="16"/>
  <c r="I48" i="16"/>
  <c r="G1" i="14"/>
  <c r="E1" i="13"/>
  <c r="E1" i="12"/>
  <c r="E1" i="11"/>
  <c r="D1" i="10"/>
  <c r="F1" i="9"/>
  <c r="F1" i="8"/>
  <c r="G1" i="7"/>
  <c r="G1" i="6"/>
  <c r="G1" i="5"/>
  <c r="E1" i="4"/>
  <c r="F4" i="16"/>
  <c r="F5" i="16"/>
  <c r="F6" i="16"/>
  <c r="G6" i="16"/>
  <c r="F7" i="16"/>
  <c r="F11" i="16"/>
  <c r="F12" i="16"/>
  <c r="F14" i="16"/>
  <c r="C21" i="16"/>
  <c r="E21" i="16"/>
  <c r="C22" i="16"/>
  <c r="E22" i="16"/>
  <c r="C23" i="16"/>
  <c r="E23" i="16"/>
  <c r="C24" i="16"/>
  <c r="E24" i="16"/>
  <c r="J26" i="16"/>
  <c r="E3" i="3"/>
  <c r="E2" i="15"/>
  <c r="E6" i="15"/>
  <c r="B36" i="15"/>
  <c r="B34" i="15"/>
  <c r="E1" i="2"/>
  <c r="C33" i="2"/>
  <c r="C34" i="2"/>
  <c r="B36" i="2"/>
  <c r="C36" i="2"/>
  <c r="B43" i="2"/>
  <c r="G43" i="2"/>
  <c r="G44" i="2"/>
  <c r="G45" i="2"/>
  <c r="G46" i="2"/>
  <c r="G47" i="2"/>
  <c r="G48" i="2"/>
  <c r="G49" i="2"/>
  <c r="G50" i="2"/>
  <c r="B51" i="2"/>
  <c r="G51" i="2"/>
  <c r="G53" i="2"/>
  <c r="B56" i="2"/>
  <c r="G56" i="2"/>
  <c r="B20" i="1"/>
</calcChain>
</file>

<file path=xl/sharedStrings.xml><?xml version="1.0" encoding="utf-8"?>
<sst xmlns="http://schemas.openxmlformats.org/spreadsheetml/2006/main" count="981" uniqueCount="647">
  <si>
    <t>ESTA PLANILLA PUEDE SER UTILIZADA SOLAMENTE PARA EL TRABAJO PRACTICO:</t>
  </si>
  <si>
    <t>Tasa porcentual de IVA</t>
  </si>
  <si>
    <t>Tasa porcentual de Impuesto a las Ganancias</t>
  </si>
  <si>
    <t>Honorarios al Directorio</t>
  </si>
  <si>
    <t>Variable sobre Utilidad económica antes de HD e IG</t>
  </si>
  <si>
    <t>Tiempo de Amortización Activos Fijos:</t>
  </si>
  <si>
    <t>Se considera una depreciación lineal y un valor residual nulo</t>
  </si>
  <si>
    <t xml:space="preserve">    edificios y obras complementarias</t>
  </si>
  <si>
    <t>años</t>
  </si>
  <si>
    <t xml:space="preserve">    instalaciones industriales</t>
  </si>
  <si>
    <t xml:space="preserve">    máquinas, equipos y accesorios</t>
  </si>
  <si>
    <t xml:space="preserve">    rodados y equipos auxiliares</t>
  </si>
  <si>
    <t xml:space="preserve">    muebles y útiles</t>
  </si>
  <si>
    <t xml:space="preserve">    repuestos iniciales</t>
  </si>
  <si>
    <t>Otros Activos y Cargos Diferidos</t>
  </si>
  <si>
    <t>Imprevistos</t>
  </si>
  <si>
    <t>Nombre del Producto</t>
  </si>
  <si>
    <t>Ventas Anuales Promedio</t>
  </si>
  <si>
    <t>en Unidades</t>
  </si>
  <si>
    <t>Precio Promedio</t>
  </si>
  <si>
    <t>en $</t>
  </si>
  <si>
    <t xml:space="preserve">Cantidad de personal total </t>
  </si>
  <si>
    <t>en Producción</t>
  </si>
  <si>
    <t>personas</t>
  </si>
  <si>
    <t>en Comercialización</t>
  </si>
  <si>
    <t>en Administración</t>
  </si>
  <si>
    <t>Tamaño de la planta en metros cuadrados</t>
  </si>
  <si>
    <t>m2</t>
  </si>
  <si>
    <t>Periodo de Instalación</t>
  </si>
  <si>
    <t>en meses</t>
  </si>
  <si>
    <t>Período de Puesta en Marcha</t>
  </si>
  <si>
    <t>Tasa de Cambio</t>
  </si>
  <si>
    <t>$ por cada</t>
  </si>
  <si>
    <t>U$S</t>
  </si>
  <si>
    <t>Tasa de Credito Bancario</t>
  </si>
  <si>
    <t>anual</t>
  </si>
  <si>
    <t>Año 6</t>
  </si>
  <si>
    <t>Rubro a financiar</t>
  </si>
  <si>
    <t>% sobre el total del Rubro</t>
  </si>
  <si>
    <t>Dias de Financiación de Proveedores</t>
  </si>
  <si>
    <t>% sobre Compras</t>
  </si>
  <si>
    <t>Tasa de financiación</t>
  </si>
  <si>
    <t>PEPE</t>
  </si>
  <si>
    <t>ESTA PLANILLA PUEDE SER UTILIZADA SOLAMENTE PARA EL TRABAJO PRACTICO</t>
  </si>
  <si>
    <t>Inversión Inicial en Activo Fijo</t>
  </si>
  <si>
    <t>Gasto interno (en $)</t>
  </si>
  <si>
    <t>Gasto Externo (en $)</t>
  </si>
  <si>
    <t>Año 0</t>
  </si>
  <si>
    <t>Año 1</t>
  </si>
  <si>
    <t>a) Bienes de Uso</t>
  </si>
  <si>
    <t>Terreno y sus mejoras</t>
  </si>
  <si>
    <t>Edificio y obras complementarias</t>
  </si>
  <si>
    <t>Instalaciones industriales</t>
  </si>
  <si>
    <t>Máquinas operativas</t>
  </si>
  <si>
    <t xml:space="preserve">    importadas, valor FOB, con repuestos</t>
  </si>
  <si>
    <t xml:space="preserve">    nacionales, precio en fábrica del proveedor</t>
  </si>
  <si>
    <t>Gastos conexos a la importación de maquinaria</t>
  </si>
  <si>
    <t>Transporte y montaje de la maquinaria</t>
  </si>
  <si>
    <t>Rodados y equipos auxiliares</t>
  </si>
  <si>
    <t>Muebles y útiles</t>
  </si>
  <si>
    <t>Infraestructura en predio propio</t>
  </si>
  <si>
    <t>Total Bienes de uso</t>
  </si>
  <si>
    <t>b) Gastos asimilables o cargos diferidos</t>
  </si>
  <si>
    <t>Investigaciones y estudios</t>
  </si>
  <si>
    <t>Constitución y organización de la empresa</t>
  </si>
  <si>
    <t>Gastos de Admin. e Ing. En en período de Instalación</t>
  </si>
  <si>
    <t>Gastos de puesta en marcha (AL AÑO 1)</t>
  </si>
  <si>
    <t>Patentes y Licencias</t>
  </si>
  <si>
    <t>Infraestructura en predio ajeno</t>
  </si>
  <si>
    <t>Total gastos asimilables o cargos diferidos</t>
  </si>
  <si>
    <t>c) Total Inversiones iniciales Activo Fijo, sin IVA</t>
  </si>
  <si>
    <t xml:space="preserve">d) IVA </t>
  </si>
  <si>
    <t>e) TOTAL INVERSIONES INICIALES ACTIVO FIJO</t>
  </si>
  <si>
    <t>Rubro</t>
  </si>
  <si>
    <t>Inversión</t>
  </si>
  <si>
    <t>Coeficiente</t>
  </si>
  <si>
    <t>Alícuotas de amortización</t>
  </si>
  <si>
    <t>Valor residual</t>
  </si>
  <si>
    <t>original</t>
  </si>
  <si>
    <t>Años 1/3</t>
  </si>
  <si>
    <t>Años 4/5</t>
  </si>
  <si>
    <t>Bienes de Uso</t>
  </si>
  <si>
    <t>Repuestos</t>
  </si>
  <si>
    <t>Subtotal</t>
  </si>
  <si>
    <t xml:space="preserve">Cargos Diferidos </t>
  </si>
  <si>
    <t>Totales, s/IVA</t>
  </si>
  <si>
    <t>COSTO TOTAL DE PRODUCCION</t>
  </si>
  <si>
    <t>Gastos en el Area de Producción</t>
  </si>
  <si>
    <t>Rubros</t>
  </si>
  <si>
    <t>Año 2</t>
  </si>
  <si>
    <t>Año 3</t>
  </si>
  <si>
    <t>Año 4</t>
  </si>
  <si>
    <t>Año 5</t>
  </si>
  <si>
    <t>Materia prima</t>
  </si>
  <si>
    <t>Mano de obra directa</t>
  </si>
  <si>
    <t>Gastos de fabricación:</t>
  </si>
  <si>
    <t>Amortizaciones</t>
  </si>
  <si>
    <t>Personal indirecto</t>
  </si>
  <si>
    <t>Materiales</t>
  </si>
  <si>
    <t>Combustibles</t>
  </si>
  <si>
    <t>Tasas e impuestos</t>
  </si>
  <si>
    <t>Gastos Total de Producción</t>
  </si>
  <si>
    <t>% Gasto Constante</t>
  </si>
  <si>
    <t>% Gasto Variable</t>
  </si>
  <si>
    <t>Gastos a activar</t>
  </si>
  <si>
    <t>Mercadería en Curso y Semielaborada</t>
  </si>
  <si>
    <t>Puesta en marcha</t>
  </si>
  <si>
    <t xml:space="preserve">  Energía eléctrica</t>
  </si>
  <si>
    <t xml:space="preserve">  Combustibles</t>
  </si>
  <si>
    <t xml:space="preserve">  Tasas e impuestos</t>
  </si>
  <si>
    <t xml:space="preserve">  Imprevistos</t>
  </si>
  <si>
    <t>Total gastos a activar</t>
  </si>
  <si>
    <t>Costo en el Area de Producción</t>
  </si>
  <si>
    <t>Menos:</t>
  </si>
  <si>
    <t>Gasto de puesta en marcha</t>
  </si>
  <si>
    <t>Variación Mercadería en proceso</t>
  </si>
  <si>
    <t>Costo de producción anual</t>
  </si>
  <si>
    <t>Costo de prod. Unitario Promedio</t>
  </si>
  <si>
    <t>Gastos en el Area de Administración</t>
  </si>
  <si>
    <t>Personal</t>
  </si>
  <si>
    <t>Amortizaciones de A. Fijo</t>
  </si>
  <si>
    <t>Electricidad</t>
  </si>
  <si>
    <t>Combustible</t>
  </si>
  <si>
    <t>Varios</t>
  </si>
  <si>
    <t>Costo total de Admistración</t>
  </si>
  <si>
    <t>Gastos en el Area de Comercialización</t>
  </si>
  <si>
    <t>Energía Eléctrica</t>
  </si>
  <si>
    <t>Costo total de Comercialización</t>
  </si>
  <si>
    <t>COSTO TOTAL Y RESULTADO A NIVEL ECONOMICO</t>
  </si>
  <si>
    <t>Venta anual, en Unidades Producto 1</t>
  </si>
  <si>
    <t>Precio de venta Producto 1</t>
  </si>
  <si>
    <t>VENTAS ANUALES</t>
  </si>
  <si>
    <t xml:space="preserve">Consumo de materia prima </t>
  </si>
  <si>
    <t>Gastos de fabricación</t>
  </si>
  <si>
    <t>Gastos de Producción</t>
  </si>
  <si>
    <t>COSTO DE PRODUCCION ANUAL</t>
  </si>
  <si>
    <t>Producción anual en Unidades</t>
  </si>
  <si>
    <t>Costo de producción unitario Promedio</t>
  </si>
  <si>
    <t>Variación de Stock de Elaborado</t>
  </si>
  <si>
    <t>COSTO DE PRODUCCION DE LO VENDIDO</t>
  </si>
  <si>
    <t>GASTO DE ADMINISTRACION</t>
  </si>
  <si>
    <t xml:space="preserve">GASTO DE COMERCIALIZACION </t>
  </si>
  <si>
    <t>COSTO ANUAL DE LO VENDIDO</t>
  </si>
  <si>
    <t>Costo total unitario promedio</t>
  </si>
  <si>
    <t>UTILIDAD ECONOMICA (a/H. D. e Impuesto)</t>
  </si>
  <si>
    <t xml:space="preserve">Impuesto a la ganancia </t>
  </si>
  <si>
    <t>UTILIDAD ECONOMICA (d/H.D. e Impuesto)</t>
  </si>
  <si>
    <t>% sobre VENTAS</t>
  </si>
  <si>
    <t>FONDOS AUTOGENERADOS</t>
  </si>
  <si>
    <t>Utilidad Económica (d/H.D. e Impuesto)</t>
  </si>
  <si>
    <t>Amortización anual</t>
  </si>
  <si>
    <t>Total</t>
  </si>
  <si>
    <t>Costo Constante Sector de Producción</t>
  </si>
  <si>
    <t>Costo Variable Sector de Producción</t>
  </si>
  <si>
    <t>Costo Constante Sector de Administración</t>
  </si>
  <si>
    <t>Costo Variable Sector de Administración</t>
  </si>
  <si>
    <t>Costo Constante Sector de Comercialización</t>
  </si>
  <si>
    <t>Costo Variable Sector de Comercialización</t>
  </si>
  <si>
    <t>UTILIDAD MARGINAL</t>
  </si>
  <si>
    <t>PUNTO DE EQUILIBRIO</t>
  </si>
  <si>
    <t>HACER DIAGRAMA DE PUNTO DE EQUILIBRIO PARA EL AÑO 1 Y PARA EL AÑO 5</t>
  </si>
  <si>
    <t>INVERSIONES EN ACTIVO DE TRABAJO</t>
  </si>
  <si>
    <r>
      <rPr>
        <b/>
        <sz val="10"/>
        <rFont val="Arial"/>
        <family val="2"/>
      </rPr>
      <t xml:space="preserve">1. Activo de Trabajo: </t>
    </r>
    <r>
      <rPr>
        <sz val="10"/>
        <rFont val="Arial"/>
        <family val="2"/>
      </rPr>
      <t>(valor contable)</t>
    </r>
  </si>
  <si>
    <t xml:space="preserve">   a) Disponibilidad Mínima en Caja y Bancos:</t>
  </si>
  <si>
    <t xml:space="preserve">   b) Crédito por Ventas</t>
  </si>
  <si>
    <t xml:space="preserve">   c) Bienes de cambio:</t>
  </si>
  <si>
    <t xml:space="preserve">    Stock de materias prima:</t>
  </si>
  <si>
    <t xml:space="preserve">   Stock de materiales:</t>
  </si>
  <si>
    <t xml:space="preserve">   Mercadería en curso y semielaborada</t>
  </si>
  <si>
    <t xml:space="preserve">   Stock de elaborados</t>
  </si>
  <si>
    <t xml:space="preserve">   d) Total Activo de Trabajo, sin IVA:</t>
  </si>
  <si>
    <t>2. Menos:</t>
  </si>
  <si>
    <t xml:space="preserve">    Amortizaciones en Mercadería en proceso</t>
  </si>
  <si>
    <t xml:space="preserve">    Amortizaciones en Stock de elaborado</t>
  </si>
  <si>
    <t xml:space="preserve">    Utilidades en Crédito por ventas</t>
  </si>
  <si>
    <t xml:space="preserve">    Amortizaciones en Crédito por ventas</t>
  </si>
  <si>
    <t>3. Inversiones en Activo de Trabajo, sin IVA</t>
  </si>
  <si>
    <t>4. Incrementos de Activo de Trabajo</t>
  </si>
  <si>
    <t xml:space="preserve">    Incrementos de Inversión en Activo de Trabajo</t>
  </si>
  <si>
    <t>5. Incrementos IVA sobre Inversiones</t>
  </si>
  <si>
    <t xml:space="preserve">    Crédito por Ventas                             </t>
  </si>
  <si>
    <t xml:space="preserve">    Bienes de cambio:</t>
  </si>
  <si>
    <t xml:space="preserve">               Stock de materia prima</t>
  </si>
  <si>
    <t xml:space="preserve">               Stock de materiales</t>
  </si>
  <si>
    <t xml:space="preserve">               Mercadería en proceso</t>
  </si>
  <si>
    <t xml:space="preserve">               Stock de elaborados</t>
  </si>
  <si>
    <t xml:space="preserve">   Total incrementos IVA sobre inversiones</t>
  </si>
  <si>
    <t>6. Incrementos Inversiones en Activo de Trabajo</t>
  </si>
  <si>
    <t>Calendario de Inversiones</t>
  </si>
  <si>
    <t>Año 0: Preinversion</t>
  </si>
  <si>
    <t>Año 0: Instalación</t>
  </si>
  <si>
    <t>Totales</t>
  </si>
  <si>
    <t>Inversiones en Activo Fijo</t>
  </si>
  <si>
    <t xml:space="preserve">    Bienes de uso</t>
  </si>
  <si>
    <t xml:space="preserve">    Asimilables</t>
  </si>
  <si>
    <t xml:space="preserve">    Subtotal Activo Fijo</t>
  </si>
  <si>
    <t>Inversiones en A. de Trabajo</t>
  </si>
  <si>
    <t xml:space="preserve">   Disp. mínimas C y B</t>
  </si>
  <si>
    <t xml:space="preserve">   Crédito por ventas</t>
  </si>
  <si>
    <t xml:space="preserve">   Bienes de cambio:</t>
  </si>
  <si>
    <t xml:space="preserve">     Stock de Materia Prima</t>
  </si>
  <si>
    <t xml:space="preserve">     Stock de Materiales</t>
  </si>
  <si>
    <t xml:space="preserve">     Mercadería en proceso</t>
  </si>
  <si>
    <t xml:space="preserve">     Stock de Elaborados</t>
  </si>
  <si>
    <t xml:space="preserve">    Subtotal Activo Trabajo</t>
  </si>
  <si>
    <t>IVA:</t>
  </si>
  <si>
    <t xml:space="preserve">    por inversión A. Fijo</t>
  </si>
  <si>
    <t xml:space="preserve">    por inversión A. T.</t>
  </si>
  <si>
    <t xml:space="preserve">   Subtotal IVA Inversión</t>
  </si>
  <si>
    <t>Inversiones Totales</t>
  </si>
  <si>
    <t>IVA plan de Explotación, Cancelación del Credito Fiscal y pago al Fisco por IVA</t>
  </si>
  <si>
    <t>TOTALES PARA LAS TRES AREAS</t>
  </si>
  <si>
    <t>Rubros que abonan IVA</t>
  </si>
  <si>
    <t>Materia Prima</t>
  </si>
  <si>
    <t>Energía eléctrica</t>
  </si>
  <si>
    <t>Seguros</t>
  </si>
  <si>
    <t>Menos: Puesta en marcha</t>
  </si>
  <si>
    <t xml:space="preserve">   (s/mano de obra directa)</t>
  </si>
  <si>
    <t>Merc. en proceso</t>
  </si>
  <si>
    <t>Stock elaborados</t>
  </si>
  <si>
    <t>Total Area Producción</t>
  </si>
  <si>
    <t>Total Area Administración</t>
  </si>
  <si>
    <t>Total Area Comercialización</t>
  </si>
  <si>
    <t>IVA total abonado por insumos</t>
  </si>
  <si>
    <t>IVA total cobrado por ventas</t>
  </si>
  <si>
    <t>a) IVA diferencia</t>
  </si>
  <si>
    <t>b) Crédito Fiscal Anterior</t>
  </si>
  <si>
    <t>c) Crédito Fiscal del Año</t>
  </si>
  <si>
    <t>d) Crédito Fiscal Final Año</t>
  </si>
  <si>
    <t xml:space="preserve">    Pago al Fisco por IVA</t>
  </si>
  <si>
    <t>Formulación del Proyecto a Nivel Económico</t>
  </si>
  <si>
    <t>Año</t>
  </si>
  <si>
    <t>Inversión en Activo Fijo</t>
  </si>
  <si>
    <t>Inversión en Activo de Trabajo</t>
  </si>
  <si>
    <t>Credito Fiscal</t>
  </si>
  <si>
    <t>Impuesto a las Ganancias</t>
  </si>
  <si>
    <t>Total Egresos</t>
  </si>
  <si>
    <t>Utilidad Economica Antes  HD e IG</t>
  </si>
  <si>
    <t>Cobro Credito Fiscal</t>
  </si>
  <si>
    <t>Total Ingresos</t>
  </si>
  <si>
    <t>Saldo Anual</t>
  </si>
  <si>
    <t>Saldo Acumulado</t>
  </si>
  <si>
    <t>Suma.</t>
  </si>
  <si>
    <t>Beneficio Neto</t>
  </si>
  <si>
    <t>Periodo de Recupero de la Inversión</t>
  </si>
  <si>
    <t>en años</t>
  </si>
  <si>
    <t>TIR</t>
  </si>
  <si>
    <t>PRIMERA ESTRUCTURA FINANCIERA</t>
  </si>
  <si>
    <t>Total Inversión</t>
  </si>
  <si>
    <t>CréditoS</t>
  </si>
  <si>
    <t>Capital Propio</t>
  </si>
  <si>
    <t>monto</t>
  </si>
  <si>
    <t>%</t>
  </si>
  <si>
    <t xml:space="preserve">Activo Fijo </t>
  </si>
  <si>
    <t xml:space="preserve">Activo de Trabajo </t>
  </si>
  <si>
    <t xml:space="preserve">IVA </t>
  </si>
  <si>
    <t>CUADRO RESUMEN DE CREDITOS</t>
  </si>
  <si>
    <t>día/mes/año</t>
  </si>
  <si>
    <t>deuda</t>
  </si>
  <si>
    <t>amortización</t>
  </si>
  <si>
    <t>interés</t>
  </si>
  <si>
    <t xml:space="preserve">deuda </t>
  </si>
  <si>
    <t>gasto</t>
  </si>
  <si>
    <t>semestral</t>
  </si>
  <si>
    <t>prom. anual</t>
  </si>
  <si>
    <t>kd</t>
  </si>
  <si>
    <t>bancario</t>
  </si>
  <si>
    <t>gastos preoperativos:</t>
  </si>
  <si>
    <t>Totales:</t>
  </si>
  <si>
    <t>CUADRO DE RESULTADOS PROFORMA</t>
  </si>
  <si>
    <t>Ventas netas</t>
  </si>
  <si>
    <t>(-) Costo de producción de lo Vendido</t>
  </si>
  <si>
    <t>Resultado operativo</t>
  </si>
  <si>
    <t>Gastos de Administración</t>
  </si>
  <si>
    <t>Gastos de Comercialización</t>
  </si>
  <si>
    <t>Gastos Financieros</t>
  </si>
  <si>
    <t>RESULTADO (a/Hon. e Imp.)</t>
  </si>
  <si>
    <t>Menos: Honorarios al Direct.</t>
  </si>
  <si>
    <t>Menos: Impuesto a la Ganancia</t>
  </si>
  <si>
    <t>RESULTADO (d/Hon. e Imp.)</t>
  </si>
  <si>
    <t>SEGUNDA ESTRUCTURA FINANCIERA</t>
  </si>
  <si>
    <t>a) Inversión y calendario de activo fijo: incrementos</t>
  </si>
  <si>
    <t>Bienes de uso</t>
  </si>
  <si>
    <t>Cargos diferidos:</t>
  </si>
  <si>
    <t>Totales de activo fijo, sin IVA</t>
  </si>
  <si>
    <t xml:space="preserve">IVA   </t>
  </si>
  <si>
    <t>Totales de activo fijo, con IVA</t>
  </si>
  <si>
    <t>b) Inversión y calendario de activo de trabajo: incrementos</t>
  </si>
  <si>
    <t>Disponibilidad mínima</t>
  </si>
  <si>
    <t>Crédito por ventas (valor contable)</t>
  </si>
  <si>
    <t>Bienes de cambio (valor contable)</t>
  </si>
  <si>
    <t>Totales activo de trabajo, sin IVA</t>
  </si>
  <si>
    <t>Amortizaciones en inventarios</t>
  </si>
  <si>
    <t>Amortizaciones en crédito</t>
  </si>
  <si>
    <t>Utilidades en crédito</t>
  </si>
  <si>
    <t>Inversión activo de trabajo, s/IVA</t>
  </si>
  <si>
    <t>IVA</t>
  </si>
  <si>
    <t>Totales activo de trabajo (v. contable), c/IVA</t>
  </si>
  <si>
    <t>Inversión activo de trabajo, con IVA</t>
  </si>
  <si>
    <t>c) Inversión y calendario totales: incrementos</t>
  </si>
  <si>
    <t>Activo fijo, con IVA</t>
  </si>
  <si>
    <t>Inversión activo de trabajo, c/IVA</t>
  </si>
  <si>
    <t>Inversiones Totales, con IVA</t>
  </si>
  <si>
    <t>d) Financiación global (segunda y definitiva):</t>
  </si>
  <si>
    <t>Porcentaje</t>
  </si>
  <si>
    <t>Crédito renovable</t>
  </si>
  <si>
    <t>Crédito no renovable</t>
  </si>
  <si>
    <t>Capital propio</t>
  </si>
  <si>
    <t>PUNTO DE EQUILIBRIO ECONOMICO FINANCIERO</t>
  </si>
  <si>
    <t>Gasto Financiero</t>
  </si>
  <si>
    <t>HACER DIAGRAMA DE PUNTO DE EQUILIBRIO PARA EL AÑO 1 Y PARA EL AÑO 10</t>
  </si>
  <si>
    <t>a) IVA pagado en el Costo Total de lo Vendido:</t>
  </si>
  <si>
    <t xml:space="preserve">   Total pagado en el Area de Producción</t>
  </si>
  <si>
    <t xml:space="preserve">  Total pagado en el Area Administrativa</t>
  </si>
  <si>
    <t xml:space="preserve">  Total pagado en el Area Comercial </t>
  </si>
  <si>
    <t xml:space="preserve">  Total pagado por Financiación</t>
  </si>
  <si>
    <t xml:space="preserve">  IVA abonado en Costo Total de lo Vendido:</t>
  </si>
  <si>
    <t>b) IVA diferencia</t>
  </si>
  <si>
    <t>c) Crédito Fiscal Anterior (incrementado)</t>
  </si>
  <si>
    <t>d) Crédito Fiscal del Año (incrementado)</t>
  </si>
  <si>
    <t>e) Crédito Fiscal Final Año</t>
  </si>
  <si>
    <t>f) Recupero Credito Fiscal</t>
  </si>
  <si>
    <t>CUADRO DE FUENTES Y USOS</t>
  </si>
  <si>
    <t>FUENTES: Totales</t>
  </si>
  <si>
    <t>Saldo ejercicio anterior</t>
  </si>
  <si>
    <t>Aporte de capital propio</t>
  </si>
  <si>
    <t xml:space="preserve">Créditos renovables </t>
  </si>
  <si>
    <t xml:space="preserve">Créditos no renovables </t>
  </si>
  <si>
    <t xml:space="preserve">Ventas del ejercicio </t>
  </si>
  <si>
    <t>Recupero Crédito Fiscal</t>
  </si>
  <si>
    <t>USOS: Totales</t>
  </si>
  <si>
    <t>Activo Fijo</t>
  </si>
  <si>
    <t>Costo de lo Vendido</t>
  </si>
  <si>
    <t>Impuesto a la Ganancia</t>
  </si>
  <si>
    <t>Cancelación de deudas</t>
  </si>
  <si>
    <t xml:space="preserve">Honorarios del Directorio </t>
  </si>
  <si>
    <t>Dividendos en efectivo</t>
  </si>
  <si>
    <t xml:space="preserve">IVA inversión </t>
  </si>
  <si>
    <t>Otros egresos</t>
  </si>
  <si>
    <t>FUENTES - USOS</t>
  </si>
  <si>
    <t xml:space="preserve">Más: Amortizaciones del ejercicio </t>
  </si>
  <si>
    <t>Saldo al ejercicio siguiente (acumulado)</t>
  </si>
  <si>
    <t>Saldo Propio del Ejercicio</t>
  </si>
  <si>
    <t>BALANCES PROFORMAS</t>
  </si>
  <si>
    <t>ACTIVO CORRIENTE: Total</t>
  </si>
  <si>
    <t xml:space="preserve">Caja y Bancos: </t>
  </si>
  <si>
    <t xml:space="preserve">   - mínimo </t>
  </si>
  <si>
    <t xml:space="preserve">   - saldo acumulado de Fuentes y Usos </t>
  </si>
  <si>
    <t>Crédito por ventas</t>
  </si>
  <si>
    <t>Bienes de cambio</t>
  </si>
  <si>
    <t>Crédito Fiscal</t>
  </si>
  <si>
    <t>ACTIVO NO CORRIENTE: Total</t>
  </si>
  <si>
    <t>Cargos Diferidos:</t>
  </si>
  <si>
    <t xml:space="preserve">   - valor inicial </t>
  </si>
  <si>
    <t xml:space="preserve">     más inversiones del ejercicio </t>
  </si>
  <si>
    <t xml:space="preserve">     menos amortizaciones del ejerc.</t>
  </si>
  <si>
    <t xml:space="preserve">   - valor final del ejercicio</t>
  </si>
  <si>
    <t xml:space="preserve">     más inversiones del ejercicio</t>
  </si>
  <si>
    <t xml:space="preserve">     menos amortizaciones del ejerc</t>
  </si>
  <si>
    <t xml:space="preserve">Crédito Fiscal </t>
  </si>
  <si>
    <t>ACTIVO TOTAL:</t>
  </si>
  <si>
    <t>PASIVO CORRIENTE: Total</t>
  </si>
  <si>
    <t>Deudas comerciales</t>
  </si>
  <si>
    <t>Deudas bancarias</t>
  </si>
  <si>
    <t>PASIVO NO CORRIENTE: Total</t>
  </si>
  <si>
    <t>PASIVO TOTAL:</t>
  </si>
  <si>
    <t>PATRIMONIO NETO:</t>
  </si>
  <si>
    <t>Capital societario</t>
  </si>
  <si>
    <t>Utilidad del ejercicio</t>
  </si>
  <si>
    <t>Utilidad acumulada</t>
  </si>
  <si>
    <t>PASIVO + PATRIMONIO NETO</t>
  </si>
  <si>
    <t>Formulación del Proyecto a Nivel Financiero</t>
  </si>
  <si>
    <t>Activo de Trabajo</t>
  </si>
  <si>
    <t>Utilidad  Antes  HD e IG</t>
  </si>
  <si>
    <t>Intereses Pagados</t>
  </si>
  <si>
    <t>TIR modificada</t>
  </si>
  <si>
    <t>Formulación para el Inversor</t>
  </si>
  <si>
    <t>Aporte de Capital</t>
  </si>
  <si>
    <t>Saldo propio de Fuentes y Usos</t>
  </si>
  <si>
    <t>para el inversor</t>
  </si>
  <si>
    <t>en años para el inversor</t>
  </si>
  <si>
    <t>TOR</t>
  </si>
  <si>
    <t>TAC</t>
  </si>
  <si>
    <t>Terreno</t>
  </si>
  <si>
    <t>total</t>
  </si>
  <si>
    <t>Maquinas Operativas</t>
  </si>
  <si>
    <t>Inyectora</t>
  </si>
  <si>
    <t>Dobladora de Alambre</t>
  </si>
  <si>
    <t>Observaciones</t>
  </si>
  <si>
    <t>importada</t>
  </si>
  <si>
    <t>nacional</t>
  </si>
  <si>
    <t>Compresor</t>
  </si>
  <si>
    <t>Matriz de Inyección</t>
  </si>
  <si>
    <t>Dosificadoras</t>
  </si>
  <si>
    <t>Instalaciones Industriales</t>
  </si>
  <si>
    <t>Transporte y Montaje de Máquinas</t>
  </si>
  <si>
    <t>Rodados</t>
  </si>
  <si>
    <t>Muebles y Útiles</t>
  </si>
  <si>
    <t>total en uSD</t>
  </si>
  <si>
    <t>U$D/m2</t>
  </si>
  <si>
    <t>total en pesos</t>
  </si>
  <si>
    <t>USD/m2</t>
  </si>
  <si>
    <t xml:space="preserve">Edificio y Obras </t>
  </si>
  <si>
    <t xml:space="preserve">dato de estudio ARJE </t>
  </si>
  <si>
    <t>Investigación y estudios</t>
  </si>
  <si>
    <t>Total muebles e inmuebles</t>
  </si>
  <si>
    <t>honorarios de ARJE</t>
  </si>
  <si>
    <t>alambre</t>
  </si>
  <si>
    <t>desperdicios alambre en puesta en marcha kg</t>
  </si>
  <si>
    <t>desperdicios alambre anuales kg</t>
  </si>
  <si>
    <t>desperdicios mensuales alambre</t>
  </si>
  <si>
    <t>gasto alambre</t>
  </si>
  <si>
    <t>Costo de polipropileno por kg</t>
  </si>
  <si>
    <t>Costo de alambre por kg</t>
  </si>
  <si>
    <t>desperdicio polipropileno anual</t>
  </si>
  <si>
    <t xml:space="preserve">desperdicio polipropileno mensual </t>
  </si>
  <si>
    <t>despedicio polipropileno en puesta en marcha</t>
  </si>
  <si>
    <t>gasto polipropileno</t>
  </si>
  <si>
    <t>cantidad de despedicio anual polipropileno</t>
  </si>
  <si>
    <t>consumo de polipropileno anual neto</t>
  </si>
  <si>
    <t>Cantidad desperdicios polipropileno por puesta en marcha</t>
  </si>
  <si>
    <t>Gasto puesta en marcha</t>
  </si>
  <si>
    <t>Inyectora con repuestos</t>
  </si>
  <si>
    <t>Nivel</t>
  </si>
  <si>
    <t>Localizador</t>
  </si>
  <si>
    <t>cant</t>
  </si>
  <si>
    <t>peso</t>
  </si>
  <si>
    <t>g/u</t>
  </si>
  <si>
    <t>g/kit</t>
  </si>
  <si>
    <t>pp</t>
  </si>
  <si>
    <t>iman</t>
  </si>
  <si>
    <t>Base</t>
  </si>
  <si>
    <t>Kit</t>
  </si>
  <si>
    <t>mat kit</t>
  </si>
  <si>
    <t>Costo kit por material</t>
  </si>
  <si>
    <t>$/gr o $/unidad</t>
  </si>
  <si>
    <t>pegamento</t>
  </si>
  <si>
    <t>por unidad</t>
  </si>
  <si>
    <t>cantidad por blister</t>
  </si>
  <si>
    <t>$/ml</t>
  </si>
  <si>
    <t>Poxipol soldadura platica de 700ml cuesta 850$</t>
  </si>
  <si>
    <t>blister de empaquetado cuesta 295$ las 100 unidades</t>
  </si>
  <si>
    <t>Costo MP blister unitario</t>
  </si>
  <si>
    <t>Peso del kit</t>
  </si>
  <si>
    <t>$/grkit</t>
  </si>
  <si>
    <t>Consumo MP año 1</t>
  </si>
  <si>
    <t>Consumo MP año 2 a 5</t>
  </si>
  <si>
    <t>Gasto anual Mp año 1</t>
  </si>
  <si>
    <t>Gasto anual MP año 2-5</t>
  </si>
  <si>
    <t>ventas</t>
  </si>
  <si>
    <t>Stock promedio de PT</t>
  </si>
  <si>
    <t xml:space="preserve">Produccion </t>
  </si>
  <si>
    <t>mercadería en curso y SE</t>
  </si>
  <si>
    <t>desperdicio no recuperable</t>
  </si>
  <si>
    <t>Consumo MP</t>
  </si>
  <si>
    <t>stock promedio de mp</t>
  </si>
  <si>
    <t>Compra Mp</t>
  </si>
  <si>
    <t>año 0</t>
  </si>
  <si>
    <t>año 1</t>
  </si>
  <si>
    <t>año 2 a 5</t>
  </si>
  <si>
    <t>MP en curso y SE</t>
  </si>
  <si>
    <t>año 2-5</t>
  </si>
  <si>
    <t>costo exceso de mp en puesta en marcha</t>
  </si>
  <si>
    <t>exceso en el consumo en puesta en marcha</t>
  </si>
  <si>
    <t>porcentaje de desperdicio real</t>
  </si>
  <si>
    <t>cantidad de desperdicio</t>
  </si>
  <si>
    <t>consumo de materia prima por producto terminado</t>
  </si>
  <si>
    <t>Exceso de mp debido a puesta en marcha</t>
  </si>
  <si>
    <t>MP</t>
  </si>
  <si>
    <t>MOD</t>
  </si>
  <si>
    <t>Cantidad de operarios</t>
  </si>
  <si>
    <t>horas activas anuales</t>
  </si>
  <si>
    <t>costo de la hora</t>
  </si>
  <si>
    <t>gasto anual año 2-5</t>
  </si>
  <si>
    <t>CCSS</t>
  </si>
  <si>
    <t>Costo neto hora</t>
  </si>
  <si>
    <t>gasto especifico</t>
  </si>
  <si>
    <t>gasto anual año 1</t>
  </si>
  <si>
    <t>gasto en producto terminado año1</t>
  </si>
  <si>
    <t>Gasto de MEC ySE</t>
  </si>
  <si>
    <t>exceso de mod en puesta en marcha</t>
  </si>
  <si>
    <t>mercaderia en C y SE destinada a producto elaborado</t>
  </si>
  <si>
    <t>Amortizacion</t>
  </si>
  <si>
    <t>le corresponde el 90% de las amortizaciones a Produccion</t>
  </si>
  <si>
    <t>año 4-5</t>
  </si>
  <si>
    <t>alicuota anual</t>
  </si>
  <si>
    <t>imputacion especifica</t>
  </si>
  <si>
    <t>año 1-3</t>
  </si>
  <si>
    <t>alicuota repuestos</t>
  </si>
  <si>
    <t>alicuota total</t>
  </si>
  <si>
    <t>imputacion especifica año 2/3</t>
  </si>
  <si>
    <t>imputacion especifica año 1</t>
  </si>
  <si>
    <t>Amortizacion imputada a MEC y SE</t>
  </si>
  <si>
    <t>año 2 y 3</t>
  </si>
  <si>
    <t>año 4 y 5</t>
  </si>
  <si>
    <t>MOI</t>
  </si>
  <si>
    <t>el gasto del año 1 corresponde a un 95% del año 2-5</t>
  </si>
  <si>
    <t>Sueldo del supervisor Bruto</t>
  </si>
  <si>
    <t>Sueldo del supervisor neto</t>
  </si>
  <si>
    <t>Sueldo del Encargado de mantenimiento bruto</t>
  </si>
  <si>
    <t>Sueldo del Encargado de mantenimiento neto</t>
  </si>
  <si>
    <t>incidencia de la mercaderia en proceso</t>
  </si>
  <si>
    <t>Gasto anual año 2-5</t>
  </si>
  <si>
    <t>Gasto anual año 1</t>
  </si>
  <si>
    <t>gasto especifico año 2-5</t>
  </si>
  <si>
    <t>gasto de la MEP</t>
  </si>
  <si>
    <t>gasto especifico año 1</t>
  </si>
  <si>
    <t>gasto de la MEP año 1</t>
  </si>
  <si>
    <t>gastos de mantenimiento</t>
  </si>
  <si>
    <t>gastos de repuestos</t>
  </si>
  <si>
    <t>de maquinaria</t>
  </si>
  <si>
    <t>produccion</t>
  </si>
  <si>
    <t>de gasto anual MP</t>
  </si>
  <si>
    <t>personal</t>
  </si>
  <si>
    <t>de los gastos MOD y MOI</t>
  </si>
  <si>
    <t>mantenimiento</t>
  </si>
  <si>
    <t>de bienes de uso (sin repuestos)</t>
  </si>
  <si>
    <t>corresponden un total del 90% de los bienes de uso a produccion</t>
  </si>
  <si>
    <t>repuesto</t>
  </si>
  <si>
    <t>incremento en el gasto de mantenimiento</t>
  </si>
  <si>
    <t>en el año 4 aumentan los gastos de mantenimiento y repuestos en</t>
  </si>
  <si>
    <t>gasto total año 4-5</t>
  </si>
  <si>
    <t>gasto en MEP</t>
  </si>
  <si>
    <t>año 2-3</t>
  </si>
  <si>
    <t>gasto total</t>
  </si>
  <si>
    <t>gasto anual</t>
  </si>
  <si>
    <t>gasto en productos terminados</t>
  </si>
  <si>
    <t>gasto en mercaderia en proceso</t>
  </si>
  <si>
    <t>exceso de gasto de materiales en la puesta en marcha</t>
  </si>
  <si>
    <t>AÑO1=97%AÑO2</t>
  </si>
  <si>
    <t>$/litros</t>
  </si>
  <si>
    <t>diesel (l)</t>
  </si>
  <si>
    <t>gasto en mercaderia en proceso año 1</t>
  </si>
  <si>
    <t>gasto en mercaderia en proceso año 2-5</t>
  </si>
  <si>
    <t>gasto por poduccion</t>
  </si>
  <si>
    <t>exceso de gasto de combustibles en la puesta en marcha</t>
  </si>
  <si>
    <t>gasto total año 2-5</t>
  </si>
  <si>
    <t>gasto total año 1</t>
  </si>
  <si>
    <t>se gasta en el año 1 el 97% del año dos</t>
  </si>
  <si>
    <t>Energia electrica</t>
  </si>
  <si>
    <t>w/m2</t>
  </si>
  <si>
    <t>potencia instalada Kw</t>
  </si>
  <si>
    <t>potencia instalada W</t>
  </si>
  <si>
    <t>consumo anual kwh</t>
  </si>
  <si>
    <t>$/KW</t>
  </si>
  <si>
    <t>$/mes</t>
  </si>
  <si>
    <t>el area de produccion es el 95% del consumo</t>
  </si>
  <si>
    <t>en el año 1 se consume un 97% del año 2</t>
  </si>
  <si>
    <t>consumo mensual</t>
  </si>
  <si>
    <t>consumo por Kw instalado</t>
  </si>
  <si>
    <t>$/Kwh hasta 300Kw</t>
  </si>
  <si>
    <t>$/kwh exceso</t>
  </si>
  <si>
    <t>gasto fijo mensual</t>
  </si>
  <si>
    <t>consumo variable mensual</t>
  </si>
  <si>
    <t>gasto mensual total</t>
  </si>
  <si>
    <t>gasto anual total</t>
  </si>
  <si>
    <t>gasto periodo de vacaciones</t>
  </si>
  <si>
    <t>gasto constante</t>
  </si>
  <si>
    <t>gasto especifico constante</t>
  </si>
  <si>
    <t>gasto de produccion fijo</t>
  </si>
  <si>
    <t>gasto de mep fijo</t>
  </si>
  <si>
    <t>gasto variable</t>
  </si>
  <si>
    <t>gasto especifico variable</t>
  </si>
  <si>
    <t>gasto de produccion variable</t>
  </si>
  <si>
    <t>gasto de MEP variable</t>
  </si>
  <si>
    <t>exceso de gasto por puesta en marcha</t>
  </si>
  <si>
    <t>tasa municipal</t>
  </si>
  <si>
    <t>del inmueble</t>
  </si>
  <si>
    <t>impuesto inmobiliario</t>
  </si>
  <si>
    <t xml:space="preserve">ambas corresponden a produccion en un </t>
  </si>
  <si>
    <t>inmobiliario</t>
  </si>
  <si>
    <t>impuesto automotor</t>
  </si>
  <si>
    <t>rodados</t>
  </si>
  <si>
    <t>gasto en mep</t>
  </si>
  <si>
    <t xml:space="preserve">Imprevistos </t>
  </si>
  <si>
    <t>GASTOS ADMINISTRACIÓN</t>
  </si>
  <si>
    <t>sueldo gerente neto</t>
  </si>
  <si>
    <t>sueldo gerente bruto</t>
  </si>
  <si>
    <t xml:space="preserve"> sueldo empleado neto</t>
  </si>
  <si>
    <t>sueldo empleado bruto</t>
  </si>
  <si>
    <t>amortizacion</t>
  </si>
  <si>
    <t>el 5% corresponde a Admin</t>
  </si>
  <si>
    <t>el 5% corresponde a Admin para mantenimiento</t>
  </si>
  <si>
    <t>papeleria (0,1% de los costos de produccion)</t>
  </si>
  <si>
    <t>articulos de tocador ( 0,5% de los sueldos)</t>
  </si>
  <si>
    <t>Año1-5</t>
  </si>
  <si>
    <t>electricidad</t>
  </si>
  <si>
    <t>consumo Admin</t>
  </si>
  <si>
    <t>consumo anual Kwh</t>
  </si>
  <si>
    <t>el consumo anual se saca por el consumo</t>
  </si>
  <si>
    <t>de las maquinas, el comedor, las lamparas</t>
  </si>
  <si>
    <t xml:space="preserve">los tubos fluorecentes, una heladera, 3 </t>
  </si>
  <si>
    <t>computadoras,etc</t>
  </si>
  <si>
    <t>el gasto del año 1 es el 0,95 de año 2</t>
  </si>
  <si>
    <t>gasto año 1</t>
  </si>
  <si>
    <t>impuestos y tasas</t>
  </si>
  <si>
    <t>el 5% de los impuestos inmobiliarios y la tasa municipal corresponde a Admin</t>
  </si>
  <si>
    <t>impuestos sello 0,04% ventas en reg</t>
  </si>
  <si>
    <t>impuesto a los debitos y creditos bancarios</t>
  </si>
  <si>
    <t>1,2% de las ventas</t>
  </si>
  <si>
    <t>gastos totales</t>
  </si>
  <si>
    <t>Imprevistos 2%</t>
  </si>
  <si>
    <t>Gastos Comercializacion</t>
  </si>
  <si>
    <t>Sueldo empleado neto</t>
  </si>
  <si>
    <t>Gasto anual</t>
  </si>
  <si>
    <t xml:space="preserve"> </t>
  </si>
  <si>
    <t>corresponde el 5%</t>
  </si>
  <si>
    <t>son iguales a las de admin</t>
  </si>
  <si>
    <t>el 5% corresponde a Comer para mantenimiento</t>
  </si>
  <si>
    <t>el 5% de los impuestos inmobiliarios y la tasa municipal corresponde a Comer</t>
  </si>
  <si>
    <t>impuesto sobre ingresos brutos</t>
  </si>
  <si>
    <t>impuesto sobre ingresos brutos año 2-5</t>
  </si>
  <si>
    <t>impuesto sobre ingresos brutos año 1</t>
  </si>
  <si>
    <t>Cantidad</t>
  </si>
  <si>
    <t>Gastos Fijos</t>
  </si>
  <si>
    <t>Gastos variables</t>
  </si>
  <si>
    <t>Gasto variable u año 1</t>
  </si>
  <si>
    <t>Gasto variable u año 5</t>
  </si>
  <si>
    <t>Gastos Totales</t>
  </si>
  <si>
    <t>Ingreso</t>
  </si>
  <si>
    <t>año 5</t>
  </si>
  <si>
    <t>Aclaración: las 39021 unidades es nuestra producción máxima, dado que nuestro cuello de botella es el trabajo manual del operario y está a un aprovechamiento de 94,82%</t>
  </si>
  <si>
    <t>Dias de Financiación a Clientes</t>
  </si>
  <si>
    <t>Disponibilidad caja y bancos</t>
  </si>
  <si>
    <t>Ventas</t>
  </si>
  <si>
    <t>$/kgKit</t>
  </si>
  <si>
    <t>Stock de Materiales</t>
  </si>
  <si>
    <t>Año 4-5</t>
  </si>
  <si>
    <t>Producciòn</t>
  </si>
  <si>
    <t>Administraciòn</t>
  </si>
  <si>
    <t>Comercializacion</t>
  </si>
  <si>
    <t>Año 1-3</t>
  </si>
  <si>
    <t>CONSIDERADO EN EL IVA VENTAS PLAN DE EXPLOTACION</t>
  </si>
  <si>
    <t>Mercaderia en proceso que paga IVA</t>
  </si>
  <si>
    <t>año 2</t>
  </si>
  <si>
    <t>año 3</t>
  </si>
  <si>
    <t>año 4</t>
  </si>
  <si>
    <t>variacion de mep</t>
  </si>
  <si>
    <t>variacion de stock mp</t>
  </si>
  <si>
    <t>variacion de stock de materiales</t>
  </si>
  <si>
    <t>Stock de elaborado</t>
  </si>
  <si>
    <t>materiales</t>
  </si>
  <si>
    <t>energia electrica</t>
  </si>
  <si>
    <t>combustibles</t>
  </si>
  <si>
    <t xml:space="preserve">año1 </t>
  </si>
  <si>
    <t>variacion</t>
  </si>
  <si>
    <t>e) Recupero de Credito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</si>
</sst>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 * #,##0.00_ ;_ * \-#,##0.00_ ;_ * &quot;-&quot;??_ ;_ @_ "/>
    <numFmt numFmtId="164" formatCode="0.00\ %"/>
    <numFmt numFmtId="165" formatCode="_(\$* #,##0.00_);_(\$* \(#,##0.00\);_(\$* \-??_);_(@_)"/>
    <numFmt numFmtId="166" formatCode="0.0"/>
    <numFmt numFmtId="167" formatCode="0.000"/>
    <numFmt numFmtId="168" formatCode="_(* #,##0.00_);_(* \(#,##0.00\);_(* \-??_);_(@_)"/>
    <numFmt numFmtId="169" formatCode="d&quot; de &quot;mmm&quot; de &quot;yy"/>
    <numFmt numFmtId="170" formatCode="_(* #,##0.000_);_(* \(#,##0.000\);_(* \-??_);_(@_)"/>
    <numFmt numFmtId="171" formatCode="&quot;$&quot;\ #,##0.00"/>
    <numFmt numFmtId="172" formatCode="0.0%"/>
    <numFmt numFmtId="179" formatCode="0.0000"/>
  </numFmts>
  <fonts count="19" x14ac:knownFonts="1"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Symbol"/>
      <family val="1"/>
      <charset val="2"/>
    </font>
    <font>
      <sz val="10"/>
      <name val="Arial"/>
      <family val="2"/>
    </font>
    <font>
      <sz val="12"/>
      <color rgb="FF006100"/>
      <name val="Calibri"/>
      <family val="2"/>
      <scheme val="minor"/>
    </font>
    <font>
      <b/>
      <sz val="12"/>
      <color rgb="FF006100"/>
      <name val="Calibri"/>
      <family val="2"/>
      <scheme val="minor"/>
    </font>
    <font>
      <sz val="11"/>
      <color rgb="FF21212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rgb="FFC6EFCE"/>
      </patternFill>
    </fill>
    <fill>
      <patternFill patternType="solid">
        <fgColor theme="4" tint="0.59999389629810485"/>
        <bgColor indexed="64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double">
        <color indexed="59"/>
      </left>
      <right style="thin">
        <color indexed="59"/>
      </right>
      <top style="double">
        <color indexed="59"/>
      </top>
      <bottom style="hair">
        <color indexed="59"/>
      </bottom>
      <diagonal/>
    </border>
    <border>
      <left style="thin">
        <color indexed="59"/>
      </left>
      <right style="thin">
        <color indexed="59"/>
      </right>
      <top style="double">
        <color indexed="59"/>
      </top>
      <bottom style="hair">
        <color indexed="59"/>
      </bottom>
      <diagonal/>
    </border>
    <border>
      <left style="thin">
        <color indexed="59"/>
      </left>
      <right style="double">
        <color indexed="59"/>
      </right>
      <top style="double">
        <color indexed="59"/>
      </top>
      <bottom style="hair">
        <color indexed="59"/>
      </bottom>
      <diagonal/>
    </border>
    <border>
      <left style="double">
        <color indexed="59"/>
      </left>
      <right style="thin">
        <color indexed="59"/>
      </right>
      <top style="hair">
        <color indexed="59"/>
      </top>
      <bottom style="double">
        <color indexed="59"/>
      </bottom>
      <diagonal/>
    </border>
    <border>
      <left style="thin">
        <color indexed="59"/>
      </left>
      <right style="thin">
        <color indexed="59"/>
      </right>
      <top style="hair">
        <color indexed="59"/>
      </top>
      <bottom style="double">
        <color indexed="59"/>
      </bottom>
      <diagonal/>
    </border>
    <border>
      <left style="thin">
        <color indexed="59"/>
      </left>
      <right style="double">
        <color indexed="59"/>
      </right>
      <top style="hair">
        <color indexed="59"/>
      </top>
      <bottom style="double">
        <color indexed="59"/>
      </bottom>
      <diagonal/>
    </border>
    <border>
      <left style="double">
        <color indexed="59"/>
      </left>
      <right style="thin">
        <color indexed="59"/>
      </right>
      <top/>
      <bottom style="hair">
        <color indexed="59"/>
      </bottom>
      <diagonal/>
    </border>
    <border>
      <left style="thin">
        <color indexed="59"/>
      </left>
      <right style="thin">
        <color indexed="59"/>
      </right>
      <top/>
      <bottom style="hair">
        <color indexed="59"/>
      </bottom>
      <diagonal/>
    </border>
    <border>
      <left style="double">
        <color indexed="59"/>
      </left>
      <right style="thin">
        <color indexed="59"/>
      </right>
      <top style="hair">
        <color indexed="59"/>
      </top>
      <bottom style="hair">
        <color indexed="59"/>
      </bottom>
      <diagonal/>
    </border>
    <border>
      <left style="thin">
        <color indexed="59"/>
      </left>
      <right style="thin">
        <color indexed="59"/>
      </right>
      <top style="hair">
        <color indexed="59"/>
      </top>
      <bottom style="hair">
        <color indexed="59"/>
      </bottom>
      <diagonal/>
    </border>
    <border>
      <left style="thin">
        <color indexed="59"/>
      </left>
      <right style="double">
        <color indexed="59"/>
      </right>
      <top/>
      <bottom style="hair">
        <color indexed="59"/>
      </bottom>
      <diagonal/>
    </border>
    <border>
      <left style="thin">
        <color indexed="59"/>
      </left>
      <right style="double">
        <color indexed="59"/>
      </right>
      <top style="hair">
        <color indexed="59"/>
      </top>
      <bottom style="hair">
        <color indexed="59"/>
      </bottom>
      <diagonal/>
    </border>
    <border>
      <left style="double">
        <color indexed="59"/>
      </left>
      <right/>
      <top style="double">
        <color indexed="59"/>
      </top>
      <bottom style="hair">
        <color indexed="59"/>
      </bottom>
      <diagonal/>
    </border>
    <border>
      <left/>
      <right/>
      <top style="double">
        <color indexed="59"/>
      </top>
      <bottom style="hair">
        <color indexed="59"/>
      </bottom>
      <diagonal/>
    </border>
    <border>
      <left/>
      <right style="double">
        <color indexed="59"/>
      </right>
      <top style="double">
        <color indexed="59"/>
      </top>
      <bottom style="hair">
        <color indexed="59"/>
      </bottom>
      <diagonal/>
    </border>
    <border>
      <left style="double">
        <color indexed="59"/>
      </left>
      <right style="thin">
        <color indexed="59"/>
      </right>
      <top style="hair">
        <color indexed="59"/>
      </top>
      <bottom/>
      <diagonal/>
    </border>
    <border>
      <left style="thin">
        <color indexed="59"/>
      </left>
      <right style="thin">
        <color indexed="59"/>
      </right>
      <top style="hair">
        <color indexed="59"/>
      </top>
      <bottom/>
      <diagonal/>
    </border>
    <border>
      <left style="thin">
        <color indexed="59"/>
      </left>
      <right style="double">
        <color indexed="59"/>
      </right>
      <top style="hair">
        <color indexed="59"/>
      </top>
      <bottom/>
      <diagonal/>
    </border>
    <border>
      <left/>
      <right/>
      <top style="hair">
        <color indexed="59"/>
      </top>
      <bottom style="hair">
        <color indexed="59"/>
      </bottom>
      <diagonal/>
    </border>
    <border>
      <left/>
      <right/>
      <top style="hair">
        <color indexed="59"/>
      </top>
      <bottom style="double">
        <color indexed="59"/>
      </bottom>
      <diagonal/>
    </border>
    <border>
      <left style="thin">
        <color indexed="59"/>
      </left>
      <right/>
      <top style="hair">
        <color indexed="59"/>
      </top>
      <bottom style="double">
        <color indexed="59"/>
      </bottom>
      <diagonal/>
    </border>
    <border>
      <left style="thin">
        <color indexed="59"/>
      </left>
      <right/>
      <top/>
      <bottom style="hair">
        <color indexed="59"/>
      </bottom>
      <diagonal/>
    </border>
    <border>
      <left style="thin">
        <color indexed="59"/>
      </left>
      <right/>
      <top style="hair">
        <color indexed="59"/>
      </top>
      <bottom style="hair">
        <color indexed="59"/>
      </bottom>
      <diagonal/>
    </border>
    <border>
      <left style="double">
        <color indexed="59"/>
      </left>
      <right/>
      <top/>
      <bottom style="hair">
        <color indexed="59"/>
      </bottom>
      <diagonal/>
    </border>
    <border>
      <left/>
      <right style="double">
        <color indexed="59"/>
      </right>
      <top style="hair">
        <color indexed="59"/>
      </top>
      <bottom style="hair">
        <color indexed="59"/>
      </bottom>
      <diagonal/>
    </border>
    <border>
      <left style="double">
        <color indexed="59"/>
      </left>
      <right style="double">
        <color indexed="59"/>
      </right>
      <top style="double">
        <color indexed="59"/>
      </top>
      <bottom style="hair">
        <color indexed="59"/>
      </bottom>
      <diagonal/>
    </border>
    <border>
      <left/>
      <right style="thin">
        <color indexed="59"/>
      </right>
      <top/>
      <bottom style="hair">
        <color indexed="59"/>
      </bottom>
      <diagonal/>
    </border>
    <border>
      <left style="double">
        <color indexed="59"/>
      </left>
      <right style="double">
        <color indexed="59"/>
      </right>
      <top style="hair">
        <color indexed="59"/>
      </top>
      <bottom style="hair">
        <color indexed="59"/>
      </bottom>
      <diagonal/>
    </border>
    <border>
      <left/>
      <right style="thin">
        <color indexed="59"/>
      </right>
      <top style="hair">
        <color indexed="59"/>
      </top>
      <bottom style="hair">
        <color indexed="59"/>
      </bottom>
      <diagonal/>
    </border>
    <border>
      <left style="double">
        <color indexed="59"/>
      </left>
      <right style="double">
        <color indexed="59"/>
      </right>
      <top style="hair">
        <color indexed="59"/>
      </top>
      <bottom style="double">
        <color indexed="59"/>
      </bottom>
      <diagonal/>
    </border>
    <border>
      <left/>
      <right style="thin">
        <color indexed="59"/>
      </right>
      <top style="hair">
        <color indexed="59"/>
      </top>
      <bottom style="double">
        <color indexed="59"/>
      </bottom>
      <diagonal/>
    </border>
    <border>
      <left style="double">
        <color indexed="59"/>
      </left>
      <right style="thin">
        <color indexed="59"/>
      </right>
      <top style="double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double">
        <color indexed="59"/>
      </top>
      <bottom style="thin">
        <color indexed="59"/>
      </bottom>
      <diagonal/>
    </border>
    <border>
      <left style="thin">
        <color indexed="59"/>
      </left>
      <right style="double">
        <color indexed="59"/>
      </right>
      <top style="double">
        <color indexed="59"/>
      </top>
      <bottom style="thin">
        <color indexed="59"/>
      </bottom>
      <diagonal/>
    </border>
    <border>
      <left style="double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double">
        <color indexed="59"/>
      </right>
      <top/>
      <bottom/>
      <diagonal/>
    </border>
    <border>
      <left style="double">
        <color indexed="59"/>
      </left>
      <right style="thin">
        <color indexed="59"/>
      </right>
      <top/>
      <bottom style="double">
        <color indexed="59"/>
      </bottom>
      <diagonal/>
    </border>
    <border>
      <left style="thin">
        <color indexed="59"/>
      </left>
      <right style="thin">
        <color indexed="59"/>
      </right>
      <top/>
      <bottom style="double">
        <color indexed="59"/>
      </bottom>
      <diagonal/>
    </border>
    <border>
      <left style="thin">
        <color indexed="59"/>
      </left>
      <right style="double">
        <color indexed="59"/>
      </right>
      <top/>
      <bottom style="double">
        <color indexed="59"/>
      </bottom>
      <diagonal/>
    </border>
    <border>
      <left style="double">
        <color indexed="59"/>
      </left>
      <right/>
      <top/>
      <bottom style="double">
        <color indexed="59"/>
      </bottom>
      <diagonal/>
    </border>
    <border>
      <left style="thin">
        <color indexed="59"/>
      </left>
      <right/>
      <top style="double">
        <color indexed="59"/>
      </top>
      <bottom style="hair">
        <color indexed="59"/>
      </bottom>
      <diagonal/>
    </border>
    <border>
      <left/>
      <right style="thin">
        <color indexed="59"/>
      </right>
      <top style="double">
        <color indexed="59"/>
      </top>
      <bottom style="hair">
        <color indexed="5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59"/>
      </left>
      <right/>
      <top/>
      <bottom/>
      <diagonal/>
    </border>
  </borders>
  <cellStyleXfs count="20">
    <xf numFmtId="0" fontId="0" fillId="0" borderId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9" fillId="4" borderId="0" applyNumberFormat="0" applyBorder="0" applyAlignment="0" applyProtection="0"/>
    <xf numFmtId="0" fontId="7" fillId="5" borderId="0" applyNumberFormat="0" applyBorder="0" applyAlignment="0" applyProtection="0"/>
    <xf numFmtId="0" fontId="16" fillId="10" borderId="0" applyNumberFormat="0" applyBorder="0" applyAlignment="0" applyProtection="0"/>
    <xf numFmtId="0" fontId="8" fillId="6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8" fontId="15" fillId="0" borderId="0" applyFill="0" applyBorder="0" applyAlignment="0" applyProtection="0"/>
    <xf numFmtId="165" fontId="15" fillId="0" borderId="0" applyFill="0" applyBorder="0" applyAlignment="0" applyProtection="0"/>
    <xf numFmtId="0" fontId="4" fillId="8" borderId="1" applyNumberFormat="0" applyAlignment="0" applyProtection="0"/>
    <xf numFmtId="9" fontId="15" fillId="0" borderId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293">
    <xf numFmtId="0" fontId="0" fillId="0" borderId="0" xfId="0"/>
    <xf numFmtId="0" fontId="11" fillId="0" borderId="0" xfId="0" applyFont="1"/>
    <xf numFmtId="0" fontId="12" fillId="0" borderId="2" xfId="0" applyFont="1" applyBorder="1"/>
    <xf numFmtId="0" fontId="12" fillId="0" borderId="0" xfId="0" applyFont="1" applyAlignment="1">
      <alignment horizontal="right"/>
    </xf>
    <xf numFmtId="9" fontId="12" fillId="7" borderId="2" xfId="16" applyFont="1" applyFill="1" applyBorder="1" applyAlignment="1" applyProtection="1"/>
    <xf numFmtId="0" fontId="10" fillId="0" borderId="0" xfId="0" applyFont="1"/>
    <xf numFmtId="0" fontId="0" fillId="0" borderId="0" xfId="0" applyFont="1" applyAlignment="1">
      <alignment horizontal="right"/>
    </xf>
    <xf numFmtId="0" fontId="12" fillId="7" borderId="2" xfId="0" applyFont="1" applyFill="1" applyBorder="1" applyAlignment="1">
      <alignment horizontal="center"/>
    </xf>
    <xf numFmtId="164" fontId="12" fillId="7" borderId="2" xfId="0" applyNumberFormat="1" applyFont="1" applyFill="1" applyBorder="1" applyAlignment="1">
      <alignment horizontal="center"/>
    </xf>
    <xf numFmtId="0" fontId="0" fillId="9" borderId="3" xfId="0" applyFill="1" applyBorder="1" applyProtection="1">
      <protection locked="0"/>
    </xf>
    <xf numFmtId="0" fontId="0" fillId="9" borderId="4" xfId="0" applyFill="1" applyBorder="1"/>
    <xf numFmtId="0" fontId="0" fillId="9" borderId="5" xfId="0" applyFill="1" applyBorder="1"/>
    <xf numFmtId="0" fontId="0" fillId="9" borderId="2" xfId="0" applyFill="1" applyBorder="1" applyProtection="1">
      <protection locked="0"/>
    </xf>
    <xf numFmtId="0" fontId="12" fillId="0" borderId="0" xfId="0" applyFont="1"/>
    <xf numFmtId="0" fontId="0" fillId="9" borderId="6" xfId="0" applyFill="1" applyBorder="1" applyProtection="1">
      <protection locked="0"/>
    </xf>
    <xf numFmtId="0" fontId="0" fillId="9" borderId="7" xfId="0" applyFill="1" applyBorder="1" applyProtection="1">
      <protection locked="0"/>
    </xf>
    <xf numFmtId="0" fontId="0" fillId="0" borderId="0" xfId="0" applyFill="1"/>
    <xf numFmtId="0" fontId="13" fillId="0" borderId="8" xfId="0" applyFont="1" applyFill="1" applyBorder="1"/>
    <xf numFmtId="0" fontId="12" fillId="0" borderId="9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0" fontId="13" fillId="0" borderId="11" xfId="0" applyFont="1" applyFill="1" applyBorder="1"/>
    <xf numFmtId="0" fontId="12" fillId="0" borderId="12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0" fontId="0" fillId="0" borderId="14" xfId="0" applyFill="1" applyBorder="1"/>
    <xf numFmtId="0" fontId="0" fillId="0" borderId="15" xfId="0" applyFill="1" applyBorder="1"/>
    <xf numFmtId="0" fontId="12" fillId="0" borderId="16" xfId="0" applyFont="1" applyFill="1" applyBorder="1"/>
    <xf numFmtId="0" fontId="0" fillId="0" borderId="17" xfId="0" applyFill="1" applyBorder="1"/>
    <xf numFmtId="0" fontId="0" fillId="0" borderId="16" xfId="0" applyFont="1" applyFill="1" applyBorder="1"/>
    <xf numFmtId="165" fontId="0" fillId="0" borderId="17" xfId="14" applyFont="1" applyFill="1" applyBorder="1" applyAlignment="1" applyProtection="1">
      <protection locked="0"/>
    </xf>
    <xf numFmtId="0" fontId="0" fillId="0" borderId="16" xfId="0" applyFont="1" applyFill="1" applyBorder="1" applyAlignment="1">
      <alignment horizontal="left"/>
    </xf>
    <xf numFmtId="165" fontId="0" fillId="0" borderId="17" xfId="14" applyFont="1" applyFill="1" applyBorder="1" applyAlignment="1" applyProtection="1"/>
    <xf numFmtId="0" fontId="12" fillId="0" borderId="11" xfId="0" applyFont="1" applyFill="1" applyBorder="1" applyAlignment="1">
      <alignment horizontal="left"/>
    </xf>
    <xf numFmtId="165" fontId="0" fillId="0" borderId="12" xfId="14" applyFont="1" applyFill="1" applyBorder="1" applyAlignment="1" applyProtection="1">
      <protection locked="0"/>
    </xf>
    <xf numFmtId="0" fontId="12" fillId="0" borderId="8" xfId="0" applyFont="1" applyFill="1" applyBorder="1" applyAlignment="1">
      <alignment horizontal="center"/>
    </xf>
    <xf numFmtId="0" fontId="12" fillId="0" borderId="10" xfId="0" applyFont="1" applyFill="1" applyBorder="1"/>
    <xf numFmtId="0" fontId="12" fillId="0" borderId="11" xfId="0" applyFont="1" applyFill="1" applyBorder="1"/>
    <xf numFmtId="0" fontId="12" fillId="0" borderId="13" xfId="0" applyFont="1" applyFill="1" applyBorder="1"/>
    <xf numFmtId="0" fontId="12" fillId="0" borderId="8" xfId="0" applyFont="1" applyFill="1" applyBorder="1"/>
    <xf numFmtId="165" fontId="0" fillId="0" borderId="9" xfId="14" applyFont="1" applyFill="1" applyBorder="1" applyAlignment="1" applyProtection="1"/>
    <xf numFmtId="0" fontId="0" fillId="0" borderId="9" xfId="0" applyFill="1" applyBorder="1" applyAlignment="1">
      <alignment horizontal="center"/>
    </xf>
    <xf numFmtId="0" fontId="0" fillId="0" borderId="10" xfId="0" applyFill="1" applyBorder="1"/>
    <xf numFmtId="0" fontId="12" fillId="0" borderId="14" xfId="0" applyFont="1" applyFill="1" applyBorder="1"/>
    <xf numFmtId="165" fontId="0" fillId="0" borderId="15" xfId="14" applyFont="1" applyFill="1" applyBorder="1" applyAlignment="1" applyProtection="1"/>
    <xf numFmtId="0" fontId="0" fillId="0" borderId="15" xfId="0" applyFill="1" applyBorder="1" applyAlignment="1">
      <alignment horizontal="center"/>
    </xf>
    <xf numFmtId="0" fontId="0" fillId="0" borderId="18" xfId="0" applyFill="1" applyBorder="1"/>
    <xf numFmtId="165" fontId="0" fillId="0" borderId="19" xfId="14" applyFont="1" applyFill="1" applyBorder="1" applyAlignment="1" applyProtection="1">
      <protection locked="0"/>
    </xf>
    <xf numFmtId="0" fontId="12" fillId="0" borderId="16" xfId="0" applyFont="1" applyFill="1" applyBorder="1" applyAlignment="1">
      <alignment horizontal="left"/>
    </xf>
    <xf numFmtId="166" fontId="0" fillId="0" borderId="17" xfId="0" applyNumberFormat="1" applyFill="1" applyBorder="1" applyAlignment="1">
      <alignment horizontal="center"/>
    </xf>
    <xf numFmtId="166" fontId="0" fillId="0" borderId="17" xfId="0" applyNumberFormat="1" applyFill="1" applyBorder="1"/>
    <xf numFmtId="166" fontId="0" fillId="0" borderId="19" xfId="0" applyNumberFormat="1" applyFill="1" applyBorder="1"/>
    <xf numFmtId="166" fontId="12" fillId="0" borderId="17" xfId="0" applyNumberFormat="1" applyFont="1" applyFill="1" applyBorder="1" applyAlignment="1">
      <alignment horizontal="center"/>
    </xf>
    <xf numFmtId="2" fontId="0" fillId="0" borderId="17" xfId="0" applyNumberFormat="1" applyFill="1" applyBorder="1" applyAlignment="1">
      <alignment horizontal="center"/>
    </xf>
    <xf numFmtId="2" fontId="0" fillId="0" borderId="19" xfId="0" applyNumberFormat="1" applyFill="1" applyBorder="1" applyAlignment="1">
      <alignment horizontal="center"/>
    </xf>
    <xf numFmtId="166" fontId="0" fillId="0" borderId="0" xfId="0" applyNumberFormat="1" applyFill="1"/>
    <xf numFmtId="165" fontId="0" fillId="0" borderId="13" xfId="14" applyFont="1" applyFill="1" applyBorder="1" applyAlignment="1" applyProtection="1">
      <protection locked="0"/>
    </xf>
    <xf numFmtId="166" fontId="12" fillId="0" borderId="0" xfId="0" applyNumberFormat="1" applyFont="1" applyFill="1" applyAlignment="1">
      <alignment horizontal="center"/>
    </xf>
    <xf numFmtId="0" fontId="13" fillId="0" borderId="20" xfId="0" applyFont="1" applyFill="1" applyBorder="1" applyAlignment="1">
      <alignment horizontal="center"/>
    </xf>
    <xf numFmtId="0" fontId="13" fillId="0" borderId="21" xfId="0" applyFont="1" applyFill="1" applyBorder="1" applyAlignment="1">
      <alignment horizontal="center"/>
    </xf>
    <xf numFmtId="0" fontId="13" fillId="0" borderId="22" xfId="0" applyFont="1" applyFill="1" applyBorder="1" applyAlignment="1">
      <alignment horizontal="center"/>
    </xf>
    <xf numFmtId="0" fontId="12" fillId="0" borderId="16" xfId="0" applyFont="1" applyFill="1" applyBorder="1" applyAlignment="1">
      <alignment horizontal="center"/>
    </xf>
    <xf numFmtId="0" fontId="12" fillId="0" borderId="17" xfId="0" applyFont="1" applyFill="1" applyBorder="1" applyAlignment="1">
      <alignment horizontal="center"/>
    </xf>
    <xf numFmtId="0" fontId="12" fillId="0" borderId="19" xfId="0" applyFont="1" applyFill="1" applyBorder="1" applyAlignment="1">
      <alignment horizontal="center"/>
    </xf>
    <xf numFmtId="165" fontId="0" fillId="0" borderId="15" xfId="14" applyFont="1" applyFill="1" applyBorder="1" applyAlignment="1" applyProtection="1">
      <alignment horizontal="center"/>
      <protection locked="0"/>
    </xf>
    <xf numFmtId="165" fontId="0" fillId="0" borderId="18" xfId="14" applyFont="1" applyFill="1" applyBorder="1" applyAlignment="1" applyProtection="1">
      <alignment horizontal="center"/>
      <protection locked="0"/>
    </xf>
    <xf numFmtId="165" fontId="0" fillId="0" borderId="17" xfId="14" applyFont="1" applyFill="1" applyBorder="1" applyAlignment="1" applyProtection="1">
      <alignment horizontal="center"/>
      <protection locked="0"/>
    </xf>
    <xf numFmtId="165" fontId="0" fillId="0" borderId="19" xfId="14" applyFont="1" applyFill="1" applyBorder="1" applyAlignment="1" applyProtection="1">
      <alignment horizontal="center"/>
      <protection locked="0"/>
    </xf>
    <xf numFmtId="0" fontId="0" fillId="0" borderId="23" xfId="0" applyFill="1" applyBorder="1"/>
    <xf numFmtId="166" fontId="0" fillId="0" borderId="24" xfId="0" applyNumberFormat="1" applyFill="1" applyBorder="1" applyAlignment="1">
      <alignment horizontal="center"/>
    </xf>
    <xf numFmtId="166" fontId="0" fillId="0" borderId="25" xfId="0" applyNumberFormat="1" applyFill="1" applyBorder="1"/>
    <xf numFmtId="0" fontId="12" fillId="0" borderId="23" xfId="0" applyFont="1" applyFill="1" applyBorder="1"/>
    <xf numFmtId="165" fontId="0" fillId="0" borderId="12" xfId="14" applyFont="1" applyFill="1" applyBorder="1" applyAlignment="1" applyProtection="1">
      <alignment horizontal="center"/>
      <protection locked="0"/>
    </xf>
    <xf numFmtId="165" fontId="0" fillId="0" borderId="13" xfId="14" applyFont="1" applyFill="1" applyBorder="1" applyAlignment="1" applyProtection="1">
      <alignment horizontal="center"/>
      <protection locked="0"/>
    </xf>
    <xf numFmtId="0" fontId="0" fillId="0" borderId="8" xfId="0" applyFill="1" applyBorder="1"/>
    <xf numFmtId="0" fontId="0" fillId="0" borderId="12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12" fillId="0" borderId="0" xfId="0" applyFont="1" applyFill="1"/>
    <xf numFmtId="167" fontId="0" fillId="0" borderId="0" xfId="0" applyNumberFormat="1" applyFill="1" applyAlignment="1">
      <alignment horizontal="center"/>
    </xf>
    <xf numFmtId="167" fontId="12" fillId="0" borderId="9" xfId="0" applyNumberFormat="1" applyFont="1" applyFill="1" applyBorder="1" applyAlignment="1">
      <alignment horizontal="center"/>
    </xf>
    <xf numFmtId="167" fontId="12" fillId="0" borderId="10" xfId="0" applyNumberFormat="1" applyFont="1" applyFill="1" applyBorder="1" applyAlignment="1">
      <alignment horizontal="center"/>
    </xf>
    <xf numFmtId="165" fontId="0" fillId="0" borderId="24" xfId="14" applyFont="1" applyFill="1" applyBorder="1" applyAlignment="1" applyProtection="1">
      <alignment horizontal="center"/>
      <protection locked="0"/>
    </xf>
    <xf numFmtId="165" fontId="0" fillId="0" borderId="25" xfId="14" applyFont="1" applyFill="1" applyBorder="1" applyAlignment="1" applyProtection="1">
      <alignment horizontal="center"/>
      <protection locked="0"/>
    </xf>
    <xf numFmtId="9" fontId="0" fillId="0" borderId="24" xfId="16" applyFont="1" applyFill="1" applyBorder="1" applyAlignment="1" applyProtection="1">
      <alignment horizontal="center"/>
      <protection locked="0"/>
    </xf>
    <xf numFmtId="9" fontId="0" fillId="0" borderId="25" xfId="16" applyFont="1" applyFill="1" applyBorder="1" applyAlignment="1" applyProtection="1">
      <alignment horizontal="center"/>
      <protection locked="0"/>
    </xf>
    <xf numFmtId="9" fontId="0" fillId="0" borderId="12" xfId="16" applyFont="1" applyFill="1" applyBorder="1" applyAlignment="1" applyProtection="1">
      <alignment horizontal="center"/>
      <protection locked="0"/>
    </xf>
    <xf numFmtId="9" fontId="0" fillId="0" borderId="13" xfId="16" applyFont="1" applyFill="1" applyBorder="1" applyAlignment="1" applyProtection="1">
      <alignment horizontal="center"/>
      <protection locked="0"/>
    </xf>
    <xf numFmtId="0" fontId="12" fillId="0" borderId="11" xfId="0" applyFont="1" applyFill="1" applyBorder="1" applyAlignment="1">
      <alignment horizontal="center"/>
    </xf>
    <xf numFmtId="165" fontId="0" fillId="0" borderId="9" xfId="14" applyFont="1" applyFill="1" applyBorder="1" applyAlignment="1" applyProtection="1">
      <alignment horizontal="center"/>
      <protection locked="0"/>
    </xf>
    <xf numFmtId="165" fontId="0" fillId="0" borderId="10" xfId="14" applyFont="1" applyFill="1" applyBorder="1" applyAlignment="1" applyProtection="1">
      <alignment horizontal="center"/>
      <protection locked="0"/>
    </xf>
    <xf numFmtId="165" fontId="0" fillId="0" borderId="17" xfId="14" applyFont="1" applyFill="1" applyBorder="1" applyAlignment="1" applyProtection="1">
      <alignment horizontal="center"/>
    </xf>
    <xf numFmtId="165" fontId="0" fillId="0" borderId="19" xfId="14" applyFont="1" applyFill="1" applyBorder="1" applyAlignment="1" applyProtection="1">
      <alignment horizontal="center"/>
    </xf>
    <xf numFmtId="9" fontId="0" fillId="0" borderId="17" xfId="16" applyFont="1" applyFill="1" applyBorder="1" applyAlignment="1" applyProtection="1">
      <alignment horizontal="center"/>
      <protection locked="0"/>
    </xf>
    <xf numFmtId="9" fontId="0" fillId="0" borderId="19" xfId="16" applyFont="1" applyFill="1" applyBorder="1" applyAlignment="1" applyProtection="1">
      <alignment horizontal="center"/>
      <protection locked="0"/>
    </xf>
    <xf numFmtId="0" fontId="13" fillId="0" borderId="9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/>
    </xf>
    <xf numFmtId="168" fontId="0" fillId="0" borderId="17" xfId="13" applyFont="1" applyFill="1" applyBorder="1" applyAlignment="1" applyProtection="1">
      <alignment horizontal="center"/>
      <protection locked="0"/>
    </xf>
    <xf numFmtId="168" fontId="0" fillId="0" borderId="19" xfId="13" applyFont="1" applyFill="1" applyBorder="1" applyAlignment="1" applyProtection="1">
      <alignment horizontal="center"/>
      <protection locked="0"/>
    </xf>
    <xf numFmtId="165" fontId="12" fillId="0" borderId="17" xfId="14" applyFont="1" applyFill="1" applyBorder="1" applyAlignment="1" applyProtection="1">
      <alignment horizontal="center"/>
      <protection locked="0"/>
    </xf>
    <xf numFmtId="165" fontId="12" fillId="0" borderId="19" xfId="14" applyFont="1" applyFill="1" applyBorder="1" applyAlignment="1" applyProtection="1">
      <alignment horizontal="center"/>
      <protection locked="0"/>
    </xf>
    <xf numFmtId="165" fontId="12" fillId="0" borderId="17" xfId="14" applyFont="1" applyFill="1" applyBorder="1" applyAlignment="1" applyProtection="1">
      <alignment horizontal="center"/>
    </xf>
    <xf numFmtId="165" fontId="12" fillId="0" borderId="19" xfId="14" applyFont="1" applyFill="1" applyBorder="1" applyAlignment="1" applyProtection="1">
      <alignment horizontal="center"/>
    </xf>
    <xf numFmtId="9" fontId="0" fillId="0" borderId="17" xfId="16" applyFont="1" applyFill="1" applyBorder="1" applyAlignment="1" applyProtection="1">
      <protection locked="0"/>
    </xf>
    <xf numFmtId="9" fontId="0" fillId="0" borderId="19" xfId="16" applyFont="1" applyFill="1" applyBorder="1" applyAlignment="1" applyProtection="1">
      <protection locked="0"/>
    </xf>
    <xf numFmtId="9" fontId="0" fillId="0" borderId="17" xfId="16" applyFont="1" applyFill="1" applyBorder="1" applyAlignment="1" applyProtection="1"/>
    <xf numFmtId="9" fontId="0" fillId="0" borderId="19" xfId="16" applyFont="1" applyFill="1" applyBorder="1" applyAlignment="1" applyProtection="1"/>
    <xf numFmtId="165" fontId="0" fillId="0" borderId="19" xfId="14" applyFont="1" applyFill="1" applyBorder="1" applyAlignment="1" applyProtection="1"/>
    <xf numFmtId="0" fontId="13" fillId="0" borderId="0" xfId="0" applyFont="1" applyFill="1"/>
    <xf numFmtId="0" fontId="0" fillId="0" borderId="0" xfId="0" applyBorder="1"/>
    <xf numFmtId="0" fontId="12" fillId="0" borderId="26" xfId="0" applyFont="1" applyFill="1" applyBorder="1"/>
    <xf numFmtId="165" fontId="0" fillId="0" borderId="15" xfId="14" applyFont="1" applyFill="1" applyBorder="1" applyAlignment="1" applyProtection="1">
      <alignment horizontal="center"/>
    </xf>
    <xf numFmtId="165" fontId="0" fillId="0" borderId="18" xfId="14" applyFont="1" applyFill="1" applyBorder="1" applyAlignment="1" applyProtection="1">
      <alignment horizontal="center"/>
    </xf>
    <xf numFmtId="0" fontId="0" fillId="0" borderId="26" xfId="0" applyFill="1" applyBorder="1"/>
    <xf numFmtId="0" fontId="12" fillId="0" borderId="27" xfId="0" applyFont="1" applyFill="1" applyBorder="1"/>
    <xf numFmtId="0" fontId="12" fillId="0" borderId="12" xfId="0" applyFont="1" applyFill="1" applyBorder="1" applyAlignment="1">
      <alignment horizontal="center" wrapText="1"/>
    </xf>
    <xf numFmtId="0" fontId="12" fillId="0" borderId="28" xfId="0" applyFont="1" applyFill="1" applyBorder="1" applyAlignment="1">
      <alignment horizontal="center"/>
    </xf>
    <xf numFmtId="165" fontId="0" fillId="0" borderId="29" xfId="14" applyFont="1" applyFill="1" applyBorder="1" applyAlignment="1" applyProtection="1">
      <alignment horizontal="center"/>
    </xf>
    <xf numFmtId="0" fontId="0" fillId="0" borderId="26" xfId="0" applyFont="1" applyFill="1" applyBorder="1"/>
    <xf numFmtId="165" fontId="0" fillId="0" borderId="30" xfId="14" applyFont="1" applyFill="1" applyBorder="1" applyAlignment="1" applyProtection="1">
      <alignment horizontal="center"/>
      <protection locked="0"/>
    </xf>
    <xf numFmtId="165" fontId="0" fillId="0" borderId="30" xfId="14" applyFont="1" applyFill="1" applyBorder="1" applyAlignment="1" applyProtection="1">
      <alignment horizontal="center"/>
    </xf>
    <xf numFmtId="165" fontId="0" fillId="0" borderId="28" xfId="14" applyFont="1" applyFill="1" applyBorder="1" applyAlignment="1" applyProtection="1">
      <alignment horizontal="center"/>
      <protection locked="0"/>
    </xf>
    <xf numFmtId="0" fontId="13" fillId="0" borderId="20" xfId="0" applyFont="1" applyFill="1" applyBorder="1" applyAlignment="1">
      <alignment horizontal="left"/>
    </xf>
    <xf numFmtId="0" fontId="13" fillId="0" borderId="31" xfId="0" applyFont="1" applyFill="1" applyBorder="1" applyAlignment="1">
      <alignment horizontal="left"/>
    </xf>
    <xf numFmtId="0" fontId="13" fillId="0" borderId="26" xfId="0" applyFont="1" applyFill="1" applyBorder="1" applyAlignment="1">
      <alignment horizontal="center"/>
    </xf>
    <xf numFmtId="0" fontId="13" fillId="0" borderId="32" xfId="0" applyFont="1" applyFill="1" applyBorder="1" applyAlignment="1">
      <alignment horizontal="center"/>
    </xf>
    <xf numFmtId="0" fontId="12" fillId="0" borderId="23" xfId="0" applyFont="1" applyFill="1" applyBorder="1" applyAlignment="1">
      <alignment horizontal="center"/>
    </xf>
    <xf numFmtId="0" fontId="12" fillId="0" borderId="33" xfId="0" applyFont="1" applyFill="1" applyBorder="1"/>
    <xf numFmtId="165" fontId="0" fillId="0" borderId="34" xfId="14" applyFont="1" applyFill="1" applyBorder="1" applyAlignment="1" applyProtection="1">
      <alignment horizontal="center"/>
    </xf>
    <xf numFmtId="0" fontId="0" fillId="0" borderId="35" xfId="0" applyFont="1" applyFill="1" applyBorder="1"/>
    <xf numFmtId="165" fontId="0" fillId="0" borderId="36" xfId="14" applyFont="1" applyFill="1" applyBorder="1" applyAlignment="1" applyProtection="1">
      <alignment horizontal="center"/>
      <protection locked="0"/>
    </xf>
    <xf numFmtId="0" fontId="12" fillId="0" borderId="35" xfId="0" applyFont="1" applyFill="1" applyBorder="1"/>
    <xf numFmtId="165" fontId="0" fillId="0" borderId="36" xfId="14" applyFont="1" applyFill="1" applyBorder="1" applyAlignment="1" applyProtection="1">
      <alignment horizontal="center"/>
    </xf>
    <xf numFmtId="0" fontId="12" fillId="0" borderId="35" xfId="0" applyFont="1" applyFill="1" applyBorder="1" applyAlignment="1">
      <alignment horizontal="left"/>
    </xf>
    <xf numFmtId="0" fontId="12" fillId="0" borderId="37" xfId="0" applyFont="1" applyFill="1" applyBorder="1"/>
    <xf numFmtId="165" fontId="0" fillId="0" borderId="38" xfId="14" applyFont="1" applyFill="1" applyBorder="1" applyAlignment="1" applyProtection="1">
      <alignment horizontal="center"/>
      <protection locked="0"/>
    </xf>
    <xf numFmtId="0" fontId="12" fillId="0" borderId="28" xfId="0" applyFont="1" applyFill="1" applyBorder="1" applyAlignment="1">
      <alignment horizontal="center" wrapText="1"/>
    </xf>
    <xf numFmtId="0" fontId="12" fillId="0" borderId="13" xfId="0" applyFont="1" applyFill="1" applyBorder="1" applyAlignment="1">
      <alignment horizontal="center" wrapText="1"/>
    </xf>
    <xf numFmtId="0" fontId="12" fillId="0" borderId="33" xfId="0" applyFont="1" applyFill="1" applyBorder="1" applyAlignment="1">
      <alignment horizontal="center"/>
    </xf>
    <xf numFmtId="165" fontId="0" fillId="0" borderId="34" xfId="14" applyFont="1" applyFill="1" applyBorder="1" applyAlignment="1" applyProtection="1">
      <alignment horizontal="center"/>
      <protection locked="0"/>
    </xf>
    <xf numFmtId="165" fontId="0" fillId="0" borderId="29" xfId="14" applyFont="1" applyFill="1" applyBorder="1" applyAlignment="1" applyProtection="1">
      <alignment horizontal="center"/>
      <protection locked="0"/>
    </xf>
    <xf numFmtId="0" fontId="12" fillId="0" borderId="35" xfId="0" applyFont="1" applyFill="1" applyBorder="1" applyAlignment="1">
      <alignment horizontal="center"/>
    </xf>
    <xf numFmtId="0" fontId="12" fillId="0" borderId="37" xfId="0" applyFont="1" applyFill="1" applyBorder="1" applyAlignment="1">
      <alignment horizontal="center"/>
    </xf>
    <xf numFmtId="0" fontId="0" fillId="0" borderId="0" xfId="0" applyFont="1" applyFill="1" applyAlignment="1">
      <alignment horizontal="right"/>
    </xf>
    <xf numFmtId="165" fontId="0" fillId="0" borderId="2" xfId="14" applyFont="1" applyFill="1" applyBorder="1" applyAlignment="1" applyProtection="1">
      <protection locked="0"/>
    </xf>
    <xf numFmtId="0" fontId="0" fillId="0" borderId="2" xfId="0" applyFill="1" applyBorder="1" applyProtection="1">
      <protection locked="0"/>
    </xf>
    <xf numFmtId="9" fontId="0" fillId="0" borderId="2" xfId="16" applyFont="1" applyFill="1" applyBorder="1" applyAlignment="1" applyProtection="1">
      <protection locked="0"/>
    </xf>
    <xf numFmtId="0" fontId="0" fillId="0" borderId="2" xfId="0" applyBorder="1"/>
    <xf numFmtId="0" fontId="13" fillId="0" borderId="8" xfId="0" applyFont="1" applyFill="1" applyBorder="1" applyAlignment="1">
      <alignment horizontal="left"/>
    </xf>
    <xf numFmtId="0" fontId="12" fillId="0" borderId="17" xfId="0" applyFont="1" applyFill="1" applyBorder="1" applyAlignment="1" applyProtection="1">
      <alignment horizontal="center"/>
      <protection locked="0"/>
    </xf>
    <xf numFmtId="0" fontId="12" fillId="0" borderId="19" xfId="0" applyFont="1" applyFill="1" applyBorder="1" applyAlignment="1" applyProtection="1">
      <alignment horizontal="center"/>
      <protection locked="0"/>
    </xf>
    <xf numFmtId="165" fontId="12" fillId="0" borderId="12" xfId="14" applyFont="1" applyFill="1" applyBorder="1" applyAlignment="1" applyProtection="1">
      <alignment horizontal="center"/>
      <protection locked="0"/>
    </xf>
    <xf numFmtId="9" fontId="12" fillId="0" borderId="12" xfId="16" applyFont="1" applyFill="1" applyBorder="1" applyAlignment="1" applyProtection="1">
      <alignment horizontal="center"/>
      <protection locked="0"/>
    </xf>
    <xf numFmtId="9" fontId="12" fillId="0" borderId="13" xfId="16" applyFont="1" applyFill="1" applyBorder="1" applyAlignment="1" applyProtection="1">
      <alignment horizontal="center"/>
      <protection locked="0"/>
    </xf>
    <xf numFmtId="1" fontId="12" fillId="0" borderId="0" xfId="0" applyNumberFormat="1" applyFont="1" applyFill="1" applyAlignment="1">
      <alignment horizontal="center"/>
    </xf>
    <xf numFmtId="0" fontId="13" fillId="0" borderId="39" xfId="0" applyFont="1" applyFill="1" applyBorder="1" applyAlignment="1">
      <alignment horizontal="left"/>
    </xf>
    <xf numFmtId="0" fontId="13" fillId="0" borderId="40" xfId="0" applyFont="1" applyFill="1" applyBorder="1" applyAlignment="1">
      <alignment horizontal="left"/>
    </xf>
    <xf numFmtId="0" fontId="13" fillId="0" borderId="41" xfId="0" applyFont="1" applyFill="1" applyBorder="1" applyAlignment="1">
      <alignment horizontal="left"/>
    </xf>
    <xf numFmtId="0" fontId="12" fillId="0" borderId="42" xfId="0" applyFont="1" applyFill="1" applyBorder="1" applyAlignment="1">
      <alignment horizontal="center"/>
    </xf>
    <xf numFmtId="0" fontId="12" fillId="0" borderId="43" xfId="0" applyFont="1" applyFill="1" applyBorder="1" applyAlignment="1">
      <alignment horizontal="center"/>
    </xf>
    <xf numFmtId="0" fontId="12" fillId="0" borderId="44" xfId="0" applyFont="1" applyFill="1" applyBorder="1" applyAlignment="1">
      <alignment horizontal="center"/>
    </xf>
    <xf numFmtId="0" fontId="12" fillId="0" borderId="45" xfId="0" applyFont="1" applyFill="1" applyBorder="1" applyAlignment="1">
      <alignment horizontal="center"/>
    </xf>
    <xf numFmtId="0" fontId="12" fillId="0" borderId="46" xfId="0" applyFont="1" applyFill="1" applyBorder="1" applyAlignment="1">
      <alignment horizontal="center"/>
    </xf>
    <xf numFmtId="0" fontId="12" fillId="0" borderId="47" xfId="0" applyFont="1" applyFill="1" applyBorder="1" applyAlignment="1">
      <alignment horizontal="center"/>
    </xf>
    <xf numFmtId="169" fontId="0" fillId="0" borderId="8" xfId="0" applyNumberFormat="1" applyFont="1" applyFill="1" applyBorder="1" applyProtection="1">
      <protection locked="0"/>
    </xf>
    <xf numFmtId="165" fontId="0" fillId="0" borderId="9" xfId="14" applyFont="1" applyFill="1" applyBorder="1" applyAlignment="1" applyProtection="1">
      <protection locked="0"/>
    </xf>
    <xf numFmtId="9" fontId="0" fillId="0" borderId="9" xfId="16" applyFont="1" applyFill="1" applyBorder="1" applyAlignment="1" applyProtection="1">
      <protection locked="0"/>
    </xf>
    <xf numFmtId="169" fontId="0" fillId="0" borderId="16" xfId="0" applyNumberFormat="1" applyFont="1" applyFill="1" applyBorder="1" applyProtection="1">
      <protection locked="0"/>
    </xf>
    <xf numFmtId="169" fontId="0" fillId="0" borderId="11" xfId="0" applyNumberFormat="1" applyFont="1" applyFill="1" applyBorder="1" applyProtection="1">
      <protection locked="0"/>
    </xf>
    <xf numFmtId="9" fontId="0" fillId="0" borderId="12" xfId="16" applyFont="1" applyFill="1" applyBorder="1" applyAlignment="1" applyProtection="1">
      <protection locked="0"/>
    </xf>
    <xf numFmtId="0" fontId="12" fillId="0" borderId="0" xfId="0" applyFont="1" applyFill="1" applyBorder="1" applyAlignment="1">
      <alignment horizontal="right"/>
    </xf>
    <xf numFmtId="165" fontId="12" fillId="0" borderId="0" xfId="14" applyFont="1" applyFill="1" applyBorder="1" applyAlignment="1" applyProtection="1">
      <alignment horizontal="center"/>
    </xf>
    <xf numFmtId="165" fontId="12" fillId="0" borderId="2" xfId="14" applyFont="1" applyFill="1" applyBorder="1" applyAlignment="1" applyProtection="1">
      <alignment horizontal="center"/>
      <protection locked="0"/>
    </xf>
    <xf numFmtId="165" fontId="12" fillId="0" borderId="0" xfId="14" applyFont="1" applyFill="1" applyBorder="1" applyAlignment="1" applyProtection="1"/>
    <xf numFmtId="9" fontId="0" fillId="0" borderId="0" xfId="16" applyFont="1" applyFill="1" applyBorder="1" applyAlignment="1" applyProtection="1"/>
    <xf numFmtId="169" fontId="0" fillId="0" borderId="16" xfId="0" applyNumberFormat="1" applyFont="1" applyFill="1" applyBorder="1" applyAlignment="1" applyProtection="1">
      <alignment horizontal="left"/>
      <protection locked="0"/>
    </xf>
    <xf numFmtId="165" fontId="12" fillId="0" borderId="12" xfId="14" applyFont="1" applyFill="1" applyBorder="1" applyAlignment="1" applyProtection="1"/>
    <xf numFmtId="9" fontId="12" fillId="0" borderId="12" xfId="16" applyFont="1" applyFill="1" applyBorder="1" applyAlignment="1" applyProtection="1"/>
    <xf numFmtId="165" fontId="12" fillId="0" borderId="13" xfId="14" applyFont="1" applyFill="1" applyBorder="1" applyAlignment="1" applyProtection="1">
      <alignment horizontal="center"/>
      <protection locked="0"/>
    </xf>
    <xf numFmtId="0" fontId="0" fillId="0" borderId="0" xfId="0" applyFill="1" applyProtection="1"/>
    <xf numFmtId="0" fontId="13" fillId="0" borderId="20" xfId="0" applyFont="1" applyFill="1" applyBorder="1" applyAlignment="1" applyProtection="1">
      <alignment horizontal="left"/>
    </xf>
    <xf numFmtId="0" fontId="13" fillId="0" borderId="21" xfId="0" applyFont="1" applyFill="1" applyBorder="1" applyAlignment="1" applyProtection="1">
      <alignment horizontal="center"/>
    </xf>
    <xf numFmtId="0" fontId="13" fillId="0" borderId="22" xfId="0" applyFont="1" applyFill="1" applyBorder="1" applyAlignment="1" applyProtection="1">
      <alignment horizontal="center"/>
    </xf>
    <xf numFmtId="0" fontId="12" fillId="0" borderId="16" xfId="0" applyFont="1" applyFill="1" applyBorder="1" applyAlignment="1" applyProtection="1">
      <alignment horizontal="center"/>
    </xf>
    <xf numFmtId="0" fontId="12" fillId="0" borderId="12" xfId="0" applyFont="1" applyFill="1" applyBorder="1" applyAlignment="1" applyProtection="1">
      <alignment horizontal="center"/>
    </xf>
    <xf numFmtId="0" fontId="12" fillId="0" borderId="28" xfId="0" applyFont="1" applyFill="1" applyBorder="1" applyAlignment="1" applyProtection="1">
      <alignment horizontal="center"/>
    </xf>
    <xf numFmtId="0" fontId="12" fillId="0" borderId="13" xfId="0" applyFont="1" applyFill="1" applyBorder="1" applyAlignment="1" applyProtection="1">
      <alignment horizontal="center"/>
    </xf>
    <xf numFmtId="0" fontId="12" fillId="0" borderId="0" xfId="0" applyFont="1" applyFill="1" applyProtection="1"/>
    <xf numFmtId="0" fontId="0" fillId="0" borderId="0" xfId="0" applyFont="1" applyFill="1" applyAlignment="1" applyProtection="1">
      <alignment horizontal="left"/>
    </xf>
    <xf numFmtId="0" fontId="12" fillId="0" borderId="27" xfId="0" applyFont="1" applyFill="1" applyBorder="1" applyProtection="1"/>
    <xf numFmtId="0" fontId="12" fillId="0" borderId="0" xfId="0" applyFont="1" applyFill="1" applyAlignment="1" applyProtection="1">
      <alignment horizontal="center"/>
    </xf>
    <xf numFmtId="0" fontId="0" fillId="0" borderId="48" xfId="0" applyFill="1" applyBorder="1" applyProtection="1"/>
    <xf numFmtId="165" fontId="12" fillId="0" borderId="18" xfId="14" applyFont="1" applyFill="1" applyBorder="1" applyAlignment="1" applyProtection="1">
      <alignment horizontal="center"/>
    </xf>
    <xf numFmtId="0" fontId="12" fillId="0" borderId="16" xfId="0" applyFont="1" applyFill="1" applyBorder="1" applyProtection="1"/>
    <xf numFmtId="0" fontId="12" fillId="0" borderId="16" xfId="0" applyFont="1" applyFill="1" applyBorder="1" applyAlignment="1" applyProtection="1">
      <alignment horizontal="left"/>
    </xf>
    <xf numFmtId="0" fontId="12" fillId="0" borderId="11" xfId="0" applyFont="1" applyFill="1" applyBorder="1" applyProtection="1"/>
    <xf numFmtId="0" fontId="13" fillId="0" borderId="0" xfId="0" applyFont="1" applyFill="1" applyProtection="1"/>
    <xf numFmtId="0" fontId="13" fillId="0" borderId="31" xfId="0" applyFont="1" applyFill="1" applyBorder="1" applyAlignment="1" applyProtection="1">
      <alignment horizontal="left"/>
    </xf>
    <xf numFmtId="0" fontId="13" fillId="0" borderId="26" xfId="0" applyFont="1" applyFill="1" applyBorder="1" applyAlignment="1" applyProtection="1">
      <alignment horizontal="center"/>
    </xf>
    <xf numFmtId="0" fontId="13" fillId="0" borderId="32" xfId="0" applyFont="1" applyFill="1" applyBorder="1" applyAlignment="1" applyProtection="1">
      <alignment horizontal="center"/>
    </xf>
    <xf numFmtId="0" fontId="12" fillId="0" borderId="23" xfId="0" applyFont="1" applyFill="1" applyBorder="1" applyAlignment="1" applyProtection="1">
      <alignment horizontal="center"/>
    </xf>
    <xf numFmtId="0" fontId="12" fillId="0" borderId="12" xfId="0" applyFont="1" applyFill="1" applyBorder="1" applyAlignment="1" applyProtection="1">
      <alignment horizontal="center" wrapText="1"/>
    </xf>
    <xf numFmtId="0" fontId="12" fillId="0" borderId="33" xfId="0" applyFont="1" applyFill="1" applyBorder="1" applyProtection="1"/>
    <xf numFmtId="0" fontId="0" fillId="0" borderId="35" xfId="0" applyFont="1" applyFill="1" applyBorder="1" applyProtection="1"/>
    <xf numFmtId="0" fontId="0" fillId="0" borderId="35" xfId="0" applyFont="1" applyFill="1" applyBorder="1" applyAlignment="1" applyProtection="1">
      <alignment horizontal="left"/>
    </xf>
    <xf numFmtId="0" fontId="12" fillId="0" borderId="35" xfId="0" applyFont="1" applyFill="1" applyBorder="1" applyProtection="1"/>
    <xf numFmtId="0" fontId="12" fillId="0" borderId="35" xfId="0" applyFont="1" applyFill="1" applyBorder="1" applyAlignment="1" applyProtection="1">
      <alignment horizontal="left"/>
    </xf>
    <xf numFmtId="0" fontId="12" fillId="0" borderId="37" xfId="0" applyFont="1" applyFill="1" applyBorder="1" applyProtection="1"/>
    <xf numFmtId="0" fontId="0" fillId="0" borderId="0" xfId="0" applyProtection="1"/>
    <xf numFmtId="0" fontId="13" fillId="0" borderId="8" xfId="0" applyFont="1" applyFill="1" applyBorder="1" applyAlignment="1" applyProtection="1">
      <alignment horizontal="left"/>
    </xf>
    <xf numFmtId="0" fontId="13" fillId="0" borderId="9" xfId="0" applyFont="1" applyFill="1" applyBorder="1" applyAlignment="1" applyProtection="1">
      <alignment horizontal="center"/>
    </xf>
    <xf numFmtId="0" fontId="13" fillId="0" borderId="49" xfId="0" applyFont="1" applyFill="1" applyBorder="1" applyAlignment="1" applyProtection="1">
      <alignment horizontal="center"/>
    </xf>
    <xf numFmtId="0" fontId="13" fillId="0" borderId="10" xfId="0" applyFont="1" applyFill="1" applyBorder="1" applyAlignment="1" applyProtection="1">
      <alignment horizontal="center"/>
    </xf>
    <xf numFmtId="0" fontId="0" fillId="0" borderId="16" xfId="0" applyFill="1" applyBorder="1" applyProtection="1"/>
    <xf numFmtId="0" fontId="12" fillId="0" borderId="17" xfId="0" applyFont="1" applyFill="1" applyBorder="1" applyAlignment="1" applyProtection="1">
      <alignment horizontal="center"/>
    </xf>
    <xf numFmtId="0" fontId="12" fillId="0" borderId="30" xfId="0" applyFont="1" applyFill="1" applyBorder="1" applyAlignment="1" applyProtection="1">
      <alignment horizontal="center"/>
    </xf>
    <xf numFmtId="0" fontId="12" fillId="0" borderId="19" xfId="0" applyFont="1" applyFill="1" applyBorder="1" applyAlignment="1" applyProtection="1">
      <alignment horizontal="center"/>
    </xf>
    <xf numFmtId="168" fontId="0" fillId="0" borderId="30" xfId="13" applyFont="1" applyFill="1" applyBorder="1" applyAlignment="1" applyProtection="1">
      <alignment horizontal="center"/>
      <protection locked="0"/>
    </xf>
    <xf numFmtId="168" fontId="0" fillId="0" borderId="17" xfId="13" applyFont="1" applyFill="1" applyBorder="1" applyAlignment="1" applyProtection="1">
      <protection locked="0"/>
    </xf>
    <xf numFmtId="168" fontId="0" fillId="0" borderId="30" xfId="13" applyFont="1" applyFill="1" applyBorder="1" applyAlignment="1" applyProtection="1">
      <protection locked="0"/>
    </xf>
    <xf numFmtId="168" fontId="0" fillId="0" borderId="19" xfId="13" applyFont="1" applyFill="1" applyBorder="1" applyAlignment="1" applyProtection="1">
      <protection locked="0"/>
    </xf>
    <xf numFmtId="165" fontId="12" fillId="0" borderId="30" xfId="14" applyFont="1" applyFill="1" applyBorder="1" applyAlignment="1" applyProtection="1">
      <alignment horizontal="center"/>
      <protection locked="0"/>
    </xf>
    <xf numFmtId="165" fontId="0" fillId="0" borderId="28" xfId="14" applyFont="1" applyFill="1" applyBorder="1" applyAlignment="1" applyProtection="1">
      <protection locked="0"/>
    </xf>
    <xf numFmtId="0" fontId="0" fillId="0" borderId="23" xfId="0" applyFill="1" applyBorder="1" applyProtection="1"/>
    <xf numFmtId="0" fontId="12" fillId="0" borderId="24" xfId="0" applyFont="1" applyFill="1" applyBorder="1" applyAlignment="1" applyProtection="1">
      <alignment horizontal="center"/>
    </xf>
    <xf numFmtId="0" fontId="12" fillId="0" borderId="25" xfId="0" applyFont="1" applyFill="1" applyBorder="1" applyAlignment="1" applyProtection="1">
      <alignment horizontal="center"/>
    </xf>
    <xf numFmtId="0" fontId="12" fillId="0" borderId="8" xfId="0" applyFont="1" applyFill="1" applyBorder="1" applyProtection="1"/>
    <xf numFmtId="168" fontId="0" fillId="0" borderId="9" xfId="13" applyFont="1" applyFill="1" applyBorder="1" applyAlignment="1" applyProtection="1">
      <alignment horizontal="center"/>
      <protection locked="0"/>
    </xf>
    <xf numFmtId="168" fontId="0" fillId="0" borderId="10" xfId="13" applyFont="1" applyFill="1" applyBorder="1" applyAlignment="1" applyProtection="1">
      <alignment horizontal="center"/>
      <protection locked="0"/>
    </xf>
    <xf numFmtId="168" fontId="0" fillId="0" borderId="17" xfId="13" applyFont="1" applyFill="1" applyBorder="1" applyAlignment="1" applyProtection="1">
      <alignment horizontal="center"/>
    </xf>
    <xf numFmtId="168" fontId="0" fillId="0" borderId="19" xfId="13" applyFont="1" applyFill="1" applyBorder="1" applyAlignment="1" applyProtection="1">
      <alignment horizontal="center"/>
    </xf>
    <xf numFmtId="0" fontId="12" fillId="0" borderId="28" xfId="0" applyFont="1" applyFill="1" applyBorder="1" applyAlignment="1" applyProtection="1">
      <alignment horizontal="center" wrapText="1"/>
    </xf>
    <xf numFmtId="0" fontId="12" fillId="0" borderId="13" xfId="0" applyFont="1" applyFill="1" applyBorder="1" applyAlignment="1" applyProtection="1">
      <alignment horizontal="center" wrapText="1"/>
    </xf>
    <xf numFmtId="0" fontId="12" fillId="0" borderId="33" xfId="0" applyFont="1" applyFill="1" applyBorder="1" applyAlignment="1" applyProtection="1">
      <alignment horizontal="center"/>
    </xf>
    <xf numFmtId="0" fontId="12" fillId="0" borderId="35" xfId="0" applyFont="1" applyFill="1" applyBorder="1" applyAlignment="1" applyProtection="1">
      <alignment horizontal="center"/>
    </xf>
    <xf numFmtId="0" fontId="12" fillId="0" borderId="37" xfId="0" applyFont="1" applyFill="1" applyBorder="1" applyAlignment="1" applyProtection="1">
      <alignment horizontal="center"/>
    </xf>
    <xf numFmtId="0" fontId="0" fillId="0" borderId="0" xfId="0" applyFont="1" applyFill="1" applyAlignment="1" applyProtection="1">
      <alignment horizontal="right"/>
    </xf>
    <xf numFmtId="0" fontId="0" fillId="0" borderId="0" xfId="0" applyFill="1" applyBorder="1" applyAlignment="1" applyProtection="1">
      <alignment horizontal="center"/>
    </xf>
    <xf numFmtId="167" fontId="0" fillId="0" borderId="0" xfId="0" applyNumberFormat="1" applyFill="1" applyBorder="1" applyAlignment="1" applyProtection="1">
      <alignment horizontal="center"/>
    </xf>
    <xf numFmtId="167" fontId="0" fillId="0" borderId="0" xfId="0" applyNumberFormat="1" applyFill="1" applyAlignment="1" applyProtection="1">
      <alignment horizontal="center"/>
    </xf>
    <xf numFmtId="166" fontId="0" fillId="0" borderId="0" xfId="0" applyNumberFormat="1" applyFill="1" applyBorder="1" applyAlignment="1" applyProtection="1">
      <alignment horizontal="center"/>
    </xf>
    <xf numFmtId="0" fontId="14" fillId="0" borderId="0" xfId="0" applyFont="1" applyFill="1" applyProtection="1"/>
    <xf numFmtId="1" fontId="0" fillId="0" borderId="0" xfId="0" applyNumberFormat="1" applyFill="1" applyBorder="1" applyAlignment="1" applyProtection="1">
      <alignment horizontal="center"/>
    </xf>
    <xf numFmtId="166" fontId="0" fillId="0" borderId="0" xfId="0" applyNumberFormat="1" applyFill="1" applyAlignment="1" applyProtection="1">
      <alignment horizontal="center"/>
    </xf>
    <xf numFmtId="0" fontId="12" fillId="0" borderId="0" xfId="0" applyFont="1" applyFill="1" applyAlignment="1" applyProtection="1">
      <alignment horizontal="left"/>
    </xf>
    <xf numFmtId="0" fontId="12" fillId="0" borderId="0" xfId="0" applyFont="1" applyAlignment="1">
      <alignment wrapText="1"/>
    </xf>
    <xf numFmtId="9" fontId="0" fillId="0" borderId="0" xfId="0" applyNumberFormat="1"/>
    <xf numFmtId="2" fontId="0" fillId="0" borderId="0" xfId="0" applyNumberFormat="1"/>
    <xf numFmtId="167" fontId="0" fillId="0" borderId="0" xfId="0" applyNumberFormat="1"/>
    <xf numFmtId="166" fontId="0" fillId="0" borderId="0" xfId="0" applyNumberFormat="1"/>
    <xf numFmtId="1" fontId="0" fillId="0" borderId="0" xfId="0" applyNumberFormat="1"/>
    <xf numFmtId="43" fontId="0" fillId="0" borderId="0" xfId="0" applyNumberFormat="1" applyFill="1"/>
    <xf numFmtId="168" fontId="15" fillId="0" borderId="17" xfId="13" applyFill="1" applyBorder="1" applyAlignment="1" applyProtection="1">
      <protection locked="0"/>
    </xf>
    <xf numFmtId="168" fontId="15" fillId="0" borderId="17" xfId="13" applyFill="1" applyBorder="1" applyAlignment="1">
      <alignment horizontal="center"/>
    </xf>
    <xf numFmtId="0" fontId="0" fillId="11" borderId="0" xfId="0" applyFill="1"/>
    <xf numFmtId="1" fontId="0" fillId="11" borderId="0" xfId="0" applyNumberFormat="1" applyFill="1"/>
    <xf numFmtId="0" fontId="16" fillId="10" borderId="0" xfId="6"/>
    <xf numFmtId="0" fontId="17" fillId="10" borderId="0" xfId="6" applyFont="1"/>
    <xf numFmtId="170" fontId="15" fillId="0" borderId="0" xfId="13" applyNumberFormat="1"/>
    <xf numFmtId="0" fontId="0" fillId="0" borderId="0" xfId="0" applyAlignment="1"/>
    <xf numFmtId="0" fontId="0" fillId="0" borderId="0" xfId="0" applyAlignment="1">
      <alignment horizontal="right"/>
    </xf>
    <xf numFmtId="10" fontId="0" fillId="0" borderId="0" xfId="0" applyNumberFormat="1"/>
    <xf numFmtId="0" fontId="18" fillId="0" borderId="0" xfId="0" applyFont="1"/>
    <xf numFmtId="171" fontId="0" fillId="0" borderId="17" xfId="0" applyNumberFormat="1" applyFill="1" applyBorder="1" applyAlignment="1" applyProtection="1">
      <alignment horizontal="center"/>
      <protection locked="0"/>
    </xf>
    <xf numFmtId="10" fontId="0" fillId="0" borderId="24" xfId="0" applyNumberFormat="1" applyFill="1" applyBorder="1" applyAlignment="1" applyProtection="1">
      <alignment horizontal="center"/>
      <protection locked="0"/>
    </xf>
    <xf numFmtId="10" fontId="0" fillId="0" borderId="12" xfId="14" applyNumberFormat="1" applyFont="1" applyFill="1" applyBorder="1" applyAlignment="1" applyProtection="1">
      <alignment horizontal="center"/>
      <protection locked="0"/>
    </xf>
    <xf numFmtId="0" fontId="0" fillId="0" borderId="0" xfId="0" applyFont="1"/>
    <xf numFmtId="0" fontId="13" fillId="0" borderId="50" xfId="0" applyFont="1" applyFill="1" applyBorder="1" applyAlignment="1">
      <alignment horizontal="left"/>
    </xf>
    <xf numFmtId="0" fontId="13" fillId="0" borderId="9" xfId="0" applyFont="1" applyFill="1" applyBorder="1" applyAlignment="1">
      <alignment horizontal="left"/>
    </xf>
    <xf numFmtId="0" fontId="13" fillId="0" borderId="10" xfId="0" applyFont="1" applyFill="1" applyBorder="1" applyAlignment="1">
      <alignment horizontal="left"/>
    </xf>
    <xf numFmtId="2" fontId="12" fillId="0" borderId="17" xfId="14" applyNumberFormat="1" applyFont="1" applyFill="1" applyBorder="1" applyAlignment="1" applyProtection="1">
      <alignment horizontal="center"/>
      <protection locked="0"/>
    </xf>
    <xf numFmtId="171" fontId="0" fillId="0" borderId="17" xfId="16" applyNumberFormat="1" applyFont="1" applyFill="1" applyBorder="1" applyAlignment="1" applyProtection="1">
      <protection locked="0"/>
    </xf>
    <xf numFmtId="165" fontId="0" fillId="0" borderId="17" xfId="16" applyNumberFormat="1" applyFont="1" applyFill="1" applyBorder="1" applyAlignment="1" applyProtection="1">
      <protection locked="0"/>
    </xf>
    <xf numFmtId="10" fontId="0" fillId="0" borderId="12" xfId="14" applyNumberFormat="1" applyFont="1" applyFill="1" applyBorder="1" applyAlignment="1" applyProtection="1">
      <protection locked="0"/>
    </xf>
    <xf numFmtId="2" fontId="0" fillId="0" borderId="0" xfId="0" applyNumberFormat="1" applyFill="1" applyAlignment="1">
      <alignment horizontal="right"/>
    </xf>
    <xf numFmtId="2" fontId="0" fillId="0" borderId="0" xfId="13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/>
    <xf numFmtId="168" fontId="15" fillId="0" borderId="0" xfId="13" applyNumberFormat="1"/>
    <xf numFmtId="0" fontId="0" fillId="9" borderId="2" xfId="0" applyFill="1" applyBorder="1" applyAlignment="1" applyProtection="1">
      <alignment horizontal="center"/>
      <protection locked="0"/>
    </xf>
    <xf numFmtId="0" fontId="12" fillId="0" borderId="9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0" fillId="0" borderId="51" xfId="0" applyFill="1" applyBorder="1"/>
    <xf numFmtId="0" fontId="0" fillId="0" borderId="52" xfId="0" applyFill="1" applyBorder="1"/>
    <xf numFmtId="0" fontId="0" fillId="0" borderId="53" xfId="0" applyFill="1" applyBorder="1"/>
    <xf numFmtId="0" fontId="0" fillId="0" borderId="0" xfId="0" applyAlignment="1">
      <alignment horizontal="center"/>
    </xf>
    <xf numFmtId="0" fontId="12" fillId="0" borderId="17" xfId="0" applyFont="1" applyFill="1" applyBorder="1" applyAlignment="1">
      <alignment horizontal="center"/>
    </xf>
    <xf numFmtId="0" fontId="12" fillId="0" borderId="19" xfId="0" applyFont="1" applyFill="1" applyBorder="1" applyAlignment="1">
      <alignment horizontal="center"/>
    </xf>
    <xf numFmtId="172" fontId="0" fillId="0" borderId="17" xfId="16" applyNumberFormat="1" applyFont="1" applyFill="1" applyBorder="1" applyAlignment="1" applyProtection="1">
      <protection locked="0"/>
    </xf>
    <xf numFmtId="0" fontId="0" fillId="0" borderId="0" xfId="0" applyFill="1"/>
    <xf numFmtId="0" fontId="0" fillId="0" borderId="54" xfId="0" applyFill="1" applyBorder="1"/>
    <xf numFmtId="165" fontId="0" fillId="0" borderId="17" xfId="14" quotePrefix="1" applyFont="1" applyFill="1" applyBorder="1" applyAlignment="1" applyProtection="1">
      <alignment horizontal="center"/>
      <protection locked="0"/>
    </xf>
    <xf numFmtId="165" fontId="0" fillId="0" borderId="0" xfId="14" applyFont="1" applyFill="1" applyBorder="1" applyAlignment="1" applyProtection="1">
      <alignment horizontal="center"/>
      <protection locked="0"/>
    </xf>
    <xf numFmtId="9" fontId="0" fillId="0" borderId="0" xfId="0" applyNumberFormat="1" applyFill="1"/>
    <xf numFmtId="172" fontId="0" fillId="0" borderId="0" xfId="0" applyNumberFormat="1" applyFill="1"/>
    <xf numFmtId="179" fontId="0" fillId="0" borderId="2" xfId="0" applyNumberFormat="1" applyFill="1" applyBorder="1" applyProtection="1">
      <protection locked="0"/>
    </xf>
  </cellXfs>
  <cellStyles count="20">
    <cellStyle name="Accent" xfId="1"/>
    <cellStyle name="Accent 1" xfId="2"/>
    <cellStyle name="Accent 2" xfId="3"/>
    <cellStyle name="Accent 3" xfId="4"/>
    <cellStyle name="Bad" xfId="5"/>
    <cellStyle name="Buena" xfId="6" builtinId="26"/>
    <cellStyle name="Error" xfId="7"/>
    <cellStyle name="Footnote" xfId="8"/>
    <cellStyle name="Good" xfId="9"/>
    <cellStyle name="Heading" xfId="10"/>
    <cellStyle name="Heading 1" xfId="11"/>
    <cellStyle name="Heading 2" xfId="12"/>
    <cellStyle name="Millares" xfId="13" builtinId="3"/>
    <cellStyle name="Moneda" xfId="14" builtinId="4"/>
    <cellStyle name="Normal" xfId="0" builtinId="0"/>
    <cellStyle name="Note" xfId="15"/>
    <cellStyle name="Porcentaje" xfId="16" builtinId="5"/>
    <cellStyle name="Status" xfId="17"/>
    <cellStyle name="Text" xfId="18"/>
    <cellStyle name="Warning" xfId="19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'E-Costos'!$B$138</c:f>
              <c:strCache>
                <c:ptCount val="1"/>
                <c:pt idx="0">
                  <c:v>Gastos Fijos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'E-Costos'!$A$139:$A$179</c:f>
              <c:numCache>
                <c:formatCode>0.00</c:formatCode>
                <c:ptCount val="41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  <c:pt idx="7">
                  <c:v>8000</c:v>
                </c:pt>
                <c:pt idx="8">
                  <c:v>9000</c:v>
                </c:pt>
                <c:pt idx="9">
                  <c:v>10000</c:v>
                </c:pt>
                <c:pt idx="10">
                  <c:v>11000</c:v>
                </c:pt>
                <c:pt idx="11">
                  <c:v>12000</c:v>
                </c:pt>
                <c:pt idx="12">
                  <c:v>13000</c:v>
                </c:pt>
                <c:pt idx="13">
                  <c:v>14000</c:v>
                </c:pt>
                <c:pt idx="14">
                  <c:v>15000</c:v>
                </c:pt>
                <c:pt idx="15">
                  <c:v>16000</c:v>
                </c:pt>
                <c:pt idx="16">
                  <c:v>17000</c:v>
                </c:pt>
                <c:pt idx="17">
                  <c:v>18000</c:v>
                </c:pt>
                <c:pt idx="18">
                  <c:v>19000</c:v>
                </c:pt>
                <c:pt idx="19">
                  <c:v>20000</c:v>
                </c:pt>
                <c:pt idx="20">
                  <c:v>21000</c:v>
                </c:pt>
                <c:pt idx="21">
                  <c:v>22000</c:v>
                </c:pt>
                <c:pt idx="22">
                  <c:v>23000</c:v>
                </c:pt>
                <c:pt idx="23">
                  <c:v>24000</c:v>
                </c:pt>
                <c:pt idx="24">
                  <c:v>25000</c:v>
                </c:pt>
                <c:pt idx="25">
                  <c:v>26000</c:v>
                </c:pt>
                <c:pt idx="26">
                  <c:v>27000</c:v>
                </c:pt>
                <c:pt idx="27">
                  <c:v>28000</c:v>
                </c:pt>
                <c:pt idx="28">
                  <c:v>29000</c:v>
                </c:pt>
                <c:pt idx="29">
                  <c:v>30000</c:v>
                </c:pt>
                <c:pt idx="30">
                  <c:v>31000</c:v>
                </c:pt>
                <c:pt idx="31">
                  <c:v>32000</c:v>
                </c:pt>
                <c:pt idx="32">
                  <c:v>33000</c:v>
                </c:pt>
                <c:pt idx="33">
                  <c:v>34000</c:v>
                </c:pt>
                <c:pt idx="34">
                  <c:v>35000</c:v>
                </c:pt>
                <c:pt idx="35">
                  <c:v>35391</c:v>
                </c:pt>
                <c:pt idx="36">
                  <c:v>36000</c:v>
                </c:pt>
                <c:pt idx="37">
                  <c:v>37000</c:v>
                </c:pt>
                <c:pt idx="38">
                  <c:v>38000</c:v>
                </c:pt>
                <c:pt idx="39">
                  <c:v>39000</c:v>
                </c:pt>
                <c:pt idx="40">
                  <c:v>39021</c:v>
                </c:pt>
              </c:numCache>
            </c:numRef>
          </c:cat>
          <c:val>
            <c:numRef>
              <c:f>'E-Costos'!$B$139:$B$179</c:f>
              <c:numCache>
                <c:formatCode>_(* #,##0.00_);_(* \(#,##0.00\);_(* "-"??_);_(@_)</c:formatCode>
                <c:ptCount val="41"/>
                <c:pt idx="0">
                  <c:v>3516506.2640209328</c:v>
                </c:pt>
                <c:pt idx="1">
                  <c:v>3516506.2640209328</c:v>
                </c:pt>
                <c:pt idx="2">
                  <c:v>3516506.2640209328</c:v>
                </c:pt>
                <c:pt idx="3">
                  <c:v>3516506.2640209328</c:v>
                </c:pt>
                <c:pt idx="4">
                  <c:v>3516506.2640209328</c:v>
                </c:pt>
                <c:pt idx="5">
                  <c:v>3516506.2640209328</c:v>
                </c:pt>
                <c:pt idx="6">
                  <c:v>3516506.2640209328</c:v>
                </c:pt>
                <c:pt idx="7">
                  <c:v>3516506.2640209328</c:v>
                </c:pt>
                <c:pt idx="8">
                  <c:v>3516506.2640209328</c:v>
                </c:pt>
                <c:pt idx="9">
                  <c:v>3516506.2640209328</c:v>
                </c:pt>
                <c:pt idx="10">
                  <c:v>3516506.2640209328</c:v>
                </c:pt>
                <c:pt idx="11">
                  <c:v>3516506.2640209328</c:v>
                </c:pt>
                <c:pt idx="12">
                  <c:v>3516506.2640209328</c:v>
                </c:pt>
                <c:pt idx="13">
                  <c:v>3516506.2640209328</c:v>
                </c:pt>
                <c:pt idx="14">
                  <c:v>3516506.2640209328</c:v>
                </c:pt>
                <c:pt idx="15">
                  <c:v>3516506.2640209328</c:v>
                </c:pt>
                <c:pt idx="16">
                  <c:v>3516506.2640209328</c:v>
                </c:pt>
                <c:pt idx="17">
                  <c:v>3516506.2640209328</c:v>
                </c:pt>
                <c:pt idx="18">
                  <c:v>3516506.2640209328</c:v>
                </c:pt>
                <c:pt idx="19">
                  <c:v>3516506.2640209328</c:v>
                </c:pt>
                <c:pt idx="20">
                  <c:v>3516506.2640209328</c:v>
                </c:pt>
                <c:pt idx="21">
                  <c:v>3516506.2640209328</c:v>
                </c:pt>
                <c:pt idx="22">
                  <c:v>3516506.2640209328</c:v>
                </c:pt>
                <c:pt idx="23">
                  <c:v>3516506.2640209328</c:v>
                </c:pt>
                <c:pt idx="24">
                  <c:v>3516506.2640209328</c:v>
                </c:pt>
                <c:pt idx="25">
                  <c:v>3516506.2640209328</c:v>
                </c:pt>
                <c:pt idx="26">
                  <c:v>3516506.2640209328</c:v>
                </c:pt>
                <c:pt idx="27">
                  <c:v>3516506.2640209328</c:v>
                </c:pt>
                <c:pt idx="28">
                  <c:v>3516506.2640209328</c:v>
                </c:pt>
                <c:pt idx="29">
                  <c:v>3516506.2640209328</c:v>
                </c:pt>
                <c:pt idx="30">
                  <c:v>3516506.2640209328</c:v>
                </c:pt>
                <c:pt idx="31">
                  <c:v>3516506.2640209328</c:v>
                </c:pt>
                <c:pt idx="32">
                  <c:v>3516506.2640209328</c:v>
                </c:pt>
                <c:pt idx="33">
                  <c:v>3516506.2640209328</c:v>
                </c:pt>
                <c:pt idx="34">
                  <c:v>3516506.2640209328</c:v>
                </c:pt>
                <c:pt idx="35">
                  <c:v>3516506.2640209328</c:v>
                </c:pt>
                <c:pt idx="36">
                  <c:v>3516506.2640209328</c:v>
                </c:pt>
                <c:pt idx="37">
                  <c:v>3516506.2640209328</c:v>
                </c:pt>
                <c:pt idx="38">
                  <c:v>3516506.2640209328</c:v>
                </c:pt>
                <c:pt idx="39">
                  <c:v>3516506.2640209328</c:v>
                </c:pt>
                <c:pt idx="40">
                  <c:v>3516506.2640209328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'E-Costos'!$C$138</c:f>
              <c:strCache>
                <c:ptCount val="1"/>
                <c:pt idx="0">
                  <c:v>Gastos variables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'E-Costos'!$A$139:$A$179</c:f>
              <c:numCache>
                <c:formatCode>0.00</c:formatCode>
                <c:ptCount val="41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  <c:pt idx="7">
                  <c:v>8000</c:v>
                </c:pt>
                <c:pt idx="8">
                  <c:v>9000</c:v>
                </c:pt>
                <c:pt idx="9">
                  <c:v>10000</c:v>
                </c:pt>
                <c:pt idx="10">
                  <c:v>11000</c:v>
                </c:pt>
                <c:pt idx="11">
                  <c:v>12000</c:v>
                </c:pt>
                <c:pt idx="12">
                  <c:v>13000</c:v>
                </c:pt>
                <c:pt idx="13">
                  <c:v>14000</c:v>
                </c:pt>
                <c:pt idx="14">
                  <c:v>15000</c:v>
                </c:pt>
                <c:pt idx="15">
                  <c:v>16000</c:v>
                </c:pt>
                <c:pt idx="16">
                  <c:v>17000</c:v>
                </c:pt>
                <c:pt idx="17">
                  <c:v>18000</c:v>
                </c:pt>
                <c:pt idx="18">
                  <c:v>19000</c:v>
                </c:pt>
                <c:pt idx="19">
                  <c:v>20000</c:v>
                </c:pt>
                <c:pt idx="20">
                  <c:v>21000</c:v>
                </c:pt>
                <c:pt idx="21">
                  <c:v>22000</c:v>
                </c:pt>
                <c:pt idx="22">
                  <c:v>23000</c:v>
                </c:pt>
                <c:pt idx="23">
                  <c:v>24000</c:v>
                </c:pt>
                <c:pt idx="24">
                  <c:v>25000</c:v>
                </c:pt>
                <c:pt idx="25">
                  <c:v>26000</c:v>
                </c:pt>
                <c:pt idx="26">
                  <c:v>27000</c:v>
                </c:pt>
                <c:pt idx="27">
                  <c:v>28000</c:v>
                </c:pt>
                <c:pt idx="28">
                  <c:v>29000</c:v>
                </c:pt>
                <c:pt idx="29">
                  <c:v>30000</c:v>
                </c:pt>
                <c:pt idx="30">
                  <c:v>31000</c:v>
                </c:pt>
                <c:pt idx="31">
                  <c:v>32000</c:v>
                </c:pt>
                <c:pt idx="32">
                  <c:v>33000</c:v>
                </c:pt>
                <c:pt idx="33">
                  <c:v>34000</c:v>
                </c:pt>
                <c:pt idx="34">
                  <c:v>35000</c:v>
                </c:pt>
                <c:pt idx="35">
                  <c:v>35391</c:v>
                </c:pt>
                <c:pt idx="36">
                  <c:v>36000</c:v>
                </c:pt>
                <c:pt idx="37">
                  <c:v>37000</c:v>
                </c:pt>
                <c:pt idx="38">
                  <c:v>38000</c:v>
                </c:pt>
                <c:pt idx="39">
                  <c:v>39000</c:v>
                </c:pt>
                <c:pt idx="40">
                  <c:v>39021</c:v>
                </c:pt>
              </c:numCache>
            </c:numRef>
          </c:cat>
          <c:val>
            <c:numRef>
              <c:f>'E-Costos'!$C$139:$C$179</c:f>
              <c:numCache>
                <c:formatCode>_(* #,##0.00_);_(* \(#,##0.00\);_(* "-"??_);_(@_)</c:formatCode>
                <c:ptCount val="41"/>
                <c:pt idx="0">
                  <c:v>195074.17113848415</c:v>
                </c:pt>
                <c:pt idx="1">
                  <c:v>390148.34227696829</c:v>
                </c:pt>
                <c:pt idx="2">
                  <c:v>585222.51341545244</c:v>
                </c:pt>
                <c:pt idx="3">
                  <c:v>780296.68455393659</c:v>
                </c:pt>
                <c:pt idx="4">
                  <c:v>975370.85569242085</c:v>
                </c:pt>
                <c:pt idx="5">
                  <c:v>1170445.0268309049</c:v>
                </c:pt>
                <c:pt idx="6">
                  <c:v>1365519.1979693891</c:v>
                </c:pt>
                <c:pt idx="7">
                  <c:v>1560593.3691078732</c:v>
                </c:pt>
                <c:pt idx="8">
                  <c:v>1755667.5402463574</c:v>
                </c:pt>
                <c:pt idx="9">
                  <c:v>1950741.7113848417</c:v>
                </c:pt>
                <c:pt idx="10">
                  <c:v>2145815.8825233257</c:v>
                </c:pt>
                <c:pt idx="11">
                  <c:v>2340890.0536618098</c:v>
                </c:pt>
                <c:pt idx="12">
                  <c:v>2535964.2248002943</c:v>
                </c:pt>
                <c:pt idx="13">
                  <c:v>2731038.3959387783</c:v>
                </c:pt>
                <c:pt idx="14">
                  <c:v>2926112.5670772623</c:v>
                </c:pt>
                <c:pt idx="15">
                  <c:v>3121186.7382157464</c:v>
                </c:pt>
                <c:pt idx="16">
                  <c:v>3316260.9093542309</c:v>
                </c:pt>
                <c:pt idx="17">
                  <c:v>3511335.0804927149</c:v>
                </c:pt>
                <c:pt idx="18">
                  <c:v>3706409.2516311989</c:v>
                </c:pt>
                <c:pt idx="19">
                  <c:v>3901483.4227696834</c:v>
                </c:pt>
                <c:pt idx="20">
                  <c:v>4096557.5939081674</c:v>
                </c:pt>
                <c:pt idx="21">
                  <c:v>4291631.7650466515</c:v>
                </c:pt>
                <c:pt idx="22">
                  <c:v>4486705.9361851355</c:v>
                </c:pt>
                <c:pt idx="23">
                  <c:v>4681780.1073236195</c:v>
                </c:pt>
                <c:pt idx="24">
                  <c:v>4876854.2784621036</c:v>
                </c:pt>
                <c:pt idx="25">
                  <c:v>5071928.4496005885</c:v>
                </c:pt>
                <c:pt idx="26">
                  <c:v>5267002.6207390726</c:v>
                </c:pt>
                <c:pt idx="27">
                  <c:v>5462076.7918775566</c:v>
                </c:pt>
                <c:pt idx="28">
                  <c:v>5657150.9630160406</c:v>
                </c:pt>
                <c:pt idx="29">
                  <c:v>5852225.1341545247</c:v>
                </c:pt>
                <c:pt idx="30">
                  <c:v>6047299.3052930087</c:v>
                </c:pt>
                <c:pt idx="31">
                  <c:v>6242373.4764314927</c:v>
                </c:pt>
                <c:pt idx="32">
                  <c:v>6437447.6475699777</c:v>
                </c:pt>
                <c:pt idx="33">
                  <c:v>6632521.8187084617</c:v>
                </c:pt>
                <c:pt idx="34">
                  <c:v>6827595.9898469457</c:v>
                </c:pt>
                <c:pt idx="35">
                  <c:v>6903869.9907620931</c:v>
                </c:pt>
                <c:pt idx="36">
                  <c:v>7022670.1609854298</c:v>
                </c:pt>
                <c:pt idx="37">
                  <c:v>7217744.3321239138</c:v>
                </c:pt>
                <c:pt idx="38">
                  <c:v>7412818.5032623978</c:v>
                </c:pt>
                <c:pt idx="39">
                  <c:v>7607892.6744008819</c:v>
                </c:pt>
                <c:pt idx="40">
                  <c:v>7611989.23199479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'E-Costos'!$D$138</c:f>
              <c:strCache>
                <c:ptCount val="1"/>
                <c:pt idx="0">
                  <c:v>Gastos Totales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'E-Costos'!$A$139:$A$179</c:f>
              <c:numCache>
                <c:formatCode>0.00</c:formatCode>
                <c:ptCount val="41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  <c:pt idx="7">
                  <c:v>8000</c:v>
                </c:pt>
                <c:pt idx="8">
                  <c:v>9000</c:v>
                </c:pt>
                <c:pt idx="9">
                  <c:v>10000</c:v>
                </c:pt>
                <c:pt idx="10">
                  <c:v>11000</c:v>
                </c:pt>
                <c:pt idx="11">
                  <c:v>12000</c:v>
                </c:pt>
                <c:pt idx="12">
                  <c:v>13000</c:v>
                </c:pt>
                <c:pt idx="13">
                  <c:v>14000</c:v>
                </c:pt>
                <c:pt idx="14">
                  <c:v>15000</c:v>
                </c:pt>
                <c:pt idx="15">
                  <c:v>16000</c:v>
                </c:pt>
                <c:pt idx="16">
                  <c:v>17000</c:v>
                </c:pt>
                <c:pt idx="17">
                  <c:v>18000</c:v>
                </c:pt>
                <c:pt idx="18">
                  <c:v>19000</c:v>
                </c:pt>
                <c:pt idx="19">
                  <c:v>20000</c:v>
                </c:pt>
                <c:pt idx="20">
                  <c:v>21000</c:v>
                </c:pt>
                <c:pt idx="21">
                  <c:v>22000</c:v>
                </c:pt>
                <c:pt idx="22">
                  <c:v>23000</c:v>
                </c:pt>
                <c:pt idx="23">
                  <c:v>24000</c:v>
                </c:pt>
                <c:pt idx="24">
                  <c:v>25000</c:v>
                </c:pt>
                <c:pt idx="25">
                  <c:v>26000</c:v>
                </c:pt>
                <c:pt idx="26">
                  <c:v>27000</c:v>
                </c:pt>
                <c:pt idx="27">
                  <c:v>28000</c:v>
                </c:pt>
                <c:pt idx="28">
                  <c:v>29000</c:v>
                </c:pt>
                <c:pt idx="29">
                  <c:v>30000</c:v>
                </c:pt>
                <c:pt idx="30">
                  <c:v>31000</c:v>
                </c:pt>
                <c:pt idx="31">
                  <c:v>32000</c:v>
                </c:pt>
                <c:pt idx="32">
                  <c:v>33000</c:v>
                </c:pt>
                <c:pt idx="33">
                  <c:v>34000</c:v>
                </c:pt>
                <c:pt idx="34">
                  <c:v>35000</c:v>
                </c:pt>
                <c:pt idx="35">
                  <c:v>35391</c:v>
                </c:pt>
                <c:pt idx="36">
                  <c:v>36000</c:v>
                </c:pt>
                <c:pt idx="37">
                  <c:v>37000</c:v>
                </c:pt>
                <c:pt idx="38">
                  <c:v>38000</c:v>
                </c:pt>
                <c:pt idx="39">
                  <c:v>39000</c:v>
                </c:pt>
                <c:pt idx="40">
                  <c:v>39021</c:v>
                </c:pt>
              </c:numCache>
            </c:numRef>
          </c:cat>
          <c:val>
            <c:numRef>
              <c:f>'E-Costos'!$D$139:$D$179</c:f>
              <c:numCache>
                <c:formatCode>_(* #,##0.00_);_(* \(#,##0.00\);_(* "-"??_);_(@_)</c:formatCode>
                <c:ptCount val="41"/>
                <c:pt idx="0">
                  <c:v>3711580.4351594169</c:v>
                </c:pt>
                <c:pt idx="1">
                  <c:v>3906654.6062979009</c:v>
                </c:pt>
                <c:pt idx="2">
                  <c:v>4101728.7774363854</c:v>
                </c:pt>
                <c:pt idx="3">
                  <c:v>4296802.948574869</c:v>
                </c:pt>
                <c:pt idx="4">
                  <c:v>4491877.1197133539</c:v>
                </c:pt>
                <c:pt idx="5">
                  <c:v>4686951.290851838</c:v>
                </c:pt>
                <c:pt idx="6">
                  <c:v>4882025.461990322</c:v>
                </c:pt>
                <c:pt idx="7">
                  <c:v>5077099.633128806</c:v>
                </c:pt>
                <c:pt idx="8">
                  <c:v>5272173.80426729</c:v>
                </c:pt>
                <c:pt idx="9">
                  <c:v>5467247.975405775</c:v>
                </c:pt>
                <c:pt idx="10">
                  <c:v>5662322.146544259</c:v>
                </c:pt>
                <c:pt idx="11">
                  <c:v>5857396.3176827431</c:v>
                </c:pt>
                <c:pt idx="12">
                  <c:v>6052470.4888212271</c:v>
                </c:pt>
                <c:pt idx="13">
                  <c:v>6247544.6599597111</c:v>
                </c:pt>
                <c:pt idx="14">
                  <c:v>6442618.8310981952</c:v>
                </c:pt>
                <c:pt idx="15">
                  <c:v>6637693.0022366792</c:v>
                </c:pt>
                <c:pt idx="16">
                  <c:v>6832767.1733751632</c:v>
                </c:pt>
                <c:pt idx="17">
                  <c:v>7027841.3445136473</c:v>
                </c:pt>
                <c:pt idx="18">
                  <c:v>7222915.5156521313</c:v>
                </c:pt>
                <c:pt idx="19">
                  <c:v>7417989.6867906163</c:v>
                </c:pt>
                <c:pt idx="20">
                  <c:v>7613063.8579291003</c:v>
                </c:pt>
                <c:pt idx="21">
                  <c:v>7808138.0290675843</c:v>
                </c:pt>
                <c:pt idx="22">
                  <c:v>8003212.2002060683</c:v>
                </c:pt>
                <c:pt idx="23">
                  <c:v>8198286.3713445524</c:v>
                </c:pt>
                <c:pt idx="24">
                  <c:v>8393360.5424830355</c:v>
                </c:pt>
                <c:pt idx="25">
                  <c:v>8588434.7136215214</c:v>
                </c:pt>
                <c:pt idx="26">
                  <c:v>8783508.8847600054</c:v>
                </c:pt>
                <c:pt idx="27">
                  <c:v>8978583.0558984894</c:v>
                </c:pt>
                <c:pt idx="28">
                  <c:v>9173657.2270369735</c:v>
                </c:pt>
                <c:pt idx="29">
                  <c:v>9368731.3981754575</c:v>
                </c:pt>
                <c:pt idx="30">
                  <c:v>9563805.5693139415</c:v>
                </c:pt>
                <c:pt idx="31">
                  <c:v>9758879.7404524256</c:v>
                </c:pt>
                <c:pt idx="32">
                  <c:v>9953953.9115909114</c:v>
                </c:pt>
                <c:pt idx="33">
                  <c:v>10149028.082729395</c:v>
                </c:pt>
                <c:pt idx="34">
                  <c:v>10344102.25386788</c:v>
                </c:pt>
                <c:pt idx="35">
                  <c:v>10420376.254783027</c:v>
                </c:pt>
                <c:pt idx="36">
                  <c:v>10539176.425006364</c:v>
                </c:pt>
                <c:pt idx="37">
                  <c:v>10734250.596144848</c:v>
                </c:pt>
                <c:pt idx="38">
                  <c:v>10929324.767283332</c:v>
                </c:pt>
                <c:pt idx="39">
                  <c:v>11124398.938421816</c:v>
                </c:pt>
                <c:pt idx="40">
                  <c:v>11128495.496015724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'E-Costos'!$E$138</c:f>
              <c:strCache>
                <c:ptCount val="1"/>
                <c:pt idx="0">
                  <c:v>Ingreso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'E-Costos'!$A$139:$A$179</c:f>
              <c:numCache>
                <c:formatCode>0.00</c:formatCode>
                <c:ptCount val="41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  <c:pt idx="7">
                  <c:v>8000</c:v>
                </c:pt>
                <c:pt idx="8">
                  <c:v>9000</c:v>
                </c:pt>
                <c:pt idx="9">
                  <c:v>10000</c:v>
                </c:pt>
                <c:pt idx="10">
                  <c:v>11000</c:v>
                </c:pt>
                <c:pt idx="11">
                  <c:v>12000</c:v>
                </c:pt>
                <c:pt idx="12">
                  <c:v>13000</c:v>
                </c:pt>
                <c:pt idx="13">
                  <c:v>14000</c:v>
                </c:pt>
                <c:pt idx="14">
                  <c:v>15000</c:v>
                </c:pt>
                <c:pt idx="15">
                  <c:v>16000</c:v>
                </c:pt>
                <c:pt idx="16">
                  <c:v>17000</c:v>
                </c:pt>
                <c:pt idx="17">
                  <c:v>18000</c:v>
                </c:pt>
                <c:pt idx="18">
                  <c:v>19000</c:v>
                </c:pt>
                <c:pt idx="19">
                  <c:v>20000</c:v>
                </c:pt>
                <c:pt idx="20">
                  <c:v>21000</c:v>
                </c:pt>
                <c:pt idx="21">
                  <c:v>22000</c:v>
                </c:pt>
                <c:pt idx="22">
                  <c:v>23000</c:v>
                </c:pt>
                <c:pt idx="23">
                  <c:v>24000</c:v>
                </c:pt>
                <c:pt idx="24">
                  <c:v>25000</c:v>
                </c:pt>
                <c:pt idx="25">
                  <c:v>26000</c:v>
                </c:pt>
                <c:pt idx="26">
                  <c:v>27000</c:v>
                </c:pt>
                <c:pt idx="27">
                  <c:v>28000</c:v>
                </c:pt>
                <c:pt idx="28">
                  <c:v>29000</c:v>
                </c:pt>
                <c:pt idx="29">
                  <c:v>30000</c:v>
                </c:pt>
                <c:pt idx="30">
                  <c:v>31000</c:v>
                </c:pt>
                <c:pt idx="31">
                  <c:v>32000</c:v>
                </c:pt>
                <c:pt idx="32">
                  <c:v>33000</c:v>
                </c:pt>
                <c:pt idx="33">
                  <c:v>34000</c:v>
                </c:pt>
                <c:pt idx="34">
                  <c:v>35000</c:v>
                </c:pt>
                <c:pt idx="35">
                  <c:v>35391</c:v>
                </c:pt>
                <c:pt idx="36">
                  <c:v>36000</c:v>
                </c:pt>
                <c:pt idx="37">
                  <c:v>37000</c:v>
                </c:pt>
                <c:pt idx="38">
                  <c:v>38000</c:v>
                </c:pt>
                <c:pt idx="39">
                  <c:v>39000</c:v>
                </c:pt>
                <c:pt idx="40">
                  <c:v>39021</c:v>
                </c:pt>
              </c:numCache>
            </c:numRef>
          </c:cat>
          <c:val>
            <c:numRef>
              <c:f>'E-Costos'!$E$139:$E$179</c:f>
              <c:numCache>
                <c:formatCode>General</c:formatCode>
                <c:ptCount val="41"/>
                <c:pt idx="0">
                  <c:v>500000</c:v>
                </c:pt>
                <c:pt idx="1">
                  <c:v>1000000</c:v>
                </c:pt>
                <c:pt idx="2">
                  <c:v>1500000</c:v>
                </c:pt>
                <c:pt idx="3">
                  <c:v>2000000</c:v>
                </c:pt>
                <c:pt idx="4">
                  <c:v>2500000</c:v>
                </c:pt>
                <c:pt idx="5">
                  <c:v>3000000</c:v>
                </c:pt>
                <c:pt idx="6">
                  <c:v>3500000</c:v>
                </c:pt>
                <c:pt idx="7">
                  <c:v>4000000</c:v>
                </c:pt>
                <c:pt idx="8">
                  <c:v>4500000</c:v>
                </c:pt>
                <c:pt idx="9">
                  <c:v>5000000</c:v>
                </c:pt>
                <c:pt idx="10">
                  <c:v>5500000</c:v>
                </c:pt>
                <c:pt idx="11">
                  <c:v>6000000</c:v>
                </c:pt>
                <c:pt idx="12">
                  <c:v>6500000</c:v>
                </c:pt>
                <c:pt idx="13">
                  <c:v>7000000</c:v>
                </c:pt>
                <c:pt idx="14">
                  <c:v>7500000</c:v>
                </c:pt>
                <c:pt idx="15">
                  <c:v>8000000</c:v>
                </c:pt>
                <c:pt idx="16">
                  <c:v>8500000</c:v>
                </c:pt>
                <c:pt idx="17">
                  <c:v>9000000</c:v>
                </c:pt>
                <c:pt idx="18">
                  <c:v>9500000</c:v>
                </c:pt>
                <c:pt idx="19">
                  <c:v>10000000</c:v>
                </c:pt>
                <c:pt idx="20">
                  <c:v>10500000</c:v>
                </c:pt>
                <c:pt idx="21">
                  <c:v>11000000</c:v>
                </c:pt>
                <c:pt idx="22">
                  <c:v>11500000</c:v>
                </c:pt>
                <c:pt idx="23">
                  <c:v>12000000</c:v>
                </c:pt>
                <c:pt idx="24">
                  <c:v>12500000</c:v>
                </c:pt>
                <c:pt idx="25">
                  <c:v>13000000</c:v>
                </c:pt>
                <c:pt idx="26">
                  <c:v>13500000</c:v>
                </c:pt>
                <c:pt idx="27">
                  <c:v>14000000</c:v>
                </c:pt>
                <c:pt idx="28">
                  <c:v>14500000</c:v>
                </c:pt>
                <c:pt idx="29">
                  <c:v>15000000</c:v>
                </c:pt>
                <c:pt idx="30">
                  <c:v>15500000</c:v>
                </c:pt>
                <c:pt idx="31">
                  <c:v>16000000</c:v>
                </c:pt>
                <c:pt idx="32">
                  <c:v>16500000</c:v>
                </c:pt>
                <c:pt idx="33">
                  <c:v>17000000</c:v>
                </c:pt>
                <c:pt idx="34">
                  <c:v>17500000</c:v>
                </c:pt>
                <c:pt idx="35">
                  <c:v>17695500</c:v>
                </c:pt>
                <c:pt idx="36">
                  <c:v>18000000</c:v>
                </c:pt>
                <c:pt idx="37">
                  <c:v>18500000</c:v>
                </c:pt>
                <c:pt idx="38">
                  <c:v>19000000</c:v>
                </c:pt>
                <c:pt idx="39">
                  <c:v>19500000</c:v>
                </c:pt>
                <c:pt idx="40">
                  <c:v>19510500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6476528"/>
        <c:axId val="226477088"/>
      </c:lineChart>
      <c:catAx>
        <c:axId val="226476528"/>
        <c:scaling>
          <c:orientation val="minMax"/>
        </c:scaling>
        <c:delete val="0"/>
        <c:axPos val="b"/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26477088"/>
        <c:crosses val="autoZero"/>
        <c:auto val="1"/>
        <c:lblAlgn val="ctr"/>
        <c:lblOffset val="100"/>
        <c:noMultiLvlLbl val="0"/>
      </c:catAx>
      <c:valAx>
        <c:axId val="22647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26476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'E-Costos'!$B$185</c:f>
              <c:strCache>
                <c:ptCount val="1"/>
                <c:pt idx="0">
                  <c:v>Gastos Fijos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'E-Costos'!$A$186:$A$225</c:f>
              <c:numCache>
                <c:formatCode>0.00</c:formatCode>
                <c:ptCount val="40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  <c:pt idx="7">
                  <c:v>8000</c:v>
                </c:pt>
                <c:pt idx="8">
                  <c:v>9000</c:v>
                </c:pt>
                <c:pt idx="9">
                  <c:v>10000</c:v>
                </c:pt>
                <c:pt idx="10">
                  <c:v>11000</c:v>
                </c:pt>
                <c:pt idx="11">
                  <c:v>12000</c:v>
                </c:pt>
                <c:pt idx="12">
                  <c:v>13000</c:v>
                </c:pt>
                <c:pt idx="13">
                  <c:v>14000</c:v>
                </c:pt>
                <c:pt idx="14">
                  <c:v>15000</c:v>
                </c:pt>
                <c:pt idx="15">
                  <c:v>16000</c:v>
                </c:pt>
                <c:pt idx="16">
                  <c:v>17000</c:v>
                </c:pt>
                <c:pt idx="17">
                  <c:v>18000</c:v>
                </c:pt>
                <c:pt idx="18">
                  <c:v>19000</c:v>
                </c:pt>
                <c:pt idx="19">
                  <c:v>20000</c:v>
                </c:pt>
                <c:pt idx="20">
                  <c:v>21000</c:v>
                </c:pt>
                <c:pt idx="21">
                  <c:v>22000</c:v>
                </c:pt>
                <c:pt idx="22">
                  <c:v>23000</c:v>
                </c:pt>
                <c:pt idx="23">
                  <c:v>24000</c:v>
                </c:pt>
                <c:pt idx="24">
                  <c:v>25000</c:v>
                </c:pt>
                <c:pt idx="25">
                  <c:v>26000</c:v>
                </c:pt>
                <c:pt idx="26">
                  <c:v>27000</c:v>
                </c:pt>
                <c:pt idx="27">
                  <c:v>28000</c:v>
                </c:pt>
                <c:pt idx="28">
                  <c:v>29000</c:v>
                </c:pt>
                <c:pt idx="29">
                  <c:v>30000</c:v>
                </c:pt>
                <c:pt idx="30">
                  <c:v>31000</c:v>
                </c:pt>
                <c:pt idx="31">
                  <c:v>32000</c:v>
                </c:pt>
                <c:pt idx="32">
                  <c:v>33000</c:v>
                </c:pt>
                <c:pt idx="33">
                  <c:v>34000</c:v>
                </c:pt>
                <c:pt idx="34">
                  <c:v>35000</c:v>
                </c:pt>
                <c:pt idx="35">
                  <c:v>36000</c:v>
                </c:pt>
                <c:pt idx="36">
                  <c:v>37000</c:v>
                </c:pt>
                <c:pt idx="37">
                  <c:v>38000</c:v>
                </c:pt>
                <c:pt idx="38">
                  <c:v>39000</c:v>
                </c:pt>
                <c:pt idx="39">
                  <c:v>39021</c:v>
                </c:pt>
              </c:numCache>
            </c:numRef>
          </c:cat>
          <c:val>
            <c:numRef>
              <c:f>'E-Costos'!$B$186:$B$225</c:f>
              <c:numCache>
                <c:formatCode>_(* #,##0.00_);_(* \(#,##0.00\);_(* "-"??_);_(@_)</c:formatCode>
                <c:ptCount val="40"/>
                <c:pt idx="0">
                  <c:v>3567656.0704886853</c:v>
                </c:pt>
                <c:pt idx="1">
                  <c:v>3567656.0704886853</c:v>
                </c:pt>
                <c:pt idx="2">
                  <c:v>3567656.0704886853</c:v>
                </c:pt>
                <c:pt idx="3">
                  <c:v>3567656.0704886853</c:v>
                </c:pt>
                <c:pt idx="4">
                  <c:v>3567656.0704886853</c:v>
                </c:pt>
                <c:pt idx="5">
                  <c:v>3567656.0704886853</c:v>
                </c:pt>
                <c:pt idx="6">
                  <c:v>3567656.0704886853</c:v>
                </c:pt>
                <c:pt idx="7">
                  <c:v>3567656.0704886853</c:v>
                </c:pt>
                <c:pt idx="8">
                  <c:v>3567656.0704886853</c:v>
                </c:pt>
                <c:pt idx="9">
                  <c:v>3567656.0704886853</c:v>
                </c:pt>
                <c:pt idx="10">
                  <c:v>3567656.0704886853</c:v>
                </c:pt>
                <c:pt idx="11">
                  <c:v>3567656.0704886853</c:v>
                </c:pt>
                <c:pt idx="12">
                  <c:v>3567656.0704886853</c:v>
                </c:pt>
                <c:pt idx="13">
                  <c:v>3567656.0704886853</c:v>
                </c:pt>
                <c:pt idx="14">
                  <c:v>3567656.0704886853</c:v>
                </c:pt>
                <c:pt idx="15">
                  <c:v>3567656.0704886853</c:v>
                </c:pt>
                <c:pt idx="16">
                  <c:v>3567656.0704886853</c:v>
                </c:pt>
                <c:pt idx="17">
                  <c:v>3567656.0704886853</c:v>
                </c:pt>
                <c:pt idx="18">
                  <c:v>3567656.0704886853</c:v>
                </c:pt>
                <c:pt idx="19">
                  <c:v>3567656.0704886853</c:v>
                </c:pt>
                <c:pt idx="20">
                  <c:v>3567656.0704886853</c:v>
                </c:pt>
                <c:pt idx="21">
                  <c:v>3567656.0704886853</c:v>
                </c:pt>
                <c:pt idx="22">
                  <c:v>3567656.0704886853</c:v>
                </c:pt>
                <c:pt idx="23">
                  <c:v>3567656.0704886853</c:v>
                </c:pt>
                <c:pt idx="24">
                  <c:v>3567656.0704886853</c:v>
                </c:pt>
                <c:pt idx="25">
                  <c:v>3567656.0704886853</c:v>
                </c:pt>
                <c:pt idx="26">
                  <c:v>3567656.0704886853</c:v>
                </c:pt>
                <c:pt idx="27">
                  <c:v>3567656.0704886853</c:v>
                </c:pt>
                <c:pt idx="28">
                  <c:v>3567656.0704886853</c:v>
                </c:pt>
                <c:pt idx="29">
                  <c:v>3567656.0704886853</c:v>
                </c:pt>
                <c:pt idx="30">
                  <c:v>3567656.0704886853</c:v>
                </c:pt>
                <c:pt idx="31">
                  <c:v>3567656.0704886853</c:v>
                </c:pt>
                <c:pt idx="32">
                  <c:v>3567656.0704886853</c:v>
                </c:pt>
                <c:pt idx="33">
                  <c:v>3567656.0704886853</c:v>
                </c:pt>
                <c:pt idx="34">
                  <c:v>3567656.0704886853</c:v>
                </c:pt>
                <c:pt idx="35">
                  <c:v>3567656.0704886853</c:v>
                </c:pt>
                <c:pt idx="36">
                  <c:v>3567656.0704886853</c:v>
                </c:pt>
                <c:pt idx="37">
                  <c:v>3567656.0704886853</c:v>
                </c:pt>
                <c:pt idx="38">
                  <c:v>3567656.0704886853</c:v>
                </c:pt>
                <c:pt idx="39">
                  <c:v>3567656.0704886853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'E-Costos'!$C$185</c:f>
              <c:strCache>
                <c:ptCount val="1"/>
                <c:pt idx="0">
                  <c:v>Gastos variables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'E-Costos'!$A$186:$A$225</c:f>
              <c:numCache>
                <c:formatCode>0.00</c:formatCode>
                <c:ptCount val="40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  <c:pt idx="7">
                  <c:v>8000</c:v>
                </c:pt>
                <c:pt idx="8">
                  <c:v>9000</c:v>
                </c:pt>
                <c:pt idx="9">
                  <c:v>10000</c:v>
                </c:pt>
                <c:pt idx="10">
                  <c:v>11000</c:v>
                </c:pt>
                <c:pt idx="11">
                  <c:v>12000</c:v>
                </c:pt>
                <c:pt idx="12">
                  <c:v>13000</c:v>
                </c:pt>
                <c:pt idx="13">
                  <c:v>14000</c:v>
                </c:pt>
                <c:pt idx="14">
                  <c:v>15000</c:v>
                </c:pt>
                <c:pt idx="15">
                  <c:v>16000</c:v>
                </c:pt>
                <c:pt idx="16">
                  <c:v>17000</c:v>
                </c:pt>
                <c:pt idx="17">
                  <c:v>18000</c:v>
                </c:pt>
                <c:pt idx="18">
                  <c:v>19000</c:v>
                </c:pt>
                <c:pt idx="19">
                  <c:v>20000</c:v>
                </c:pt>
                <c:pt idx="20">
                  <c:v>21000</c:v>
                </c:pt>
                <c:pt idx="21">
                  <c:v>22000</c:v>
                </c:pt>
                <c:pt idx="22">
                  <c:v>23000</c:v>
                </c:pt>
                <c:pt idx="23">
                  <c:v>24000</c:v>
                </c:pt>
                <c:pt idx="24">
                  <c:v>25000</c:v>
                </c:pt>
                <c:pt idx="25">
                  <c:v>26000</c:v>
                </c:pt>
                <c:pt idx="26">
                  <c:v>27000</c:v>
                </c:pt>
                <c:pt idx="27">
                  <c:v>28000</c:v>
                </c:pt>
                <c:pt idx="28">
                  <c:v>29000</c:v>
                </c:pt>
                <c:pt idx="29">
                  <c:v>30000</c:v>
                </c:pt>
                <c:pt idx="30">
                  <c:v>31000</c:v>
                </c:pt>
                <c:pt idx="31">
                  <c:v>32000</c:v>
                </c:pt>
                <c:pt idx="32">
                  <c:v>33000</c:v>
                </c:pt>
                <c:pt idx="33">
                  <c:v>34000</c:v>
                </c:pt>
                <c:pt idx="34">
                  <c:v>35000</c:v>
                </c:pt>
                <c:pt idx="35">
                  <c:v>36000</c:v>
                </c:pt>
                <c:pt idx="36">
                  <c:v>37000</c:v>
                </c:pt>
                <c:pt idx="37">
                  <c:v>38000</c:v>
                </c:pt>
                <c:pt idx="38">
                  <c:v>39000</c:v>
                </c:pt>
                <c:pt idx="39">
                  <c:v>39021</c:v>
                </c:pt>
              </c:numCache>
            </c:numRef>
          </c:cat>
          <c:val>
            <c:numRef>
              <c:f>'E-Costos'!$C$186:$C$225</c:f>
              <c:numCache>
                <c:formatCode>_(* #,##0.00_);_(* \(#,##0.00\);_(* "-"??_);_(@_)</c:formatCode>
                <c:ptCount val="40"/>
                <c:pt idx="0">
                  <c:v>189223.48822026316</c:v>
                </c:pt>
                <c:pt idx="1">
                  <c:v>378446.97644052631</c:v>
                </c:pt>
                <c:pt idx="2">
                  <c:v>567670.46466078947</c:v>
                </c:pt>
                <c:pt idx="3">
                  <c:v>756893.95288105262</c:v>
                </c:pt>
                <c:pt idx="4">
                  <c:v>946117.44110131578</c:v>
                </c:pt>
                <c:pt idx="5">
                  <c:v>1135340.9293215789</c:v>
                </c:pt>
                <c:pt idx="6">
                  <c:v>1324564.4175418422</c:v>
                </c:pt>
                <c:pt idx="7">
                  <c:v>1513787.9057621052</c:v>
                </c:pt>
                <c:pt idx="8">
                  <c:v>1703011.3939823685</c:v>
                </c:pt>
                <c:pt idx="9">
                  <c:v>1892234.8822026316</c:v>
                </c:pt>
                <c:pt idx="10">
                  <c:v>2081458.3704228948</c:v>
                </c:pt>
                <c:pt idx="11">
                  <c:v>2270681.8586431579</c:v>
                </c:pt>
                <c:pt idx="12">
                  <c:v>2459905.3468634211</c:v>
                </c:pt>
                <c:pt idx="13">
                  <c:v>2649128.8350836844</c:v>
                </c:pt>
                <c:pt idx="14">
                  <c:v>2838352.3233039472</c:v>
                </c:pt>
                <c:pt idx="15">
                  <c:v>3027575.8115242105</c:v>
                </c:pt>
                <c:pt idx="16">
                  <c:v>3216799.2997444738</c:v>
                </c:pt>
                <c:pt idx="17">
                  <c:v>3406022.787964737</c:v>
                </c:pt>
                <c:pt idx="18">
                  <c:v>3595246.2761850003</c:v>
                </c:pt>
                <c:pt idx="19">
                  <c:v>3784469.7644052631</c:v>
                </c:pt>
                <c:pt idx="20">
                  <c:v>3973693.2526255264</c:v>
                </c:pt>
                <c:pt idx="21">
                  <c:v>4162916.7408457897</c:v>
                </c:pt>
                <c:pt idx="22">
                  <c:v>4352140.2290660525</c:v>
                </c:pt>
                <c:pt idx="23">
                  <c:v>4541363.7172863157</c:v>
                </c:pt>
                <c:pt idx="24">
                  <c:v>4730587.205506579</c:v>
                </c:pt>
                <c:pt idx="25">
                  <c:v>4919810.6937268423</c:v>
                </c:pt>
                <c:pt idx="26">
                  <c:v>5109034.1819471056</c:v>
                </c:pt>
                <c:pt idx="27">
                  <c:v>5298257.6701673688</c:v>
                </c:pt>
                <c:pt idx="28">
                  <c:v>5487481.1583876321</c:v>
                </c:pt>
                <c:pt idx="29">
                  <c:v>5676704.6466078945</c:v>
                </c:pt>
                <c:pt idx="30">
                  <c:v>5865928.1348281577</c:v>
                </c:pt>
                <c:pt idx="31">
                  <c:v>6055151.623048421</c:v>
                </c:pt>
                <c:pt idx="32">
                  <c:v>6244375.1112686843</c:v>
                </c:pt>
                <c:pt idx="33">
                  <c:v>6433598.5994889475</c:v>
                </c:pt>
                <c:pt idx="34">
                  <c:v>6622822.0877092108</c:v>
                </c:pt>
                <c:pt idx="35">
                  <c:v>6812045.5759294741</c:v>
                </c:pt>
                <c:pt idx="36">
                  <c:v>7001269.0641497374</c:v>
                </c:pt>
                <c:pt idx="37">
                  <c:v>7190492.5523700006</c:v>
                </c:pt>
                <c:pt idx="38">
                  <c:v>7379716.040590263</c:v>
                </c:pt>
                <c:pt idx="39">
                  <c:v>7383689.7338428888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'E-Costos'!$D$185</c:f>
              <c:strCache>
                <c:ptCount val="1"/>
                <c:pt idx="0">
                  <c:v>Gastos Totales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'E-Costos'!$A$186:$A$225</c:f>
              <c:numCache>
                <c:formatCode>0.00</c:formatCode>
                <c:ptCount val="40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  <c:pt idx="7">
                  <c:v>8000</c:v>
                </c:pt>
                <c:pt idx="8">
                  <c:v>9000</c:v>
                </c:pt>
                <c:pt idx="9">
                  <c:v>10000</c:v>
                </c:pt>
                <c:pt idx="10">
                  <c:v>11000</c:v>
                </c:pt>
                <c:pt idx="11">
                  <c:v>12000</c:v>
                </c:pt>
                <c:pt idx="12">
                  <c:v>13000</c:v>
                </c:pt>
                <c:pt idx="13">
                  <c:v>14000</c:v>
                </c:pt>
                <c:pt idx="14">
                  <c:v>15000</c:v>
                </c:pt>
                <c:pt idx="15">
                  <c:v>16000</c:v>
                </c:pt>
                <c:pt idx="16">
                  <c:v>17000</c:v>
                </c:pt>
                <c:pt idx="17">
                  <c:v>18000</c:v>
                </c:pt>
                <c:pt idx="18">
                  <c:v>19000</c:v>
                </c:pt>
                <c:pt idx="19">
                  <c:v>20000</c:v>
                </c:pt>
                <c:pt idx="20">
                  <c:v>21000</c:v>
                </c:pt>
                <c:pt idx="21">
                  <c:v>22000</c:v>
                </c:pt>
                <c:pt idx="22">
                  <c:v>23000</c:v>
                </c:pt>
                <c:pt idx="23">
                  <c:v>24000</c:v>
                </c:pt>
                <c:pt idx="24">
                  <c:v>25000</c:v>
                </c:pt>
                <c:pt idx="25">
                  <c:v>26000</c:v>
                </c:pt>
                <c:pt idx="26">
                  <c:v>27000</c:v>
                </c:pt>
                <c:pt idx="27">
                  <c:v>28000</c:v>
                </c:pt>
                <c:pt idx="28">
                  <c:v>29000</c:v>
                </c:pt>
                <c:pt idx="29">
                  <c:v>30000</c:v>
                </c:pt>
                <c:pt idx="30">
                  <c:v>31000</c:v>
                </c:pt>
                <c:pt idx="31">
                  <c:v>32000</c:v>
                </c:pt>
                <c:pt idx="32">
                  <c:v>33000</c:v>
                </c:pt>
                <c:pt idx="33">
                  <c:v>34000</c:v>
                </c:pt>
                <c:pt idx="34">
                  <c:v>35000</c:v>
                </c:pt>
                <c:pt idx="35">
                  <c:v>36000</c:v>
                </c:pt>
                <c:pt idx="36">
                  <c:v>37000</c:v>
                </c:pt>
                <c:pt idx="37">
                  <c:v>38000</c:v>
                </c:pt>
                <c:pt idx="38">
                  <c:v>39000</c:v>
                </c:pt>
                <c:pt idx="39">
                  <c:v>39021</c:v>
                </c:pt>
              </c:numCache>
            </c:numRef>
          </c:cat>
          <c:val>
            <c:numRef>
              <c:f>'E-Costos'!$D$186:$D$225</c:f>
              <c:numCache>
                <c:formatCode>_(* #,##0.00_);_(* \(#,##0.00\);_(* "-"??_);_(@_)</c:formatCode>
                <c:ptCount val="40"/>
                <c:pt idx="0">
                  <c:v>3756879.5587089485</c:v>
                </c:pt>
                <c:pt idx="1">
                  <c:v>3946103.0469292114</c:v>
                </c:pt>
                <c:pt idx="2">
                  <c:v>4135326.5351494746</c:v>
                </c:pt>
                <c:pt idx="3">
                  <c:v>4324550.0233697379</c:v>
                </c:pt>
                <c:pt idx="4">
                  <c:v>4513773.5115900012</c:v>
                </c:pt>
                <c:pt idx="5">
                  <c:v>4702996.9998102644</c:v>
                </c:pt>
                <c:pt idx="6">
                  <c:v>4892220.4880305277</c:v>
                </c:pt>
                <c:pt idx="7">
                  <c:v>5081443.9762507901</c:v>
                </c:pt>
                <c:pt idx="8">
                  <c:v>5270667.4644710533</c:v>
                </c:pt>
                <c:pt idx="9">
                  <c:v>5459890.9526913166</c:v>
                </c:pt>
                <c:pt idx="10">
                  <c:v>5649114.4409115799</c:v>
                </c:pt>
                <c:pt idx="11">
                  <c:v>5838337.9291318431</c:v>
                </c:pt>
                <c:pt idx="12">
                  <c:v>6027561.4173521064</c:v>
                </c:pt>
                <c:pt idx="13">
                  <c:v>6216784.9055723697</c:v>
                </c:pt>
                <c:pt idx="14">
                  <c:v>6406008.393792633</c:v>
                </c:pt>
                <c:pt idx="15">
                  <c:v>6595231.8820128962</c:v>
                </c:pt>
                <c:pt idx="16">
                  <c:v>6784455.3702331595</c:v>
                </c:pt>
                <c:pt idx="17">
                  <c:v>6973678.8584534228</c:v>
                </c:pt>
                <c:pt idx="18">
                  <c:v>7162902.3466736861</c:v>
                </c:pt>
                <c:pt idx="19">
                  <c:v>7352125.8348939484</c:v>
                </c:pt>
                <c:pt idx="20">
                  <c:v>7541349.3231142117</c:v>
                </c:pt>
                <c:pt idx="21">
                  <c:v>7730572.8113344749</c:v>
                </c:pt>
                <c:pt idx="22">
                  <c:v>7919796.2995547373</c:v>
                </c:pt>
                <c:pt idx="23">
                  <c:v>8109019.7877750006</c:v>
                </c:pt>
                <c:pt idx="24">
                  <c:v>8298243.2759952638</c:v>
                </c:pt>
                <c:pt idx="25">
                  <c:v>8487466.7642155271</c:v>
                </c:pt>
                <c:pt idx="26">
                  <c:v>8676690.2524357904</c:v>
                </c:pt>
                <c:pt idx="27">
                  <c:v>8865913.7406560536</c:v>
                </c:pt>
                <c:pt idx="28">
                  <c:v>9055137.2288763169</c:v>
                </c:pt>
                <c:pt idx="29">
                  <c:v>9244360.7170965802</c:v>
                </c:pt>
                <c:pt idx="30">
                  <c:v>9433584.2053168435</c:v>
                </c:pt>
                <c:pt idx="31">
                  <c:v>9622807.6935371067</c:v>
                </c:pt>
                <c:pt idx="32">
                  <c:v>9812031.18175737</c:v>
                </c:pt>
                <c:pt idx="33">
                  <c:v>10001254.669977633</c:v>
                </c:pt>
                <c:pt idx="34">
                  <c:v>10190478.158197897</c:v>
                </c:pt>
                <c:pt idx="35">
                  <c:v>10379701.64641816</c:v>
                </c:pt>
                <c:pt idx="36">
                  <c:v>10568925.134638423</c:v>
                </c:pt>
                <c:pt idx="37">
                  <c:v>10758148.622858686</c:v>
                </c:pt>
                <c:pt idx="38">
                  <c:v>10947372.111078948</c:v>
                </c:pt>
                <c:pt idx="39">
                  <c:v>10951345.804331575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'E-Costos'!$E$185</c:f>
              <c:strCache>
                <c:ptCount val="1"/>
                <c:pt idx="0">
                  <c:v>Ingreso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'E-Costos'!$A$186:$A$225</c:f>
              <c:numCache>
                <c:formatCode>0.00</c:formatCode>
                <c:ptCount val="40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  <c:pt idx="7">
                  <c:v>8000</c:v>
                </c:pt>
                <c:pt idx="8">
                  <c:v>9000</c:v>
                </c:pt>
                <c:pt idx="9">
                  <c:v>10000</c:v>
                </c:pt>
                <c:pt idx="10">
                  <c:v>11000</c:v>
                </c:pt>
                <c:pt idx="11">
                  <c:v>12000</c:v>
                </c:pt>
                <c:pt idx="12">
                  <c:v>13000</c:v>
                </c:pt>
                <c:pt idx="13">
                  <c:v>14000</c:v>
                </c:pt>
                <c:pt idx="14">
                  <c:v>15000</c:v>
                </c:pt>
                <c:pt idx="15">
                  <c:v>16000</c:v>
                </c:pt>
                <c:pt idx="16">
                  <c:v>17000</c:v>
                </c:pt>
                <c:pt idx="17">
                  <c:v>18000</c:v>
                </c:pt>
                <c:pt idx="18">
                  <c:v>19000</c:v>
                </c:pt>
                <c:pt idx="19">
                  <c:v>20000</c:v>
                </c:pt>
                <c:pt idx="20">
                  <c:v>21000</c:v>
                </c:pt>
                <c:pt idx="21">
                  <c:v>22000</c:v>
                </c:pt>
                <c:pt idx="22">
                  <c:v>23000</c:v>
                </c:pt>
                <c:pt idx="23">
                  <c:v>24000</c:v>
                </c:pt>
                <c:pt idx="24">
                  <c:v>25000</c:v>
                </c:pt>
                <c:pt idx="25">
                  <c:v>26000</c:v>
                </c:pt>
                <c:pt idx="26">
                  <c:v>27000</c:v>
                </c:pt>
                <c:pt idx="27">
                  <c:v>28000</c:v>
                </c:pt>
                <c:pt idx="28">
                  <c:v>29000</c:v>
                </c:pt>
                <c:pt idx="29">
                  <c:v>30000</c:v>
                </c:pt>
                <c:pt idx="30">
                  <c:v>31000</c:v>
                </c:pt>
                <c:pt idx="31">
                  <c:v>32000</c:v>
                </c:pt>
                <c:pt idx="32">
                  <c:v>33000</c:v>
                </c:pt>
                <c:pt idx="33">
                  <c:v>34000</c:v>
                </c:pt>
                <c:pt idx="34">
                  <c:v>35000</c:v>
                </c:pt>
                <c:pt idx="35">
                  <c:v>36000</c:v>
                </c:pt>
                <c:pt idx="36">
                  <c:v>37000</c:v>
                </c:pt>
                <c:pt idx="37">
                  <c:v>38000</c:v>
                </c:pt>
                <c:pt idx="38">
                  <c:v>39000</c:v>
                </c:pt>
                <c:pt idx="39">
                  <c:v>39021</c:v>
                </c:pt>
              </c:numCache>
            </c:numRef>
          </c:cat>
          <c:val>
            <c:numRef>
              <c:f>'E-Costos'!$E$186:$E$225</c:f>
              <c:numCache>
                <c:formatCode>General</c:formatCode>
                <c:ptCount val="40"/>
                <c:pt idx="0">
                  <c:v>500000</c:v>
                </c:pt>
                <c:pt idx="1">
                  <c:v>1000000</c:v>
                </c:pt>
                <c:pt idx="2">
                  <c:v>1500000</c:v>
                </c:pt>
                <c:pt idx="3">
                  <c:v>2000000</c:v>
                </c:pt>
                <c:pt idx="4">
                  <c:v>2500000</c:v>
                </c:pt>
                <c:pt idx="5">
                  <c:v>3000000</c:v>
                </c:pt>
                <c:pt idx="6">
                  <c:v>3500000</c:v>
                </c:pt>
                <c:pt idx="7">
                  <c:v>4000000</c:v>
                </c:pt>
                <c:pt idx="8">
                  <c:v>4500000</c:v>
                </c:pt>
                <c:pt idx="9">
                  <c:v>5000000</c:v>
                </c:pt>
                <c:pt idx="10">
                  <c:v>5500000</c:v>
                </c:pt>
                <c:pt idx="11">
                  <c:v>6000000</c:v>
                </c:pt>
                <c:pt idx="12">
                  <c:v>6500000</c:v>
                </c:pt>
                <c:pt idx="13">
                  <c:v>7000000</c:v>
                </c:pt>
                <c:pt idx="14">
                  <c:v>7500000</c:v>
                </c:pt>
                <c:pt idx="15">
                  <c:v>8000000</c:v>
                </c:pt>
                <c:pt idx="16">
                  <c:v>8500000</c:v>
                </c:pt>
                <c:pt idx="17">
                  <c:v>9000000</c:v>
                </c:pt>
                <c:pt idx="18">
                  <c:v>9500000</c:v>
                </c:pt>
                <c:pt idx="19">
                  <c:v>10000000</c:v>
                </c:pt>
                <c:pt idx="20">
                  <c:v>10500000</c:v>
                </c:pt>
                <c:pt idx="21">
                  <c:v>11000000</c:v>
                </c:pt>
                <c:pt idx="22">
                  <c:v>11500000</c:v>
                </c:pt>
                <c:pt idx="23">
                  <c:v>12000000</c:v>
                </c:pt>
                <c:pt idx="24">
                  <c:v>12500000</c:v>
                </c:pt>
                <c:pt idx="25">
                  <c:v>13000000</c:v>
                </c:pt>
                <c:pt idx="26">
                  <c:v>13500000</c:v>
                </c:pt>
                <c:pt idx="27">
                  <c:v>14000000</c:v>
                </c:pt>
                <c:pt idx="28">
                  <c:v>14500000</c:v>
                </c:pt>
                <c:pt idx="29">
                  <c:v>15000000</c:v>
                </c:pt>
                <c:pt idx="30">
                  <c:v>15500000</c:v>
                </c:pt>
                <c:pt idx="31">
                  <c:v>16000000</c:v>
                </c:pt>
                <c:pt idx="32">
                  <c:v>16500000</c:v>
                </c:pt>
                <c:pt idx="33">
                  <c:v>17000000</c:v>
                </c:pt>
                <c:pt idx="34">
                  <c:v>17500000</c:v>
                </c:pt>
                <c:pt idx="35">
                  <c:v>18000000</c:v>
                </c:pt>
                <c:pt idx="36">
                  <c:v>18500000</c:v>
                </c:pt>
                <c:pt idx="37">
                  <c:v>19000000</c:v>
                </c:pt>
                <c:pt idx="38">
                  <c:v>19500000</c:v>
                </c:pt>
                <c:pt idx="39">
                  <c:v>19510500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6316160"/>
        <c:axId val="236316720"/>
      </c:lineChart>
      <c:catAx>
        <c:axId val="236316160"/>
        <c:scaling>
          <c:orientation val="minMax"/>
        </c:scaling>
        <c:delete val="0"/>
        <c:axPos val="b"/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36316720"/>
        <c:crosses val="autoZero"/>
        <c:auto val="1"/>
        <c:lblAlgn val="ctr"/>
        <c:lblOffset val="100"/>
        <c:noMultiLvlLbl val="0"/>
      </c:catAx>
      <c:valAx>
        <c:axId val="236316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36316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57149</xdr:colOff>
      <xdr:row>149</xdr:row>
      <xdr:rowOff>100011</xdr:rowOff>
    </xdr:from>
    <xdr:to>
      <xdr:col>11</xdr:col>
      <xdr:colOff>628649</xdr:colOff>
      <xdr:row>177</xdr:row>
      <xdr:rowOff>142874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9524</xdr:colOff>
      <xdr:row>183</xdr:row>
      <xdr:rowOff>195261</xdr:rowOff>
    </xdr:from>
    <xdr:to>
      <xdr:col>11</xdr:col>
      <xdr:colOff>676275</xdr:colOff>
      <xdr:row>212</xdr:row>
      <xdr:rowOff>38100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26"/>
  <sheetViews>
    <sheetView topLeftCell="A2" workbookViewId="0">
      <selection activeCell="B44" sqref="B44"/>
    </sheetView>
  </sheetViews>
  <sheetFormatPr baseColWidth="10" defaultColWidth="11" defaultRowHeight="12.75" x14ac:dyDescent="0.2"/>
  <cols>
    <col min="1" max="1" width="42.28515625" customWidth="1"/>
    <col min="2" max="3" width="11" customWidth="1"/>
    <col min="4" max="4" width="17.42578125" customWidth="1"/>
  </cols>
  <sheetData>
    <row r="1" spans="1:7" x14ac:dyDescent="0.2">
      <c r="A1" s="1" t="s">
        <v>0</v>
      </c>
      <c r="E1" s="2">
        <v>4</v>
      </c>
    </row>
    <row r="3" spans="1:7" x14ac:dyDescent="0.2">
      <c r="A3" s="3" t="s">
        <v>1</v>
      </c>
      <c r="B3" s="4">
        <v>0.21</v>
      </c>
    </row>
    <row r="4" spans="1:7" x14ac:dyDescent="0.2">
      <c r="A4" s="3" t="s">
        <v>2</v>
      </c>
      <c r="B4" s="4">
        <v>0.35</v>
      </c>
    </row>
    <row r="5" spans="1:7" x14ac:dyDescent="0.2">
      <c r="A5" s="3" t="s">
        <v>3</v>
      </c>
      <c r="B5" s="4">
        <v>0.02</v>
      </c>
      <c r="C5" t="s">
        <v>4</v>
      </c>
      <c r="G5" s="5"/>
    </row>
    <row r="7" spans="1:7" x14ac:dyDescent="0.2">
      <c r="A7" s="3" t="s">
        <v>5</v>
      </c>
      <c r="B7" t="s">
        <v>6</v>
      </c>
    </row>
    <row r="8" spans="1:7" x14ac:dyDescent="0.2">
      <c r="A8" s="6" t="s">
        <v>7</v>
      </c>
      <c r="B8" s="7">
        <v>30</v>
      </c>
      <c r="C8" t="s">
        <v>8</v>
      </c>
    </row>
    <row r="9" spans="1:7" x14ac:dyDescent="0.2">
      <c r="A9" s="6" t="s">
        <v>9</v>
      </c>
      <c r="B9" s="7">
        <v>10</v>
      </c>
      <c r="C9" t="s">
        <v>8</v>
      </c>
    </row>
    <row r="10" spans="1:7" x14ac:dyDescent="0.2">
      <c r="A10" s="6" t="s">
        <v>10</v>
      </c>
      <c r="B10" s="7">
        <v>10</v>
      </c>
      <c r="C10" t="s">
        <v>8</v>
      </c>
    </row>
    <row r="11" spans="1:7" x14ac:dyDescent="0.2">
      <c r="A11" s="6" t="s">
        <v>11</v>
      </c>
      <c r="B11" s="7">
        <v>5</v>
      </c>
      <c r="C11" t="s">
        <v>8</v>
      </c>
    </row>
    <row r="12" spans="1:7" x14ac:dyDescent="0.2">
      <c r="A12" s="6" t="s">
        <v>12</v>
      </c>
      <c r="B12" s="7">
        <v>5</v>
      </c>
      <c r="C12" t="s">
        <v>8</v>
      </c>
    </row>
    <row r="13" spans="1:7" x14ac:dyDescent="0.2">
      <c r="A13" s="6" t="s">
        <v>13</v>
      </c>
      <c r="B13" s="7">
        <v>3</v>
      </c>
      <c r="C13" t="s">
        <v>8</v>
      </c>
    </row>
    <row r="14" spans="1:7" x14ac:dyDescent="0.2">
      <c r="A14" s="6" t="s">
        <v>14</v>
      </c>
      <c r="B14" s="7">
        <v>5</v>
      </c>
      <c r="C14" t="s">
        <v>8</v>
      </c>
    </row>
    <row r="15" spans="1:7" x14ac:dyDescent="0.2">
      <c r="A15" s="6" t="s">
        <v>15</v>
      </c>
      <c r="B15" s="8">
        <v>0.1</v>
      </c>
    </row>
    <row r="17" spans="1:7" x14ac:dyDescent="0.2">
      <c r="A17" s="3" t="s">
        <v>16</v>
      </c>
      <c r="B17" s="9" t="s">
        <v>382</v>
      </c>
      <c r="C17" s="10"/>
      <c r="D17" s="10"/>
      <c r="E17" s="10"/>
      <c r="F17" s="10"/>
      <c r="G17" s="11"/>
    </row>
    <row r="19" spans="1:7" x14ac:dyDescent="0.2">
      <c r="A19" s="3" t="s">
        <v>17</v>
      </c>
      <c r="B19" s="12">
        <v>37000</v>
      </c>
      <c r="C19" t="s">
        <v>18</v>
      </c>
    </row>
    <row r="20" spans="1:7" x14ac:dyDescent="0.2">
      <c r="A20" s="3" t="s">
        <v>19</v>
      </c>
      <c r="B20" s="12">
        <f>18500000/B19</f>
        <v>500</v>
      </c>
      <c r="C20" t="s">
        <v>20</v>
      </c>
    </row>
    <row r="22" spans="1:7" x14ac:dyDescent="0.2">
      <c r="A22" s="3" t="s">
        <v>21</v>
      </c>
    </row>
    <row r="23" spans="1:7" x14ac:dyDescent="0.2">
      <c r="A23" s="3" t="s">
        <v>22</v>
      </c>
      <c r="B23" s="12">
        <v>6</v>
      </c>
      <c r="C23" t="s">
        <v>23</v>
      </c>
    </row>
    <row r="24" spans="1:7" x14ac:dyDescent="0.2">
      <c r="A24" s="3" t="s">
        <v>24</v>
      </c>
      <c r="B24" s="12">
        <v>2</v>
      </c>
      <c r="C24" t="s">
        <v>23</v>
      </c>
    </row>
    <row r="25" spans="1:7" x14ac:dyDescent="0.2">
      <c r="A25" s="3" t="s">
        <v>25</v>
      </c>
      <c r="B25" s="12">
        <v>1</v>
      </c>
      <c r="C25" t="s">
        <v>23</v>
      </c>
    </row>
    <row r="27" spans="1:7" x14ac:dyDescent="0.2">
      <c r="A27" s="3" t="s">
        <v>26</v>
      </c>
      <c r="B27" s="12">
        <v>187</v>
      </c>
      <c r="C27" t="s">
        <v>27</v>
      </c>
    </row>
    <row r="28" spans="1:7" x14ac:dyDescent="0.2">
      <c r="A28" s="3" t="s">
        <v>28</v>
      </c>
      <c r="B28" s="12">
        <v>14</v>
      </c>
      <c r="C28" t="s">
        <v>29</v>
      </c>
    </row>
    <row r="29" spans="1:7" x14ac:dyDescent="0.2">
      <c r="A29" s="3" t="s">
        <v>30</v>
      </c>
      <c r="B29" s="12">
        <v>1</v>
      </c>
      <c r="C29" t="s">
        <v>29</v>
      </c>
    </row>
    <row r="32" spans="1:7" x14ac:dyDescent="0.2">
      <c r="A32" s="3" t="s">
        <v>31</v>
      </c>
      <c r="B32" s="12">
        <v>18</v>
      </c>
      <c r="C32" t="s">
        <v>32</v>
      </c>
      <c r="D32" s="12">
        <v>1</v>
      </c>
      <c r="E32" t="s">
        <v>33</v>
      </c>
    </row>
    <row r="33" spans="1:7" x14ac:dyDescent="0.2">
      <c r="A33" s="13"/>
    </row>
    <row r="34" spans="1:7" x14ac:dyDescent="0.2">
      <c r="A34" s="13"/>
    </row>
    <row r="35" spans="1:7" x14ac:dyDescent="0.2">
      <c r="A35" s="3" t="s">
        <v>34</v>
      </c>
      <c r="B35" s="14"/>
      <c r="C35" t="s">
        <v>35</v>
      </c>
      <c r="G35" s="5" t="s">
        <v>36</v>
      </c>
    </row>
    <row r="36" spans="1:7" x14ac:dyDescent="0.2">
      <c r="A36" s="3" t="s">
        <v>37</v>
      </c>
      <c r="B36" s="275"/>
      <c r="C36" s="275"/>
      <c r="D36" s="275"/>
    </row>
    <row r="37" spans="1:7" x14ac:dyDescent="0.2">
      <c r="A37" s="3" t="s">
        <v>38</v>
      </c>
      <c r="B37" s="15"/>
    </row>
    <row r="38" spans="1:7" x14ac:dyDescent="0.2">
      <c r="A38" s="3"/>
    </row>
    <row r="39" spans="1:7" x14ac:dyDescent="0.2">
      <c r="A39" s="3" t="s">
        <v>39</v>
      </c>
      <c r="B39" s="12"/>
    </row>
    <row r="40" spans="1:7" x14ac:dyDescent="0.2">
      <c r="A40" s="3" t="s">
        <v>40</v>
      </c>
      <c r="B40" s="12"/>
    </row>
    <row r="41" spans="1:7" x14ac:dyDescent="0.2">
      <c r="A41" s="3" t="s">
        <v>41</v>
      </c>
      <c r="B41" s="12"/>
      <c r="C41" t="s">
        <v>35</v>
      </c>
    </row>
    <row r="43" spans="1:7" x14ac:dyDescent="0.2">
      <c r="A43" s="3" t="s">
        <v>622</v>
      </c>
      <c r="B43" s="12">
        <v>30</v>
      </c>
    </row>
    <row r="726" spans="5:5" x14ac:dyDescent="0.2">
      <c r="E726" s="5" t="s">
        <v>42</v>
      </c>
    </row>
  </sheetData>
  <sheetProtection selectLockedCells="1" selectUnlockedCells="1"/>
  <mergeCells count="1">
    <mergeCell ref="B36:D36"/>
  </mergeCells>
  <pageMargins left="0.75" right="0.75" top="0.7" bottom="1" header="0.51180555555555551" footer="0.51180555555555551"/>
  <pageSetup paperSize="9" firstPageNumber="0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P19"/>
  <sheetViews>
    <sheetView tabSelected="1" workbookViewId="0">
      <selection activeCell="E17" sqref="E17"/>
    </sheetView>
  </sheetViews>
  <sheetFormatPr baseColWidth="10" defaultRowHeight="12.75" x14ac:dyDescent="0.2"/>
  <cols>
    <col min="1" max="1" width="8" style="16" customWidth="1"/>
    <col min="2" max="13" width="14.85546875" style="16" customWidth="1"/>
    <col min="14" max="14" width="17.42578125" style="16" customWidth="1"/>
    <col min="15" max="16384" width="11.42578125" style="16"/>
  </cols>
  <sheetData>
    <row r="1" spans="1:15" x14ac:dyDescent="0.2">
      <c r="A1" s="1" t="s">
        <v>0</v>
      </c>
      <c r="B1"/>
      <c r="C1"/>
      <c r="D1"/>
      <c r="G1" s="16">
        <f>InfoInicial!E1</f>
        <v>4</v>
      </c>
      <c r="H1" s="2"/>
    </row>
    <row r="2" spans="1:15" ht="15.75" x14ac:dyDescent="0.25">
      <c r="A2" s="119" t="s">
        <v>230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5" ht="38.25" x14ac:dyDescent="0.2">
      <c r="A3" s="123" t="s">
        <v>231</v>
      </c>
      <c r="B3" s="112" t="s">
        <v>232</v>
      </c>
      <c r="C3" s="112" t="s">
        <v>233</v>
      </c>
      <c r="D3" s="112" t="s">
        <v>234</v>
      </c>
      <c r="E3" s="112" t="s">
        <v>3</v>
      </c>
      <c r="F3" s="112" t="s">
        <v>235</v>
      </c>
      <c r="G3" s="112" t="s">
        <v>236</v>
      </c>
      <c r="H3" s="112" t="s">
        <v>237</v>
      </c>
      <c r="I3" s="112" t="s">
        <v>96</v>
      </c>
      <c r="J3" s="112" t="s">
        <v>238</v>
      </c>
      <c r="K3" s="112" t="s">
        <v>239</v>
      </c>
      <c r="L3" s="133" t="s">
        <v>240</v>
      </c>
      <c r="M3" s="134" t="s">
        <v>241</v>
      </c>
    </row>
    <row r="4" spans="1:15" x14ac:dyDescent="0.2">
      <c r="A4" s="135">
        <v>0</v>
      </c>
      <c r="B4" s="136">
        <f>'E-Cal Inv.'!B8+'E-Cal Inv.'!C8</f>
        <v>8154556.4629565217</v>
      </c>
      <c r="C4" s="16">
        <f>'E-Cal Inv.'!C18</f>
        <v>716620.01844028546</v>
      </c>
      <c r="D4" s="16">
        <f>'E-IVA '!B26</f>
        <v>1789528.7510933294</v>
      </c>
      <c r="E4" s="62">
        <v>0</v>
      </c>
      <c r="F4" s="62">
        <v>0</v>
      </c>
      <c r="G4" s="62">
        <f>F4+B4+C4+D4+E4</f>
        <v>10660705.232490137</v>
      </c>
      <c r="H4" s="289">
        <v>0</v>
      </c>
      <c r="I4" s="289">
        <v>0</v>
      </c>
      <c r="J4" s="289">
        <v>0</v>
      </c>
      <c r="K4" s="248">
        <f>+H4+I4+J4</f>
        <v>0</v>
      </c>
      <c r="L4" s="248">
        <f>K4-G4</f>
        <v>-10660705.232490137</v>
      </c>
      <c r="M4" s="248">
        <f>+L4</f>
        <v>-10660705.232490137</v>
      </c>
    </row>
    <row r="5" spans="1:15" x14ac:dyDescent="0.2">
      <c r="A5" s="138">
        <v>1</v>
      </c>
      <c r="B5" s="127">
        <f>'E-Cal Inv.'!D8</f>
        <v>6590.6295652173931</v>
      </c>
      <c r="C5" s="16">
        <f>'E-Cal Inv.'!D18</f>
        <v>1954257.0450767628</v>
      </c>
      <c r="D5" s="16">
        <f>'E-IVA '!C26</f>
        <v>89519.239507030128</v>
      </c>
      <c r="E5" s="64">
        <f>'E-Costos'!B116</f>
        <v>150673.5773707144</v>
      </c>
      <c r="F5" s="64">
        <f>'E-Costos'!B117</f>
        <v>2584051.8519077515</v>
      </c>
      <c r="G5" s="62">
        <f t="shared" ref="G5:G9" si="0">F5+B5+C5+D5+E5</f>
        <v>4785092.3434274765</v>
      </c>
      <c r="H5" s="16">
        <f>'E-Costos'!B115</f>
        <v>7533678.8685357198</v>
      </c>
      <c r="I5" s="62">
        <f>'E-Costos'!B124</f>
        <v>535951.03098597098</v>
      </c>
      <c r="J5" s="64">
        <f>'E-IVA '!C28</f>
        <v>1879047.9906003596</v>
      </c>
      <c r="K5" s="248">
        <f t="shared" ref="K5:K9" si="1">+H5+I5+J5</f>
        <v>9948677.8901220504</v>
      </c>
      <c r="L5" s="248">
        <f t="shared" ref="L5:L9" si="2">K5-G5</f>
        <v>5163585.5466945739</v>
      </c>
      <c r="M5" s="65">
        <f>+M4+L5</f>
        <v>-5497119.6857955633</v>
      </c>
    </row>
    <row r="6" spans="1:15" x14ac:dyDescent="0.2">
      <c r="A6" s="138">
        <v>2</v>
      </c>
      <c r="B6" s="127">
        <v>0</v>
      </c>
      <c r="C6" s="16">
        <f>'E-Cal Inv.'!E18</f>
        <v>66113.815627626886</v>
      </c>
      <c r="D6" s="16">
        <f>'E-IVA '!D26</f>
        <v>-242.92790284378671</v>
      </c>
      <c r="E6" s="64">
        <f>'E-Costos'!C116</f>
        <v>158611.12800172725</v>
      </c>
      <c r="F6" s="64">
        <f>'E-Costos'!C117</f>
        <v>2720180.845229622</v>
      </c>
      <c r="G6" s="62">
        <f t="shared" si="0"/>
        <v>2944662.8609561324</v>
      </c>
      <c r="H6" s="16">
        <f>'E-Costos'!C115</f>
        <v>7930556.4000863619</v>
      </c>
      <c r="I6" s="62">
        <f>'E-Costos'!C124</f>
        <v>535951.03098597098</v>
      </c>
      <c r="J6" s="64">
        <f>'E-IVA '!D28</f>
        <v>-242.92790284380317</v>
      </c>
      <c r="K6" s="248">
        <f t="shared" si="1"/>
        <v>8466264.5031694882</v>
      </c>
      <c r="L6" s="248">
        <f t="shared" si="2"/>
        <v>5521601.6422133557</v>
      </c>
      <c r="M6" s="65">
        <f t="shared" ref="M6:M9" si="3">+M5+L6</f>
        <v>24481.956417792477</v>
      </c>
    </row>
    <row r="7" spans="1:15" x14ac:dyDescent="0.2">
      <c r="A7" s="138">
        <v>3</v>
      </c>
      <c r="B7" s="127">
        <v>0</v>
      </c>
      <c r="C7" s="16">
        <f>'E-Cal Inv.'!F18</f>
        <v>-3.3800182417908218</v>
      </c>
      <c r="D7" s="16">
        <f>'E-IVA '!E26</f>
        <v>-1350.2002499999999</v>
      </c>
      <c r="E7" s="64">
        <f>'E-Costos'!D116</f>
        <v>158616.50163963152</v>
      </c>
      <c r="F7" s="64">
        <f>'E-Costos'!D117</f>
        <v>2720273.0031196801</v>
      </c>
      <c r="G7" s="62">
        <f t="shared" si="0"/>
        <v>2877535.9244910697</v>
      </c>
      <c r="H7" s="16">
        <f>'E-Costos'!D115</f>
        <v>7930825.0819815751</v>
      </c>
      <c r="I7" s="62">
        <f>'E-Costos'!D124</f>
        <v>535951.03098597098</v>
      </c>
      <c r="J7" s="64">
        <f>'E-IVA '!E28</f>
        <v>-1350.2002500002272</v>
      </c>
      <c r="K7" s="248">
        <f t="shared" si="1"/>
        <v>8465425.9127175473</v>
      </c>
      <c r="L7" s="248">
        <f t="shared" si="2"/>
        <v>5587889.9882264771</v>
      </c>
      <c r="M7" s="65">
        <f t="shared" si="3"/>
        <v>5612371.9446442695</v>
      </c>
    </row>
    <row r="8" spans="1:15" x14ac:dyDescent="0.2">
      <c r="A8" s="138">
        <v>4</v>
      </c>
      <c r="B8" s="127">
        <v>0</v>
      </c>
      <c r="C8" s="16">
        <f>'E-Cal Inv.'!G18</f>
        <v>5353.0521818353154</v>
      </c>
      <c r="D8" s="16">
        <f>'E-IVA '!F26</f>
        <v>1159.2479051676389</v>
      </c>
      <c r="E8" s="64">
        <f>'E-Costos'!E116</f>
        <v>158621.62188119875</v>
      </c>
      <c r="F8" s="64">
        <f>'E-Costos'!E117</f>
        <v>2720360.8152625579</v>
      </c>
      <c r="G8" s="62">
        <f t="shared" si="0"/>
        <v>2885494.7372307596</v>
      </c>
      <c r="H8" s="16">
        <f>'E-Costos'!E115</f>
        <v>7931081.0940599367</v>
      </c>
      <c r="I8" s="62">
        <f>'E-Costos'!E124</f>
        <v>526784.36431930435</v>
      </c>
      <c r="J8" s="64">
        <f>'E-IVA '!F28</f>
        <v>1159.247905167751</v>
      </c>
      <c r="K8" s="248">
        <f t="shared" si="1"/>
        <v>8459024.7062844075</v>
      </c>
      <c r="L8" s="248">
        <f t="shared" si="2"/>
        <v>5573529.9690536484</v>
      </c>
      <c r="M8" s="65">
        <f t="shared" si="3"/>
        <v>11185901.913697917</v>
      </c>
      <c r="O8" s="290"/>
    </row>
    <row r="9" spans="1:15" x14ac:dyDescent="0.2">
      <c r="A9" s="138">
        <v>5</v>
      </c>
      <c r="B9" s="127">
        <f>-(B4+B5-I11)</f>
        <v>-5499725.2709252173</v>
      </c>
      <c r="C9" s="16">
        <f>('E-Cal Inv.'!H18-C8-C7-C6-C5-C4-'E-Cal Inv.'!H18)</f>
        <v>-2742340.5513082691</v>
      </c>
      <c r="D9" s="16">
        <v>0</v>
      </c>
      <c r="E9" s="64">
        <f>'E-Costos'!F116</f>
        <v>158621.4973072315</v>
      </c>
      <c r="F9" s="64">
        <f>'E-Costos'!F117</f>
        <v>2720358.6788190198</v>
      </c>
      <c r="G9" s="62">
        <f t="shared" si="0"/>
        <v>-5363085.646107235</v>
      </c>
      <c r="H9" s="16">
        <f>'E-Costos'!F115</f>
        <v>7931074.865361575</v>
      </c>
      <c r="I9" s="62">
        <f>'E-Costos'!F124</f>
        <v>526784.36431930435</v>
      </c>
      <c r="J9" s="64">
        <f>'E-IVA '!G28</f>
        <v>0</v>
      </c>
      <c r="K9" s="248">
        <f t="shared" si="1"/>
        <v>8457859.229680879</v>
      </c>
      <c r="L9" s="248">
        <f t="shared" si="2"/>
        <v>13820944.875788115</v>
      </c>
      <c r="M9" s="65">
        <f t="shared" si="3"/>
        <v>25006846.789486032</v>
      </c>
    </row>
    <row r="10" spans="1:15" x14ac:dyDescent="0.2">
      <c r="A10" s="138"/>
      <c r="B10" s="129"/>
      <c r="C10" s="88"/>
      <c r="D10" s="88"/>
      <c r="E10" s="88"/>
      <c r="F10" s="88"/>
      <c r="G10" s="88"/>
      <c r="H10" s="88"/>
      <c r="I10" s="88"/>
      <c r="J10" s="88"/>
      <c r="K10" s="88"/>
      <c r="L10" s="117"/>
      <c r="M10" s="89"/>
    </row>
    <row r="11" spans="1:15" x14ac:dyDescent="0.2">
      <c r="A11" s="139" t="s">
        <v>242</v>
      </c>
      <c r="B11" s="70">
        <f t="shared" ref="B11:J11" si="4">SUM(B4:B9)</f>
        <v>2661421.8215965219</v>
      </c>
      <c r="C11" s="70">
        <f>SUM(C4:C9)</f>
        <v>0</v>
      </c>
      <c r="D11" s="70">
        <f>SUM(D4:D9)</f>
        <v>1878614.1103526836</v>
      </c>
      <c r="E11" s="70">
        <f>SUM(E4:E9)</f>
        <v>785144.32620050351</v>
      </c>
      <c r="F11" s="70">
        <f>SUM(F4:F9)</f>
        <v>13465225.194338631</v>
      </c>
      <c r="G11" s="70">
        <f t="shared" si="4"/>
        <v>18790405.45248834</v>
      </c>
      <c r="H11" s="70">
        <f>SUM(H5:H9)</f>
        <v>39257216.31002517</v>
      </c>
      <c r="I11" s="70">
        <f t="shared" si="4"/>
        <v>2661421.8215965219</v>
      </c>
      <c r="J11" s="70">
        <f>SUM(J4:J9)</f>
        <v>1878614.1103526833</v>
      </c>
      <c r="K11" s="70">
        <f t="shared" ref="J11:L11" si="5">SUM(K4:K9)</f>
        <v>43797252.241974376</v>
      </c>
      <c r="L11" s="70">
        <f t="shared" si="5"/>
        <v>25006846.789486032</v>
      </c>
      <c r="M11" s="71"/>
    </row>
    <row r="13" spans="1:15" x14ac:dyDescent="0.2">
      <c r="C13" s="140" t="s">
        <v>243</v>
      </c>
      <c r="D13" s="141">
        <f>H11-E11-F11</f>
        <v>25006846.789486039</v>
      </c>
    </row>
    <row r="14" spans="1:15" x14ac:dyDescent="0.2">
      <c r="A14" s="75"/>
      <c r="C14" s="140" t="s">
        <v>244</v>
      </c>
      <c r="D14" s="292">
        <f>1+M6/L6</f>
        <v>1.0044338505390582</v>
      </c>
      <c r="E14" s="16" t="s">
        <v>245</v>
      </c>
    </row>
    <row r="15" spans="1:15" x14ac:dyDescent="0.2">
      <c r="C15" s="140" t="s">
        <v>246</v>
      </c>
      <c r="D15" s="143">
        <f>IRR(L4:L9)</f>
        <v>0.48966658173650845</v>
      </c>
    </row>
    <row r="19" spans="16:16" x14ac:dyDescent="0.2">
      <c r="P19" s="291"/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workbookViewId="0">
      <selection activeCell="F1" sqref="F1"/>
    </sheetView>
  </sheetViews>
  <sheetFormatPr baseColWidth="10" defaultRowHeight="12.75" x14ac:dyDescent="0.2"/>
  <cols>
    <col min="1" max="1" width="27.28515625" style="16" customWidth="1"/>
    <col min="2" max="9" width="15.140625" style="16" customWidth="1"/>
    <col min="10" max="16384" width="11.42578125" style="16"/>
  </cols>
  <sheetData>
    <row r="1" spans="1:9" x14ac:dyDescent="0.2">
      <c r="A1" s="1" t="s">
        <v>0</v>
      </c>
      <c r="B1"/>
      <c r="C1"/>
      <c r="D1"/>
      <c r="F1" s="144">
        <f>InfoInicial!E1</f>
        <v>4</v>
      </c>
      <c r="G1" s="2"/>
    </row>
    <row r="2" spans="1:9" ht="15.75" x14ac:dyDescent="0.25">
      <c r="A2" s="145" t="s">
        <v>247</v>
      </c>
      <c r="B2" s="92"/>
      <c r="C2" s="92"/>
      <c r="D2" s="92"/>
      <c r="E2" s="92"/>
      <c r="F2" s="92"/>
      <c r="G2" s="93"/>
    </row>
    <row r="3" spans="1:9" x14ac:dyDescent="0.2">
      <c r="A3" s="59" t="s">
        <v>88</v>
      </c>
      <c r="B3" s="283" t="s">
        <v>248</v>
      </c>
      <c r="C3" s="283"/>
      <c r="D3" s="283" t="s">
        <v>249</v>
      </c>
      <c r="E3" s="283"/>
      <c r="F3" s="284" t="s">
        <v>250</v>
      </c>
      <c r="G3" s="284"/>
    </row>
    <row r="4" spans="1:9" x14ac:dyDescent="0.2">
      <c r="A4" s="59" t="s">
        <v>74</v>
      </c>
      <c r="B4" s="146" t="s">
        <v>251</v>
      </c>
      <c r="C4" s="146" t="s">
        <v>252</v>
      </c>
      <c r="D4" s="146" t="s">
        <v>251</v>
      </c>
      <c r="E4" s="146" t="s">
        <v>252</v>
      </c>
      <c r="F4" s="146" t="s">
        <v>251</v>
      </c>
      <c r="G4" s="147" t="s">
        <v>252</v>
      </c>
    </row>
    <row r="5" spans="1:9" x14ac:dyDescent="0.2">
      <c r="A5" s="29" t="s">
        <v>253</v>
      </c>
      <c r="B5" s="64"/>
      <c r="C5" s="90"/>
      <c r="D5" s="64"/>
      <c r="E5" s="90"/>
      <c r="F5" s="64"/>
      <c r="G5" s="91"/>
    </row>
    <row r="6" spans="1:9" x14ac:dyDescent="0.2">
      <c r="A6" s="27" t="s">
        <v>254</v>
      </c>
      <c r="B6" s="64"/>
      <c r="C6" s="90"/>
      <c r="D6" s="64"/>
      <c r="E6" s="90"/>
      <c r="F6" s="64"/>
      <c r="G6" s="91"/>
    </row>
    <row r="7" spans="1:9" x14ac:dyDescent="0.2">
      <c r="A7" s="27" t="s">
        <v>255</v>
      </c>
      <c r="B7" s="64"/>
      <c r="C7" s="90"/>
      <c r="D7" s="64"/>
      <c r="E7" s="100"/>
      <c r="F7" s="64"/>
      <c r="G7" s="91"/>
    </row>
    <row r="8" spans="1:9" x14ac:dyDescent="0.2">
      <c r="A8" s="35" t="s">
        <v>191</v>
      </c>
      <c r="B8" s="148"/>
      <c r="C8" s="149"/>
      <c r="D8" s="148"/>
      <c r="E8" s="149"/>
      <c r="F8" s="148"/>
      <c r="G8" s="150"/>
    </row>
    <row r="9" spans="1:9" x14ac:dyDescent="0.2">
      <c r="A9" s="75"/>
      <c r="B9" s="55"/>
      <c r="C9" s="151"/>
      <c r="D9" s="55"/>
      <c r="E9" s="55"/>
      <c r="F9" s="55"/>
      <c r="G9" s="55"/>
    </row>
    <row r="10" spans="1:9" ht="15.75" x14ac:dyDescent="0.25">
      <c r="A10" s="152" t="s">
        <v>256</v>
      </c>
      <c r="B10" s="153"/>
      <c r="C10" s="153"/>
      <c r="D10" s="153"/>
      <c r="E10" s="153"/>
      <c r="F10" s="153"/>
      <c r="G10" s="153"/>
      <c r="H10" s="153"/>
      <c r="I10" s="154"/>
    </row>
    <row r="11" spans="1:9" x14ac:dyDescent="0.2">
      <c r="A11" s="155" t="s">
        <v>257</v>
      </c>
      <c r="B11" s="156" t="s">
        <v>258</v>
      </c>
      <c r="C11" s="156" t="s">
        <v>259</v>
      </c>
      <c r="D11" s="156" t="s">
        <v>260</v>
      </c>
      <c r="E11" s="156" t="s">
        <v>259</v>
      </c>
      <c r="F11" s="156" t="s">
        <v>261</v>
      </c>
      <c r="G11" s="156" t="s">
        <v>260</v>
      </c>
      <c r="H11" s="156"/>
      <c r="I11" s="157" t="s">
        <v>262</v>
      </c>
    </row>
    <row r="12" spans="1:9" x14ac:dyDescent="0.2">
      <c r="A12" s="158"/>
      <c r="B12" s="159"/>
      <c r="C12" s="159" t="s">
        <v>263</v>
      </c>
      <c r="D12" s="159" t="s">
        <v>263</v>
      </c>
      <c r="E12" s="159" t="s">
        <v>35</v>
      </c>
      <c r="F12" s="159" t="s">
        <v>264</v>
      </c>
      <c r="G12" s="159" t="s">
        <v>35</v>
      </c>
      <c r="H12" s="159" t="s">
        <v>265</v>
      </c>
      <c r="I12" s="160" t="s">
        <v>266</v>
      </c>
    </row>
    <row r="13" spans="1:9" x14ac:dyDescent="0.2">
      <c r="A13" s="161"/>
      <c r="B13" s="86"/>
      <c r="C13" s="86"/>
      <c r="D13" s="86"/>
      <c r="E13" s="86"/>
      <c r="F13" s="162"/>
      <c r="G13" s="86"/>
      <c r="H13" s="163"/>
      <c r="I13" s="87"/>
    </row>
    <row r="14" spans="1:9" x14ac:dyDescent="0.2">
      <c r="A14" s="164"/>
      <c r="B14" s="64"/>
      <c r="C14" s="64"/>
      <c r="D14" s="64"/>
      <c r="E14" s="64"/>
      <c r="F14" s="28"/>
      <c r="G14" s="64"/>
      <c r="H14" s="100"/>
      <c r="I14" s="65"/>
    </row>
    <row r="15" spans="1:9" x14ac:dyDescent="0.2">
      <c r="A15" s="164"/>
      <c r="B15" s="64"/>
      <c r="C15" s="64"/>
      <c r="D15" s="64"/>
      <c r="E15" s="64"/>
      <c r="F15" s="28"/>
      <c r="G15" s="64"/>
      <c r="H15" s="100"/>
      <c r="I15" s="65"/>
    </row>
    <row r="16" spans="1:9" x14ac:dyDescent="0.2">
      <c r="A16" s="164"/>
      <c r="B16" s="64"/>
      <c r="C16" s="64"/>
      <c r="D16" s="64"/>
      <c r="E16" s="64"/>
      <c r="F16" s="28"/>
      <c r="G16" s="64"/>
      <c r="H16" s="100"/>
      <c r="I16" s="65"/>
    </row>
    <row r="17" spans="1:9" x14ac:dyDescent="0.2">
      <c r="A17" s="164"/>
      <c r="B17" s="64"/>
      <c r="C17" s="64"/>
      <c r="D17" s="64"/>
      <c r="E17" s="64"/>
      <c r="F17" s="28"/>
      <c r="G17" s="64"/>
      <c r="H17" s="100"/>
      <c r="I17" s="65"/>
    </row>
    <row r="18" spans="1:9" x14ac:dyDescent="0.2">
      <c r="A18" s="164"/>
      <c r="B18" s="64"/>
      <c r="C18" s="64"/>
      <c r="D18" s="64"/>
      <c r="E18" s="64"/>
      <c r="F18" s="28"/>
      <c r="G18" s="64"/>
      <c r="H18" s="100"/>
      <c r="I18" s="65"/>
    </row>
    <row r="19" spans="1:9" x14ac:dyDescent="0.2">
      <c r="A19" s="164"/>
      <c r="B19" s="64"/>
      <c r="C19" s="64"/>
      <c r="D19" s="64"/>
      <c r="E19" s="64"/>
      <c r="F19" s="28"/>
      <c r="G19" s="64"/>
      <c r="H19" s="100"/>
      <c r="I19" s="65"/>
    </row>
    <row r="20" spans="1:9" x14ac:dyDescent="0.2">
      <c r="A20" s="165"/>
      <c r="B20" s="70"/>
      <c r="C20" s="70"/>
      <c r="D20" s="79"/>
      <c r="E20" s="70"/>
      <c r="F20" s="32"/>
      <c r="G20" s="79"/>
      <c r="H20" s="166"/>
      <c r="I20" s="80"/>
    </row>
    <row r="21" spans="1:9" x14ac:dyDescent="0.2">
      <c r="A21" s="167" t="s">
        <v>267</v>
      </c>
      <c r="B21" s="168"/>
      <c r="C21" s="168"/>
      <c r="D21" s="169"/>
      <c r="E21" s="168"/>
      <c r="F21" s="170"/>
      <c r="G21" s="169"/>
      <c r="H21" s="171"/>
      <c r="I21" s="169"/>
    </row>
    <row r="22" spans="1:9" x14ac:dyDescent="0.2">
      <c r="A22" s="161"/>
      <c r="B22" s="86"/>
      <c r="C22" s="86"/>
      <c r="D22" s="62"/>
      <c r="E22" s="86"/>
      <c r="F22" s="162"/>
      <c r="G22" s="62"/>
      <c r="H22" s="163"/>
      <c r="I22" s="63"/>
    </row>
    <row r="23" spans="1:9" x14ac:dyDescent="0.2">
      <c r="A23" s="164"/>
      <c r="B23" s="64"/>
      <c r="C23" s="64"/>
      <c r="D23" s="64"/>
      <c r="E23" s="64"/>
      <c r="F23" s="28"/>
      <c r="G23" s="64"/>
      <c r="H23" s="100"/>
      <c r="I23" s="65"/>
    </row>
    <row r="24" spans="1:9" x14ac:dyDescent="0.2">
      <c r="A24" s="172"/>
      <c r="B24" s="64"/>
      <c r="C24" s="64"/>
      <c r="D24" s="64"/>
      <c r="E24" s="64"/>
      <c r="F24" s="64"/>
      <c r="G24" s="64"/>
      <c r="H24" s="90"/>
      <c r="I24" s="65"/>
    </row>
    <row r="25" spans="1:9" x14ac:dyDescent="0.2">
      <c r="A25" s="172"/>
      <c r="B25" s="64"/>
      <c r="C25" s="64"/>
      <c r="D25" s="64"/>
      <c r="E25" s="64"/>
      <c r="F25" s="64"/>
      <c r="G25" s="64"/>
      <c r="H25" s="90"/>
      <c r="I25" s="65"/>
    </row>
    <row r="26" spans="1:9" x14ac:dyDescent="0.2">
      <c r="A26" s="172"/>
      <c r="B26" s="64"/>
      <c r="C26" s="64"/>
      <c r="D26" s="64"/>
      <c r="E26" s="64"/>
      <c r="F26" s="64"/>
      <c r="G26" s="64"/>
      <c r="H26" s="90"/>
      <c r="I26" s="65"/>
    </row>
    <row r="27" spans="1:9" x14ac:dyDescent="0.2">
      <c r="A27" s="172"/>
      <c r="B27" s="64"/>
      <c r="C27" s="64"/>
      <c r="D27" s="64"/>
      <c r="E27" s="64"/>
      <c r="F27" s="64"/>
      <c r="G27" s="64"/>
      <c r="H27" s="90"/>
      <c r="I27" s="65"/>
    </row>
    <row r="28" spans="1:9" x14ac:dyDescent="0.2">
      <c r="A28" s="172"/>
      <c r="B28" s="64"/>
      <c r="C28" s="64"/>
      <c r="D28" s="64"/>
      <c r="E28" s="64"/>
      <c r="F28" s="64"/>
      <c r="G28" s="64"/>
      <c r="H28" s="90"/>
      <c r="I28" s="65"/>
    </row>
    <row r="29" spans="1:9" x14ac:dyDescent="0.2">
      <c r="A29" s="172"/>
      <c r="B29" s="64"/>
      <c r="C29" s="64"/>
      <c r="D29" s="64"/>
      <c r="E29" s="64"/>
      <c r="F29" s="64"/>
      <c r="G29" s="64"/>
      <c r="H29" s="90"/>
      <c r="I29" s="65"/>
    </row>
    <row r="30" spans="1:9" x14ac:dyDescent="0.2">
      <c r="A30" s="172"/>
      <c r="B30" s="64"/>
      <c r="C30" s="64"/>
      <c r="D30" s="64"/>
      <c r="E30" s="64"/>
      <c r="F30" s="64"/>
      <c r="G30" s="64"/>
      <c r="H30" s="90"/>
      <c r="I30" s="65"/>
    </row>
    <row r="31" spans="1:9" x14ac:dyDescent="0.2">
      <c r="A31" s="172"/>
      <c r="B31" s="64"/>
      <c r="C31" s="64"/>
      <c r="D31" s="64"/>
      <c r="E31" s="64"/>
      <c r="F31" s="64"/>
      <c r="G31" s="64"/>
      <c r="H31" s="90"/>
      <c r="I31" s="65"/>
    </row>
    <row r="32" spans="1:9" x14ac:dyDescent="0.2">
      <c r="A32" s="172"/>
      <c r="B32" s="64"/>
      <c r="C32" s="64"/>
      <c r="D32" s="64"/>
      <c r="E32" s="64"/>
      <c r="F32" s="64"/>
      <c r="G32" s="64"/>
      <c r="H32" s="90"/>
      <c r="I32" s="65"/>
    </row>
    <row r="33" spans="1:9" x14ac:dyDescent="0.2">
      <c r="A33" s="172"/>
      <c r="B33" s="64"/>
      <c r="C33" s="64"/>
      <c r="D33" s="64"/>
      <c r="E33" s="64"/>
      <c r="F33" s="64"/>
      <c r="G33" s="64"/>
      <c r="H33" s="90"/>
      <c r="I33" s="65"/>
    </row>
    <row r="34" spans="1:9" x14ac:dyDescent="0.2">
      <c r="A34" s="172"/>
      <c r="B34" s="64"/>
      <c r="C34" s="64"/>
      <c r="D34" s="64"/>
      <c r="E34" s="64"/>
      <c r="F34" s="64"/>
      <c r="G34" s="64"/>
      <c r="H34" s="90"/>
      <c r="I34" s="65"/>
    </row>
    <row r="35" spans="1:9" x14ac:dyDescent="0.2">
      <c r="A35" s="172"/>
      <c r="B35" s="64"/>
      <c r="C35" s="64"/>
      <c r="D35" s="64"/>
      <c r="E35" s="64"/>
      <c r="F35" s="28"/>
      <c r="G35" s="64"/>
      <c r="H35" s="100"/>
      <c r="I35" s="65"/>
    </row>
    <row r="36" spans="1:9" x14ac:dyDescent="0.2">
      <c r="A36" s="172"/>
      <c r="B36" s="64"/>
      <c r="C36" s="64"/>
      <c r="D36" s="64"/>
      <c r="E36" s="64"/>
      <c r="F36" s="64"/>
      <c r="G36" s="64"/>
      <c r="H36" s="90"/>
      <c r="I36" s="65"/>
    </row>
    <row r="37" spans="1:9" x14ac:dyDescent="0.2">
      <c r="A37" s="172"/>
      <c r="B37" s="64"/>
      <c r="C37" s="64"/>
      <c r="D37" s="64"/>
      <c r="E37" s="64"/>
      <c r="F37" s="28"/>
      <c r="G37" s="64"/>
      <c r="H37" s="100"/>
      <c r="I37" s="65"/>
    </row>
    <row r="38" spans="1:9" x14ac:dyDescent="0.2">
      <c r="A38" s="172"/>
      <c r="B38" s="64"/>
      <c r="C38" s="64"/>
      <c r="D38" s="64"/>
      <c r="E38" s="64"/>
      <c r="F38" s="64"/>
      <c r="G38" s="64"/>
      <c r="H38" s="90"/>
      <c r="I38" s="65"/>
    </row>
    <row r="39" spans="1:9" x14ac:dyDescent="0.2">
      <c r="A39" s="172"/>
      <c r="B39" s="64"/>
      <c r="C39" s="64"/>
      <c r="D39" s="64"/>
      <c r="E39" s="64"/>
      <c r="F39" s="28"/>
      <c r="G39" s="64"/>
      <c r="H39" s="100"/>
      <c r="I39" s="65"/>
    </row>
    <row r="40" spans="1:9" x14ac:dyDescent="0.2">
      <c r="A40" s="172"/>
      <c r="B40" s="64"/>
      <c r="C40" s="64"/>
      <c r="D40" s="64"/>
      <c r="E40" s="64"/>
      <c r="F40" s="64"/>
      <c r="G40" s="64"/>
      <c r="H40" s="90"/>
      <c r="I40" s="65"/>
    </row>
    <row r="41" spans="1:9" x14ac:dyDescent="0.2">
      <c r="A41" s="172"/>
      <c r="B41" s="64"/>
      <c r="C41" s="64"/>
      <c r="D41" s="64"/>
      <c r="E41" s="64"/>
      <c r="F41" s="28"/>
      <c r="G41" s="64"/>
      <c r="H41" s="100"/>
      <c r="I41" s="65"/>
    </row>
    <row r="42" spans="1:9" x14ac:dyDescent="0.2">
      <c r="A42" s="172"/>
      <c r="B42" s="64"/>
      <c r="C42" s="64"/>
      <c r="D42" s="64"/>
      <c r="E42" s="64"/>
      <c r="F42" s="64"/>
      <c r="G42" s="64"/>
      <c r="H42" s="90"/>
      <c r="I42" s="65"/>
    </row>
    <row r="43" spans="1:9" x14ac:dyDescent="0.2">
      <c r="A43" s="172"/>
      <c r="B43" s="64"/>
      <c r="C43" s="64"/>
      <c r="D43" s="64"/>
      <c r="E43" s="64"/>
      <c r="F43" s="28"/>
      <c r="G43" s="64"/>
      <c r="H43" s="100"/>
      <c r="I43" s="65"/>
    </row>
    <row r="44" spans="1:9" x14ac:dyDescent="0.2">
      <c r="A44" s="172"/>
      <c r="B44" s="64"/>
      <c r="C44" s="64"/>
      <c r="D44" s="64"/>
      <c r="E44" s="64"/>
      <c r="F44" s="64"/>
      <c r="G44" s="64"/>
      <c r="H44" s="90"/>
      <c r="I44" s="65"/>
    </row>
    <row r="45" spans="1:9" x14ac:dyDescent="0.2">
      <c r="A45" s="172"/>
      <c r="B45" s="64"/>
      <c r="C45" s="64"/>
      <c r="D45" s="64"/>
      <c r="E45" s="64"/>
      <c r="F45" s="28"/>
      <c r="G45" s="64"/>
      <c r="H45" s="100"/>
      <c r="I45" s="65"/>
    </row>
    <row r="46" spans="1:9" x14ac:dyDescent="0.2">
      <c r="A46" s="172"/>
      <c r="B46" s="64"/>
      <c r="C46" s="64"/>
      <c r="D46" s="64"/>
      <c r="E46" s="64"/>
      <c r="F46" s="64"/>
      <c r="G46" s="64"/>
      <c r="H46" s="90"/>
      <c r="I46" s="65"/>
    </row>
    <row r="47" spans="1:9" x14ac:dyDescent="0.2">
      <c r="A47" s="172"/>
      <c r="B47" s="64"/>
      <c r="C47" s="64"/>
      <c r="D47" s="64"/>
      <c r="E47" s="64"/>
      <c r="F47" s="28"/>
      <c r="G47" s="64"/>
      <c r="H47" s="100"/>
      <c r="I47" s="65"/>
    </row>
    <row r="48" spans="1:9" x14ac:dyDescent="0.2">
      <c r="A48" s="172"/>
      <c r="B48" s="64"/>
      <c r="C48" s="64"/>
      <c r="D48" s="64"/>
      <c r="E48" s="64"/>
      <c r="F48" s="64"/>
      <c r="G48" s="64"/>
      <c r="H48" s="90"/>
      <c r="I48" s="65"/>
    </row>
    <row r="49" spans="1:9" x14ac:dyDescent="0.2">
      <c r="A49" s="172"/>
      <c r="B49" s="64"/>
      <c r="C49" s="64"/>
      <c r="D49" s="64"/>
      <c r="E49" s="64"/>
      <c r="F49" s="28"/>
      <c r="G49" s="64"/>
      <c r="H49" s="100"/>
      <c r="I49" s="65"/>
    </row>
    <row r="50" spans="1:9" x14ac:dyDescent="0.2">
      <c r="A50" s="172"/>
      <c r="B50" s="64"/>
      <c r="C50" s="64"/>
      <c r="D50" s="64"/>
      <c r="E50" s="64"/>
      <c r="F50" s="64"/>
      <c r="G50" s="64"/>
      <c r="H50" s="90"/>
      <c r="I50" s="65"/>
    </row>
    <row r="51" spans="1:9" x14ac:dyDescent="0.2">
      <c r="A51" s="172"/>
      <c r="B51" s="64"/>
      <c r="C51" s="64"/>
      <c r="D51" s="64"/>
      <c r="E51" s="64"/>
      <c r="F51" s="28"/>
      <c r="G51" s="64"/>
      <c r="H51" s="100"/>
      <c r="I51" s="65"/>
    </row>
    <row r="52" spans="1:9" x14ac:dyDescent="0.2">
      <c r="A52" s="172"/>
      <c r="B52" s="64"/>
      <c r="C52" s="64"/>
      <c r="D52" s="64"/>
      <c r="E52" s="64"/>
      <c r="F52" s="64"/>
      <c r="G52" s="64"/>
      <c r="H52" s="90"/>
      <c r="I52" s="65"/>
    </row>
    <row r="53" spans="1:9" x14ac:dyDescent="0.2">
      <c r="A53" s="164"/>
      <c r="B53" s="64"/>
      <c r="C53" s="64"/>
      <c r="D53" s="64"/>
      <c r="E53" s="64"/>
      <c r="F53" s="28"/>
      <c r="G53" s="64"/>
      <c r="H53" s="100"/>
      <c r="I53" s="65"/>
    </row>
    <row r="54" spans="1:9" x14ac:dyDescent="0.2">
      <c r="A54" s="85" t="s">
        <v>268</v>
      </c>
      <c r="B54" s="148"/>
      <c r="C54" s="148"/>
      <c r="D54" s="148"/>
      <c r="E54" s="148"/>
      <c r="F54" s="173"/>
      <c r="G54" s="148"/>
      <c r="H54" s="174"/>
      <c r="I54" s="175"/>
    </row>
  </sheetData>
  <sheetProtection selectLockedCells="1" selectUnlockedCells="1"/>
  <mergeCells count="3">
    <mergeCell ref="B3:C3"/>
    <mergeCell ref="D3:E3"/>
    <mergeCell ref="F3:G3"/>
  </mergeCells>
  <pageMargins left="0.25972222222222224" right="0.4597222222222222" top="0.42986111111111114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topLeftCell="C1" workbookViewId="0">
      <selection activeCell="F1" sqref="F1"/>
    </sheetView>
  </sheetViews>
  <sheetFormatPr baseColWidth="10" defaultRowHeight="12.75" x14ac:dyDescent="0.2"/>
  <cols>
    <col min="1" max="1" width="32.140625" style="176" customWidth="1"/>
    <col min="2" max="7" width="14" style="176" customWidth="1"/>
    <col min="8" max="8" width="17.42578125" style="176" customWidth="1"/>
    <col min="9" max="16384" width="11.42578125" style="176"/>
  </cols>
  <sheetData>
    <row r="1" spans="1:7" x14ac:dyDescent="0.2">
      <c r="A1" s="1" t="s">
        <v>0</v>
      </c>
      <c r="B1"/>
      <c r="C1"/>
      <c r="D1"/>
      <c r="E1" s="144"/>
      <c r="F1" s="2">
        <f>InfoInicial!E1</f>
        <v>4</v>
      </c>
    </row>
    <row r="2" spans="1:7" ht="15.75" x14ac:dyDescent="0.25">
      <c r="A2" s="177" t="s">
        <v>269</v>
      </c>
      <c r="B2" s="178"/>
      <c r="C2" s="178"/>
      <c r="D2" s="178"/>
      <c r="E2" s="178"/>
      <c r="F2" s="178"/>
      <c r="G2" s="179"/>
    </row>
    <row r="3" spans="1:7" x14ac:dyDescent="0.2">
      <c r="A3" s="180" t="s">
        <v>88</v>
      </c>
      <c r="B3" s="181" t="s">
        <v>48</v>
      </c>
      <c r="C3" s="181" t="s">
        <v>89</v>
      </c>
      <c r="D3" s="181" t="s">
        <v>90</v>
      </c>
      <c r="E3" s="181" t="s">
        <v>91</v>
      </c>
      <c r="F3" s="182" t="s">
        <v>92</v>
      </c>
      <c r="G3" s="183" t="s">
        <v>191</v>
      </c>
    </row>
    <row r="4" spans="1:7" x14ac:dyDescent="0.2">
      <c r="A4" s="176" t="s">
        <v>270</v>
      </c>
      <c r="B4" s="64"/>
      <c r="C4" s="64"/>
      <c r="D4" s="64"/>
      <c r="E4" s="64"/>
      <c r="F4" s="116"/>
      <c r="G4" s="65"/>
    </row>
    <row r="5" spans="1:7" x14ac:dyDescent="0.2">
      <c r="A5" s="176" t="s">
        <v>271</v>
      </c>
      <c r="B5" s="64"/>
      <c r="C5" s="64"/>
      <c r="D5" s="64"/>
      <c r="E5" s="64"/>
      <c r="F5" s="116"/>
      <c r="G5" s="65"/>
    </row>
    <row r="6" spans="1:7" x14ac:dyDescent="0.2">
      <c r="A6" s="176" t="s">
        <v>272</v>
      </c>
      <c r="B6" s="64"/>
      <c r="C6" s="64"/>
      <c r="D6" s="64"/>
      <c r="E6" s="64"/>
      <c r="F6" s="116"/>
      <c r="G6" s="65"/>
    </row>
    <row r="7" spans="1:7" x14ac:dyDescent="0.2">
      <c r="A7" s="176" t="s">
        <v>113</v>
      </c>
      <c r="B7" s="88"/>
      <c r="C7" s="88"/>
      <c r="D7" s="88"/>
      <c r="E7" s="88"/>
      <c r="F7" s="117"/>
      <c r="G7" s="89"/>
    </row>
    <row r="8" spans="1:7" x14ac:dyDescent="0.2">
      <c r="A8" s="176" t="s">
        <v>273</v>
      </c>
      <c r="B8" s="64"/>
      <c r="C8" s="64"/>
      <c r="D8" s="64"/>
      <c r="E8" s="64"/>
      <c r="F8" s="116"/>
      <c r="G8" s="65"/>
    </row>
    <row r="9" spans="1:7" x14ac:dyDescent="0.2">
      <c r="A9" s="176" t="s">
        <v>274</v>
      </c>
      <c r="B9" s="64"/>
      <c r="C9" s="64"/>
      <c r="D9" s="64"/>
      <c r="E9" s="64"/>
      <c r="F9" s="116"/>
      <c r="G9" s="65"/>
    </row>
    <row r="10" spans="1:7" x14ac:dyDescent="0.2">
      <c r="A10" s="176" t="s">
        <v>275</v>
      </c>
      <c r="B10" s="64"/>
      <c r="C10" s="64"/>
      <c r="D10" s="64"/>
      <c r="E10" s="64"/>
      <c r="F10" s="116"/>
      <c r="G10" s="65"/>
    </row>
    <row r="11" spans="1:7" x14ac:dyDescent="0.2">
      <c r="A11" s="184" t="s">
        <v>276</v>
      </c>
      <c r="B11" s="64"/>
      <c r="C11" s="64"/>
      <c r="D11" s="64"/>
      <c r="E11" s="64"/>
      <c r="F11" s="116"/>
      <c r="G11" s="65"/>
    </row>
    <row r="12" spans="1:7" x14ac:dyDescent="0.2">
      <c r="A12" s="176" t="s">
        <v>277</v>
      </c>
      <c r="B12" s="64"/>
      <c r="C12" s="64"/>
      <c r="D12" s="64"/>
      <c r="E12" s="64"/>
      <c r="F12" s="116"/>
      <c r="G12" s="65"/>
    </row>
    <row r="13" spans="1:7" x14ac:dyDescent="0.2">
      <c r="A13" s="185" t="s">
        <v>278</v>
      </c>
      <c r="B13" s="64"/>
      <c r="C13" s="64"/>
      <c r="D13" s="64"/>
      <c r="E13" s="64"/>
      <c r="F13" s="116"/>
      <c r="G13" s="65"/>
    </row>
    <row r="14" spans="1:7" x14ac:dyDescent="0.2">
      <c r="A14" s="186" t="s">
        <v>279</v>
      </c>
      <c r="B14" s="70"/>
      <c r="C14" s="70"/>
      <c r="D14" s="70"/>
      <c r="E14" s="70"/>
      <c r="F14" s="118"/>
      <c r="G14" s="71"/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45"/>
  <sheetViews>
    <sheetView workbookViewId="0">
      <selection activeCell="D1" sqref="D1"/>
    </sheetView>
  </sheetViews>
  <sheetFormatPr baseColWidth="10" defaultRowHeight="12.75" x14ac:dyDescent="0.2"/>
  <cols>
    <col min="1" max="1" width="54.42578125" style="176" customWidth="1"/>
    <col min="2" max="4" width="14" style="176" customWidth="1"/>
    <col min="5" max="250" width="11.42578125" style="176" customWidth="1"/>
  </cols>
  <sheetData>
    <row r="1" spans="1:5" x14ac:dyDescent="0.2">
      <c r="A1" s="1" t="s">
        <v>0</v>
      </c>
      <c r="B1"/>
      <c r="C1"/>
      <c r="D1">
        <f>InfoInicial!E1</f>
        <v>4</v>
      </c>
      <c r="E1" s="2"/>
    </row>
    <row r="2" spans="1:5" ht="15.75" x14ac:dyDescent="0.25">
      <c r="A2" s="177" t="s">
        <v>280</v>
      </c>
      <c r="B2" s="178"/>
      <c r="C2" s="178"/>
      <c r="D2" s="179"/>
    </row>
    <row r="3" spans="1:5" x14ac:dyDescent="0.2">
      <c r="A3" s="180" t="s">
        <v>88</v>
      </c>
      <c r="B3" s="187" t="s">
        <v>47</v>
      </c>
      <c r="C3" s="187" t="s">
        <v>48</v>
      </c>
      <c r="D3" s="183" t="s">
        <v>191</v>
      </c>
    </row>
    <row r="4" spans="1:5" x14ac:dyDescent="0.2">
      <c r="A4" s="184" t="s">
        <v>281</v>
      </c>
      <c r="B4" s="88"/>
      <c r="C4" s="88"/>
      <c r="D4" s="89"/>
    </row>
    <row r="5" spans="1:5" x14ac:dyDescent="0.2">
      <c r="B5" s="64"/>
      <c r="C5" s="64"/>
      <c r="D5" s="65"/>
    </row>
    <row r="6" spans="1:5" x14ac:dyDescent="0.2">
      <c r="A6" s="176" t="s">
        <v>282</v>
      </c>
      <c r="B6" s="64"/>
      <c r="C6" s="64"/>
      <c r="D6" s="65"/>
    </row>
    <row r="7" spans="1:5" x14ac:dyDescent="0.2">
      <c r="A7" s="176" t="s">
        <v>283</v>
      </c>
      <c r="B7" s="64"/>
      <c r="C7" s="64"/>
      <c r="D7" s="65"/>
    </row>
    <row r="8" spans="1:5" x14ac:dyDescent="0.2">
      <c r="A8" s="184" t="s">
        <v>284</v>
      </c>
      <c r="B8" s="64"/>
      <c r="C8" s="64"/>
      <c r="D8" s="65"/>
    </row>
    <row r="9" spans="1:5" x14ac:dyDescent="0.2">
      <c r="A9" s="185" t="s">
        <v>285</v>
      </c>
      <c r="B9" s="64"/>
      <c r="C9" s="64"/>
      <c r="D9" s="65"/>
    </row>
    <row r="10" spans="1:5" x14ac:dyDescent="0.2">
      <c r="A10" s="184" t="s">
        <v>286</v>
      </c>
      <c r="B10" s="64"/>
      <c r="C10" s="64"/>
      <c r="D10" s="65"/>
    </row>
    <row r="11" spans="1:5" x14ac:dyDescent="0.2">
      <c r="A11" s="184" t="s">
        <v>287</v>
      </c>
      <c r="B11" s="88"/>
      <c r="C11" s="88"/>
      <c r="D11" s="89"/>
    </row>
    <row r="12" spans="1:5" x14ac:dyDescent="0.2">
      <c r="A12" s="185" t="s">
        <v>288</v>
      </c>
      <c r="B12" s="64"/>
      <c r="C12" s="64"/>
      <c r="D12" s="65"/>
    </row>
    <row r="13" spans="1:5" x14ac:dyDescent="0.2">
      <c r="A13" s="176" t="s">
        <v>289</v>
      </c>
      <c r="B13" s="64"/>
      <c r="C13" s="64"/>
      <c r="D13" s="65"/>
    </row>
    <row r="14" spans="1:5" x14ac:dyDescent="0.2">
      <c r="A14" s="176" t="s">
        <v>290</v>
      </c>
      <c r="B14" s="64"/>
      <c r="C14" s="64"/>
      <c r="D14" s="65"/>
    </row>
    <row r="15" spans="1:5" x14ac:dyDescent="0.2">
      <c r="A15" s="184" t="s">
        <v>291</v>
      </c>
      <c r="B15" s="64"/>
      <c r="C15" s="64"/>
      <c r="D15" s="65"/>
    </row>
    <row r="16" spans="1:5" x14ac:dyDescent="0.2">
      <c r="A16" s="176" t="s">
        <v>113</v>
      </c>
      <c r="B16" s="88"/>
      <c r="C16" s="88"/>
      <c r="D16" s="89"/>
    </row>
    <row r="17" spans="1:5" x14ac:dyDescent="0.2">
      <c r="A17" s="176" t="s">
        <v>292</v>
      </c>
      <c r="B17" s="64"/>
      <c r="C17" s="64"/>
      <c r="D17" s="65"/>
    </row>
    <row r="18" spans="1:5" x14ac:dyDescent="0.2">
      <c r="A18" s="176" t="s">
        <v>293</v>
      </c>
      <c r="B18" s="64"/>
      <c r="C18" s="64"/>
      <c r="D18" s="65"/>
    </row>
    <row r="19" spans="1:5" x14ac:dyDescent="0.2">
      <c r="A19" s="176" t="s">
        <v>294</v>
      </c>
      <c r="B19" s="64"/>
      <c r="C19" s="64"/>
      <c r="D19" s="65"/>
    </row>
    <row r="20" spans="1:5" x14ac:dyDescent="0.2">
      <c r="A20" s="184" t="s">
        <v>295</v>
      </c>
      <c r="B20" s="64"/>
      <c r="C20" s="64"/>
      <c r="D20" s="65"/>
    </row>
    <row r="21" spans="1:5" x14ac:dyDescent="0.2">
      <c r="A21" s="176" t="s">
        <v>296</v>
      </c>
      <c r="B21" s="64"/>
      <c r="C21" s="64"/>
      <c r="D21" s="65"/>
    </row>
    <row r="22" spans="1:5" x14ac:dyDescent="0.2">
      <c r="A22" s="184" t="s">
        <v>297</v>
      </c>
      <c r="B22" s="64"/>
      <c r="C22" s="64"/>
      <c r="D22" s="65"/>
    </row>
    <row r="23" spans="1:5" x14ac:dyDescent="0.2">
      <c r="A23" s="184" t="s">
        <v>298</v>
      </c>
      <c r="B23" s="64"/>
      <c r="C23" s="64"/>
      <c r="D23" s="65"/>
    </row>
    <row r="24" spans="1:5" x14ac:dyDescent="0.2">
      <c r="A24" s="184" t="s">
        <v>299</v>
      </c>
      <c r="B24" s="88"/>
      <c r="C24" s="88"/>
      <c r="D24" s="89"/>
    </row>
    <row r="25" spans="1:5" x14ac:dyDescent="0.2">
      <c r="A25" s="176" t="s">
        <v>300</v>
      </c>
      <c r="B25" s="64"/>
      <c r="C25" s="64"/>
      <c r="D25" s="65"/>
    </row>
    <row r="26" spans="1:5" x14ac:dyDescent="0.2">
      <c r="A26" s="176" t="s">
        <v>301</v>
      </c>
      <c r="B26" s="64"/>
      <c r="C26" s="64"/>
      <c r="D26" s="65"/>
    </row>
    <row r="27" spans="1:5" x14ac:dyDescent="0.2">
      <c r="A27" s="184" t="s">
        <v>302</v>
      </c>
      <c r="B27" s="64"/>
      <c r="C27" s="64"/>
      <c r="D27" s="65"/>
      <c r="E27" s="188"/>
    </row>
    <row r="28" spans="1:5" x14ac:dyDescent="0.2">
      <c r="A28" s="184" t="s">
        <v>303</v>
      </c>
      <c r="B28" s="88"/>
      <c r="C28" s="88"/>
      <c r="D28" s="117"/>
      <c r="E28" s="189" t="s">
        <v>304</v>
      </c>
    </row>
    <row r="29" spans="1:5" x14ac:dyDescent="0.2">
      <c r="A29" s="184" t="s">
        <v>305</v>
      </c>
      <c r="B29" s="64"/>
      <c r="C29" s="64"/>
      <c r="D29" s="116"/>
      <c r="E29" s="91"/>
    </row>
    <row r="30" spans="1:5" x14ac:dyDescent="0.2">
      <c r="A30" s="184" t="s">
        <v>306</v>
      </c>
      <c r="B30" s="64"/>
      <c r="C30" s="64"/>
      <c r="D30" s="116"/>
      <c r="E30" s="91"/>
    </row>
    <row r="31" spans="1:5" x14ac:dyDescent="0.2">
      <c r="A31" s="184" t="s">
        <v>307</v>
      </c>
      <c r="B31" s="64"/>
      <c r="C31" s="64"/>
      <c r="D31" s="116"/>
      <c r="E31" s="91"/>
    </row>
    <row r="32" spans="1:5" x14ac:dyDescent="0.2">
      <c r="A32" s="186" t="s">
        <v>191</v>
      </c>
      <c r="B32" s="70"/>
      <c r="C32" s="70"/>
      <c r="D32" s="118"/>
      <c r="E32" s="84"/>
    </row>
    <row r="34" spans="1:6" ht="15.75" x14ac:dyDescent="0.25">
      <c r="A34" s="177" t="s">
        <v>308</v>
      </c>
      <c r="B34" s="178"/>
      <c r="C34" s="178"/>
      <c r="D34" s="178"/>
      <c r="E34" s="178"/>
      <c r="F34" s="178"/>
    </row>
    <row r="35" spans="1:6" x14ac:dyDescent="0.2">
      <c r="A35" s="180" t="s">
        <v>88</v>
      </c>
      <c r="B35" s="181" t="s">
        <v>48</v>
      </c>
      <c r="C35" s="181" t="s">
        <v>89</v>
      </c>
      <c r="D35" s="181" t="s">
        <v>90</v>
      </c>
      <c r="E35" s="181" t="s">
        <v>91</v>
      </c>
      <c r="F35" s="181" t="s">
        <v>92</v>
      </c>
    </row>
    <row r="36" spans="1:6" x14ac:dyDescent="0.2">
      <c r="A36" s="190" t="s">
        <v>153</v>
      </c>
      <c r="B36" s="28"/>
      <c r="C36" s="28"/>
      <c r="D36" s="28"/>
      <c r="E36" s="28"/>
      <c r="F36" s="28"/>
    </row>
    <row r="37" spans="1:6" x14ac:dyDescent="0.2">
      <c r="A37" s="191" t="s">
        <v>152</v>
      </c>
      <c r="B37" s="28"/>
      <c r="C37" s="28"/>
      <c r="D37" s="28"/>
      <c r="E37" s="28"/>
      <c r="F37" s="28"/>
    </row>
    <row r="38" spans="1:6" x14ac:dyDescent="0.2">
      <c r="A38" s="190" t="s">
        <v>155</v>
      </c>
      <c r="B38" s="28"/>
      <c r="C38" s="28"/>
      <c r="D38" s="28"/>
      <c r="E38" s="28"/>
      <c r="F38" s="28"/>
    </row>
    <row r="39" spans="1:6" x14ac:dyDescent="0.2">
      <c r="A39" s="191" t="s">
        <v>154</v>
      </c>
      <c r="B39" s="28"/>
      <c r="C39" s="28"/>
      <c r="D39" s="28"/>
      <c r="E39" s="28"/>
      <c r="F39" s="28"/>
    </row>
    <row r="40" spans="1:6" x14ac:dyDescent="0.2">
      <c r="A40" s="190" t="s">
        <v>157</v>
      </c>
      <c r="B40" s="28"/>
      <c r="C40" s="28"/>
      <c r="D40" s="28"/>
      <c r="E40" s="28"/>
      <c r="F40" s="28"/>
    </row>
    <row r="41" spans="1:6" x14ac:dyDescent="0.2">
      <c r="A41" s="191" t="s">
        <v>156</v>
      </c>
      <c r="B41" s="28"/>
      <c r="C41" s="28"/>
      <c r="D41" s="28"/>
      <c r="E41" s="28"/>
      <c r="F41" s="28"/>
    </row>
    <row r="42" spans="1:6" x14ac:dyDescent="0.2">
      <c r="A42" s="191" t="s">
        <v>309</v>
      </c>
      <c r="B42" s="28"/>
      <c r="C42" s="28"/>
      <c r="D42" s="28"/>
      <c r="E42" s="28"/>
      <c r="F42" s="28"/>
    </row>
    <row r="43" spans="1:6" x14ac:dyDescent="0.2">
      <c r="A43" s="190" t="s">
        <v>158</v>
      </c>
      <c r="B43" s="28"/>
      <c r="C43" s="28"/>
      <c r="D43" s="28"/>
      <c r="E43" s="28"/>
      <c r="F43" s="28"/>
    </row>
    <row r="44" spans="1:6" x14ac:dyDescent="0.2">
      <c r="A44" s="192" t="s">
        <v>159</v>
      </c>
      <c r="B44" s="32"/>
      <c r="C44" s="32"/>
      <c r="D44" s="32"/>
      <c r="E44" s="32"/>
      <c r="F44" s="32"/>
    </row>
    <row r="45" spans="1:6" ht="15.75" x14ac:dyDescent="0.25">
      <c r="A45" s="193" t="s">
        <v>310</v>
      </c>
    </row>
  </sheetData>
  <sheetProtection selectLockedCells="1" selectUnlockedCells="1"/>
  <pageMargins left="0.25972222222222224" right="0.4597222222222222" top="0.7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workbookViewId="0">
      <selection activeCell="E1" sqref="E1"/>
    </sheetView>
  </sheetViews>
  <sheetFormatPr baseColWidth="10" defaultRowHeight="12.75" x14ac:dyDescent="0.2"/>
  <cols>
    <col min="1" max="1" width="43" style="176" customWidth="1"/>
    <col min="2" max="7" width="14" style="176" customWidth="1"/>
    <col min="8" max="8" width="17.42578125" style="176" customWidth="1"/>
    <col min="9" max="16384" width="11.42578125" style="176"/>
  </cols>
  <sheetData>
    <row r="1" spans="1:7" x14ac:dyDescent="0.2">
      <c r="A1" s="1" t="s">
        <v>0</v>
      </c>
      <c r="B1"/>
      <c r="C1"/>
      <c r="D1"/>
      <c r="E1" s="2">
        <f>InfoInicial!E1</f>
        <v>4</v>
      </c>
    </row>
    <row r="2" spans="1:7" ht="15.75" x14ac:dyDescent="0.25">
      <c r="A2" s="177" t="s">
        <v>210</v>
      </c>
      <c r="B2" s="178"/>
      <c r="C2" s="178"/>
      <c r="D2" s="178"/>
      <c r="E2" s="178"/>
      <c r="F2" s="178"/>
      <c r="G2" s="179"/>
    </row>
    <row r="3" spans="1:7" ht="15.75" x14ac:dyDescent="0.25">
      <c r="A3" s="194"/>
      <c r="B3" s="195" t="s">
        <v>211</v>
      </c>
      <c r="C3" s="195"/>
      <c r="D3" s="195"/>
      <c r="E3" s="195"/>
      <c r="F3" s="195"/>
      <c r="G3" s="196"/>
    </row>
    <row r="4" spans="1:7" x14ac:dyDescent="0.2">
      <c r="A4" s="197" t="s">
        <v>88</v>
      </c>
      <c r="B4" s="198" t="s">
        <v>47</v>
      </c>
      <c r="C4" s="181" t="s">
        <v>48</v>
      </c>
      <c r="D4" s="181" t="s">
        <v>89</v>
      </c>
      <c r="E4" s="181" t="s">
        <v>90</v>
      </c>
      <c r="F4" s="181" t="s">
        <v>91</v>
      </c>
      <c r="G4" s="183" t="s">
        <v>92</v>
      </c>
    </row>
    <row r="5" spans="1:7" x14ac:dyDescent="0.2">
      <c r="A5" s="199" t="s">
        <v>311</v>
      </c>
      <c r="B5" s="125"/>
      <c r="C5" s="108"/>
      <c r="D5" s="108"/>
      <c r="E5" s="108"/>
      <c r="F5" s="108"/>
      <c r="G5" s="109"/>
    </row>
    <row r="6" spans="1:7" x14ac:dyDescent="0.2">
      <c r="A6" s="200" t="s">
        <v>312</v>
      </c>
      <c r="B6" s="127"/>
      <c r="C6" s="64"/>
      <c r="D6" s="64"/>
      <c r="E6" s="64"/>
      <c r="F6" s="64"/>
      <c r="G6" s="65"/>
    </row>
    <row r="7" spans="1:7" x14ac:dyDescent="0.2">
      <c r="A7" s="200" t="s">
        <v>313</v>
      </c>
      <c r="B7" s="127"/>
      <c r="C7" s="64"/>
      <c r="D7" s="64"/>
      <c r="E7" s="64"/>
      <c r="F7" s="64"/>
      <c r="G7" s="65"/>
    </row>
    <row r="8" spans="1:7" x14ac:dyDescent="0.2">
      <c r="A8" s="201" t="s">
        <v>314</v>
      </c>
      <c r="B8" s="127"/>
      <c r="C8" s="64"/>
      <c r="D8" s="64"/>
      <c r="E8" s="64"/>
      <c r="F8" s="64"/>
      <c r="G8" s="65"/>
    </row>
    <row r="9" spans="1:7" x14ac:dyDescent="0.2">
      <c r="A9" s="201" t="s">
        <v>315</v>
      </c>
      <c r="B9" s="127"/>
      <c r="C9" s="64"/>
      <c r="D9" s="64"/>
      <c r="E9" s="64"/>
      <c r="F9" s="64"/>
      <c r="G9" s="65"/>
    </row>
    <row r="10" spans="1:7" x14ac:dyDescent="0.2">
      <c r="A10" s="202" t="s">
        <v>316</v>
      </c>
      <c r="B10" s="127"/>
      <c r="C10" s="64"/>
      <c r="D10" s="64"/>
      <c r="E10" s="64"/>
      <c r="F10" s="64"/>
      <c r="G10" s="65"/>
    </row>
    <row r="11" spans="1:7" x14ac:dyDescent="0.2">
      <c r="A11" s="202"/>
      <c r="B11" s="129"/>
      <c r="C11" s="88"/>
      <c r="D11" s="88"/>
      <c r="E11" s="88"/>
      <c r="F11" s="88"/>
      <c r="G11" s="89"/>
    </row>
    <row r="12" spans="1:7" x14ac:dyDescent="0.2">
      <c r="A12" s="200" t="s">
        <v>223</v>
      </c>
      <c r="B12" s="127"/>
      <c r="C12" s="64"/>
      <c r="D12" s="64"/>
      <c r="E12" s="64"/>
      <c r="F12" s="64"/>
      <c r="G12" s="65"/>
    </row>
    <row r="13" spans="1:7" x14ac:dyDescent="0.2">
      <c r="A13" s="200" t="s">
        <v>224</v>
      </c>
      <c r="B13" s="127"/>
      <c r="C13" s="64"/>
      <c r="D13" s="64"/>
      <c r="E13" s="64"/>
      <c r="F13" s="64"/>
      <c r="G13" s="65"/>
    </row>
    <row r="14" spans="1:7" x14ac:dyDescent="0.2">
      <c r="A14" s="202" t="s">
        <v>317</v>
      </c>
      <c r="B14" s="127"/>
      <c r="C14" s="64"/>
      <c r="D14" s="64"/>
      <c r="E14" s="64"/>
      <c r="F14" s="64"/>
      <c r="G14" s="65"/>
    </row>
    <row r="15" spans="1:7" x14ac:dyDescent="0.2">
      <c r="A15" s="200"/>
      <c r="B15" s="129"/>
      <c r="C15" s="88"/>
      <c r="D15" s="88"/>
      <c r="E15" s="88"/>
      <c r="F15" s="88"/>
      <c r="G15" s="89"/>
    </row>
    <row r="16" spans="1:7" x14ac:dyDescent="0.2">
      <c r="A16" s="203" t="s">
        <v>318</v>
      </c>
      <c r="B16" s="127"/>
      <c r="C16" s="64"/>
      <c r="D16" s="64"/>
      <c r="E16" s="64"/>
      <c r="F16" s="64"/>
      <c r="G16" s="65"/>
    </row>
    <row r="17" spans="1:7" x14ac:dyDescent="0.2">
      <c r="A17" s="203" t="s">
        <v>319</v>
      </c>
      <c r="B17" s="127"/>
      <c r="C17" s="64"/>
      <c r="D17" s="64"/>
      <c r="E17" s="64"/>
      <c r="F17" s="64"/>
      <c r="G17" s="65"/>
    </row>
    <row r="18" spans="1:7" x14ac:dyDescent="0.2">
      <c r="A18" s="202" t="s">
        <v>320</v>
      </c>
      <c r="B18" s="127"/>
      <c r="C18" s="64"/>
      <c r="D18" s="64"/>
      <c r="E18" s="64"/>
      <c r="F18" s="64"/>
      <c r="G18" s="65"/>
    </row>
    <row r="19" spans="1:7" x14ac:dyDescent="0.2">
      <c r="A19" s="202" t="s">
        <v>321</v>
      </c>
      <c r="B19" s="127"/>
      <c r="C19" s="64"/>
      <c r="D19" s="64"/>
      <c r="E19" s="64"/>
      <c r="F19" s="64"/>
      <c r="G19" s="65"/>
    </row>
    <row r="20" spans="1:7" x14ac:dyDescent="0.2">
      <c r="A20" s="200"/>
      <c r="B20" s="129"/>
      <c r="C20" s="88"/>
      <c r="D20" s="88"/>
      <c r="E20" s="88"/>
      <c r="F20" s="88"/>
      <c r="G20" s="89"/>
    </row>
    <row r="21" spans="1:7" x14ac:dyDescent="0.2">
      <c r="A21" s="204" t="s">
        <v>229</v>
      </c>
      <c r="B21" s="132"/>
      <c r="C21" s="70"/>
      <c r="D21" s="70"/>
      <c r="E21" s="70"/>
      <c r="F21" s="70"/>
      <c r="G21" s="71"/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workbookViewId="0">
      <selection activeCell="E1" sqref="E1"/>
    </sheetView>
  </sheetViews>
  <sheetFormatPr baseColWidth="10" defaultRowHeight="12.75" x14ac:dyDescent="0.2"/>
  <cols>
    <col min="1" max="1" width="41" style="205" customWidth="1"/>
    <col min="2" max="8" width="14.85546875" style="205" customWidth="1"/>
    <col min="9" max="9" width="17.42578125" style="205" customWidth="1"/>
    <col min="10" max="16384" width="11.42578125" style="205"/>
  </cols>
  <sheetData>
    <row r="1" spans="1:8" x14ac:dyDescent="0.2">
      <c r="A1" s="1" t="s">
        <v>0</v>
      </c>
      <c r="B1"/>
      <c r="C1"/>
      <c r="D1"/>
      <c r="E1" s="2">
        <f>InfoInicial!E1</f>
        <v>4</v>
      </c>
    </row>
    <row r="3" spans="1:8" ht="15.75" x14ac:dyDescent="0.25">
      <c r="A3" s="206" t="s">
        <v>322</v>
      </c>
      <c r="B3" s="207"/>
      <c r="C3" s="207"/>
      <c r="D3" s="207"/>
      <c r="E3" s="207"/>
      <c r="F3" s="207"/>
      <c r="G3" s="208"/>
      <c r="H3" s="209"/>
    </row>
    <row r="4" spans="1:8" x14ac:dyDescent="0.2">
      <c r="A4" s="210"/>
      <c r="B4" s="211" t="s">
        <v>47</v>
      </c>
      <c r="C4" s="211" t="s">
        <v>48</v>
      </c>
      <c r="D4" s="211" t="s">
        <v>89</v>
      </c>
      <c r="E4" s="211" t="s">
        <v>90</v>
      </c>
      <c r="F4" s="211" t="s">
        <v>91</v>
      </c>
      <c r="G4" s="212" t="s">
        <v>92</v>
      </c>
      <c r="H4" s="213" t="s">
        <v>191</v>
      </c>
    </row>
    <row r="5" spans="1:8" x14ac:dyDescent="0.2">
      <c r="A5" s="184" t="s">
        <v>323</v>
      </c>
      <c r="B5" s="94"/>
      <c r="C5" s="94"/>
      <c r="D5" s="94"/>
      <c r="E5" s="94"/>
      <c r="F5" s="94"/>
      <c r="G5" s="214"/>
      <c r="H5" s="95"/>
    </row>
    <row r="6" spans="1:8" x14ac:dyDescent="0.2">
      <c r="A6" s="176" t="s">
        <v>324</v>
      </c>
      <c r="B6" s="64"/>
      <c r="C6" s="64"/>
      <c r="D6" s="64"/>
      <c r="E6" s="64"/>
      <c r="F6" s="64"/>
      <c r="G6" s="116"/>
      <c r="H6" s="65"/>
    </row>
    <row r="7" spans="1:8" x14ac:dyDescent="0.2">
      <c r="A7" s="176" t="s">
        <v>325</v>
      </c>
      <c r="B7" s="215"/>
      <c r="C7" s="215"/>
      <c r="D7" s="215"/>
      <c r="E7" s="215"/>
      <c r="F7" s="215"/>
      <c r="G7" s="216"/>
      <c r="H7" s="217"/>
    </row>
    <row r="8" spans="1:8" x14ac:dyDescent="0.2">
      <c r="A8" s="176" t="s">
        <v>326</v>
      </c>
      <c r="B8" s="64"/>
      <c r="C8" s="64"/>
      <c r="D8" s="64"/>
      <c r="E8" s="64"/>
      <c r="F8" s="64"/>
      <c r="G8" s="116"/>
      <c r="H8" s="65"/>
    </row>
    <row r="9" spans="1:8" x14ac:dyDescent="0.2">
      <c r="A9" s="176" t="s">
        <v>327</v>
      </c>
      <c r="B9" s="215"/>
      <c r="C9" s="215"/>
      <c r="D9" s="215"/>
      <c r="E9" s="215"/>
      <c r="F9" s="215"/>
      <c r="G9" s="216"/>
      <c r="H9" s="217"/>
    </row>
    <row r="10" spans="1:8" x14ac:dyDescent="0.2">
      <c r="A10" s="176" t="s">
        <v>328</v>
      </c>
      <c r="B10" s="64"/>
      <c r="C10" s="64"/>
      <c r="D10" s="64"/>
      <c r="E10" s="64"/>
      <c r="F10" s="64"/>
      <c r="G10" s="116"/>
      <c r="H10" s="65"/>
    </row>
    <row r="11" spans="1:8" x14ac:dyDescent="0.2">
      <c r="A11" s="176" t="s">
        <v>329</v>
      </c>
      <c r="B11" s="94"/>
      <c r="C11" s="94"/>
      <c r="D11" s="94"/>
      <c r="E11" s="94"/>
      <c r="F11" s="94"/>
      <c r="G11" s="214"/>
      <c r="H11" s="95"/>
    </row>
    <row r="12" spans="1:8" x14ac:dyDescent="0.2">
      <c r="A12" s="176"/>
      <c r="B12" s="64"/>
      <c r="C12" s="64"/>
      <c r="D12" s="64"/>
      <c r="E12" s="64"/>
      <c r="F12" s="64"/>
      <c r="G12" s="116"/>
      <c r="H12" s="65"/>
    </row>
    <row r="13" spans="1:8" x14ac:dyDescent="0.2">
      <c r="A13" s="184" t="s">
        <v>330</v>
      </c>
      <c r="B13" s="64"/>
      <c r="C13" s="64"/>
      <c r="D13" s="64"/>
      <c r="E13" s="64"/>
      <c r="F13" s="64"/>
      <c r="G13" s="116"/>
      <c r="H13" s="65"/>
    </row>
    <row r="14" spans="1:8" x14ac:dyDescent="0.2">
      <c r="A14" s="176" t="s">
        <v>331</v>
      </c>
      <c r="B14" s="215"/>
      <c r="C14" s="215"/>
      <c r="D14" s="215"/>
      <c r="E14" s="215"/>
      <c r="F14" s="215"/>
      <c r="G14" s="216"/>
      <c r="H14" s="217"/>
    </row>
    <row r="15" spans="1:8" x14ac:dyDescent="0.2">
      <c r="A15" s="176" t="s">
        <v>254</v>
      </c>
      <c r="B15" s="64"/>
      <c r="C15" s="64"/>
      <c r="D15" s="64"/>
      <c r="E15" s="64"/>
      <c r="F15" s="64"/>
      <c r="G15" s="116"/>
      <c r="H15" s="65"/>
    </row>
    <row r="16" spans="1:8" x14ac:dyDescent="0.2">
      <c r="A16" s="176" t="s">
        <v>332</v>
      </c>
      <c r="B16" s="64"/>
      <c r="C16" s="64"/>
      <c r="D16" s="64"/>
      <c r="E16" s="64"/>
      <c r="F16" s="64"/>
      <c r="G16" s="116"/>
      <c r="H16" s="65"/>
    </row>
    <row r="17" spans="1:14" x14ac:dyDescent="0.2">
      <c r="A17" s="176" t="s">
        <v>333</v>
      </c>
      <c r="B17" s="64"/>
      <c r="C17" s="64"/>
      <c r="D17" s="64"/>
      <c r="E17" s="64"/>
      <c r="F17" s="64"/>
      <c r="G17" s="116"/>
      <c r="H17" s="65"/>
    </row>
    <row r="18" spans="1:14" x14ac:dyDescent="0.2">
      <c r="A18" s="176" t="s">
        <v>334</v>
      </c>
      <c r="B18" s="215"/>
      <c r="C18" s="215"/>
      <c r="D18" s="215"/>
      <c r="E18" s="215"/>
      <c r="F18" s="215"/>
      <c r="G18" s="216"/>
      <c r="H18" s="217"/>
    </row>
    <row r="19" spans="1:14" x14ac:dyDescent="0.2">
      <c r="A19" s="176" t="s">
        <v>335</v>
      </c>
      <c r="B19" s="64"/>
      <c r="C19" s="64"/>
      <c r="D19" s="64"/>
      <c r="E19" s="64"/>
      <c r="F19" s="64"/>
      <c r="G19" s="116"/>
      <c r="H19" s="65"/>
    </row>
    <row r="20" spans="1:14" x14ac:dyDescent="0.2">
      <c r="A20" s="176" t="s">
        <v>336</v>
      </c>
      <c r="B20" s="215"/>
      <c r="C20" s="215"/>
      <c r="D20" s="215"/>
      <c r="E20" s="215"/>
      <c r="F20" s="215"/>
      <c r="G20" s="216"/>
      <c r="H20" s="217"/>
    </row>
    <row r="21" spans="1:14" x14ac:dyDescent="0.2">
      <c r="A21" s="176" t="s">
        <v>337</v>
      </c>
      <c r="B21" s="64"/>
      <c r="C21" s="64"/>
      <c r="D21" s="64"/>
      <c r="E21" s="64"/>
      <c r="F21" s="64"/>
      <c r="G21" s="116"/>
      <c r="H21" s="65"/>
    </row>
    <row r="22" spans="1:14" x14ac:dyDescent="0.2">
      <c r="A22" s="176" t="s">
        <v>338</v>
      </c>
      <c r="B22" s="94"/>
      <c r="C22" s="94"/>
      <c r="D22" s="94"/>
      <c r="E22" s="94"/>
      <c r="F22" s="94"/>
      <c r="G22" s="214"/>
      <c r="H22" s="95"/>
    </row>
    <row r="23" spans="1:14" x14ac:dyDescent="0.2">
      <c r="A23" s="176"/>
      <c r="B23" s="88"/>
      <c r="C23" s="88"/>
      <c r="D23" s="88"/>
      <c r="E23" s="88"/>
      <c r="F23" s="88"/>
      <c r="G23" s="117"/>
      <c r="H23" s="89"/>
    </row>
    <row r="24" spans="1:14" x14ac:dyDescent="0.2">
      <c r="A24" s="184" t="s">
        <v>339</v>
      </c>
      <c r="B24" s="64"/>
      <c r="C24" s="64"/>
      <c r="D24" s="64"/>
      <c r="E24" s="64"/>
      <c r="F24" s="64"/>
      <c r="G24" s="116"/>
      <c r="H24" s="65"/>
    </row>
    <row r="25" spans="1:14" x14ac:dyDescent="0.2">
      <c r="A25" s="184" t="s">
        <v>340</v>
      </c>
      <c r="B25" s="64"/>
      <c r="C25" s="64"/>
      <c r="D25" s="64"/>
      <c r="E25" s="64"/>
      <c r="F25" s="64"/>
      <c r="G25" s="116"/>
      <c r="H25" s="65"/>
    </row>
    <row r="26" spans="1:14" x14ac:dyDescent="0.2">
      <c r="A26" s="184"/>
      <c r="B26" s="88"/>
      <c r="C26" s="88"/>
      <c r="D26" s="88"/>
      <c r="E26" s="88"/>
      <c r="F26" s="88"/>
      <c r="G26" s="117"/>
      <c r="H26" s="89"/>
    </row>
    <row r="27" spans="1:14" x14ac:dyDescent="0.2">
      <c r="A27" s="184" t="s">
        <v>341</v>
      </c>
      <c r="B27" s="96"/>
      <c r="C27" s="96"/>
      <c r="D27" s="96"/>
      <c r="E27" s="96"/>
      <c r="F27" s="96"/>
      <c r="G27" s="218"/>
      <c r="H27" s="97"/>
    </row>
    <row r="28" spans="1:14" x14ac:dyDescent="0.2">
      <c r="A28" s="192" t="s">
        <v>342</v>
      </c>
      <c r="B28" s="32"/>
      <c r="C28" s="32"/>
      <c r="D28" s="32"/>
      <c r="E28" s="32"/>
      <c r="F28" s="32"/>
      <c r="G28" s="219"/>
      <c r="H28" s="54"/>
      <c r="I28" s="176"/>
      <c r="J28" s="176"/>
      <c r="K28" s="176"/>
      <c r="L28" s="176"/>
      <c r="M28" s="176"/>
      <c r="N28" s="176"/>
    </row>
  </sheetData>
  <sheetProtection selectLockedCells="1" selectUnlockedCells="1"/>
  <pageMargins left="0.32013888888888886" right="0.75" top="0.6" bottom="0.24027777777777778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workbookViewId="0">
      <selection activeCell="E1" sqref="E1"/>
    </sheetView>
  </sheetViews>
  <sheetFormatPr baseColWidth="10" defaultRowHeight="12.75" x14ac:dyDescent="0.2"/>
  <cols>
    <col min="1" max="1" width="37.7109375" style="176" customWidth="1"/>
    <col min="2" max="7" width="14.85546875" style="176" customWidth="1"/>
    <col min="8" max="8" width="17.42578125" style="176" customWidth="1"/>
    <col min="9" max="16384" width="11.42578125" style="176"/>
  </cols>
  <sheetData>
    <row r="1" spans="1:7" x14ac:dyDescent="0.2">
      <c r="A1" s="1" t="s">
        <v>0</v>
      </c>
      <c r="B1"/>
      <c r="C1"/>
      <c r="D1"/>
      <c r="E1" s="2">
        <f>InfoInicial!E1</f>
        <v>4</v>
      </c>
    </row>
    <row r="3" spans="1:7" ht="15.75" x14ac:dyDescent="0.25">
      <c r="A3" s="206" t="s">
        <v>343</v>
      </c>
      <c r="B3" s="207"/>
      <c r="C3" s="207"/>
      <c r="D3" s="207"/>
      <c r="E3" s="207"/>
      <c r="F3" s="207"/>
      <c r="G3" s="209"/>
    </row>
    <row r="4" spans="1:7" x14ac:dyDescent="0.2">
      <c r="A4" s="220"/>
      <c r="B4" s="221" t="s">
        <v>47</v>
      </c>
      <c r="C4" s="221" t="s">
        <v>48</v>
      </c>
      <c r="D4" s="221" t="s">
        <v>89</v>
      </c>
      <c r="E4" s="221" t="s">
        <v>90</v>
      </c>
      <c r="F4" s="221" t="s">
        <v>91</v>
      </c>
      <c r="G4" s="222" t="s">
        <v>92</v>
      </c>
    </row>
    <row r="5" spans="1:7" x14ac:dyDescent="0.2">
      <c r="A5" s="223" t="s">
        <v>344</v>
      </c>
      <c r="B5" s="224"/>
      <c r="C5" s="224"/>
      <c r="D5" s="224"/>
      <c r="E5" s="224"/>
      <c r="F5" s="224"/>
      <c r="G5" s="225"/>
    </row>
    <row r="6" spans="1:7" x14ac:dyDescent="0.2">
      <c r="A6" s="190" t="s">
        <v>345</v>
      </c>
      <c r="B6" s="88"/>
      <c r="C6" s="88"/>
      <c r="D6" s="88"/>
      <c r="E6" s="88"/>
      <c r="F6" s="88"/>
      <c r="G6" s="89"/>
    </row>
    <row r="7" spans="1:7" x14ac:dyDescent="0.2">
      <c r="A7" s="210" t="s">
        <v>346</v>
      </c>
      <c r="B7" s="215"/>
      <c r="C7" s="215"/>
      <c r="D7" s="215"/>
      <c r="E7" s="215"/>
      <c r="F7" s="215"/>
      <c r="G7" s="217"/>
    </row>
    <row r="8" spans="1:7" x14ac:dyDescent="0.2">
      <c r="A8" s="210" t="s">
        <v>347</v>
      </c>
      <c r="B8" s="64"/>
      <c r="C8" s="64"/>
      <c r="D8" s="64"/>
      <c r="E8" s="64"/>
      <c r="F8" s="64"/>
      <c r="G8" s="65"/>
    </row>
    <row r="9" spans="1:7" x14ac:dyDescent="0.2">
      <c r="A9" s="190" t="s">
        <v>348</v>
      </c>
      <c r="B9" s="215"/>
      <c r="C9" s="215"/>
      <c r="D9" s="215"/>
      <c r="E9" s="215"/>
      <c r="F9" s="215"/>
      <c r="G9" s="217"/>
    </row>
    <row r="10" spans="1:7" x14ac:dyDescent="0.2">
      <c r="A10" s="190" t="s">
        <v>349</v>
      </c>
      <c r="B10" s="64"/>
      <c r="C10" s="64"/>
      <c r="D10" s="64"/>
      <c r="E10" s="64"/>
      <c r="F10" s="64"/>
      <c r="G10" s="65"/>
    </row>
    <row r="11" spans="1:7" x14ac:dyDescent="0.2">
      <c r="A11" s="190" t="s">
        <v>350</v>
      </c>
      <c r="B11" s="94"/>
      <c r="C11" s="94"/>
      <c r="D11" s="94"/>
      <c r="E11" s="94"/>
      <c r="F11" s="94"/>
      <c r="G11" s="95"/>
    </row>
    <row r="12" spans="1:7" x14ac:dyDescent="0.2">
      <c r="A12" s="190" t="s">
        <v>351</v>
      </c>
      <c r="B12" s="94"/>
      <c r="C12" s="94"/>
      <c r="D12" s="94"/>
      <c r="E12" s="94"/>
      <c r="F12" s="94"/>
      <c r="G12" s="95"/>
    </row>
    <row r="13" spans="1:7" x14ac:dyDescent="0.2">
      <c r="A13" s="190" t="s">
        <v>352</v>
      </c>
      <c r="B13" s="226"/>
      <c r="C13" s="226"/>
      <c r="D13" s="226"/>
      <c r="E13" s="226"/>
      <c r="F13" s="226"/>
      <c r="G13" s="227"/>
    </row>
    <row r="14" spans="1:7" x14ac:dyDescent="0.2">
      <c r="A14" s="210" t="s">
        <v>353</v>
      </c>
      <c r="B14" s="64"/>
      <c r="C14" s="64"/>
      <c r="D14" s="64"/>
      <c r="E14" s="64"/>
      <c r="F14" s="64"/>
      <c r="G14" s="65"/>
    </row>
    <row r="15" spans="1:7" x14ac:dyDescent="0.2">
      <c r="A15" s="210" t="s">
        <v>354</v>
      </c>
      <c r="B15" s="215"/>
      <c r="C15" s="215"/>
      <c r="D15" s="215"/>
      <c r="E15" s="215"/>
      <c r="F15" s="215"/>
      <c r="G15" s="217"/>
    </row>
    <row r="16" spans="1:7" x14ac:dyDescent="0.2">
      <c r="A16" s="210" t="s">
        <v>355</v>
      </c>
      <c r="B16" s="64"/>
      <c r="C16" s="64"/>
      <c r="D16" s="64"/>
      <c r="E16" s="64"/>
      <c r="F16" s="64"/>
      <c r="G16" s="65"/>
    </row>
    <row r="17" spans="1:7" x14ac:dyDescent="0.2">
      <c r="A17" s="210" t="s">
        <v>356</v>
      </c>
      <c r="B17" s="64"/>
      <c r="C17" s="64"/>
      <c r="D17" s="64"/>
      <c r="E17" s="64"/>
      <c r="F17" s="64"/>
      <c r="G17" s="65"/>
    </row>
    <row r="18" spans="1:7" x14ac:dyDescent="0.2">
      <c r="A18" s="190" t="s">
        <v>81</v>
      </c>
      <c r="B18" s="215"/>
      <c r="C18" s="215"/>
      <c r="D18" s="215"/>
      <c r="E18" s="215"/>
      <c r="F18" s="215"/>
      <c r="G18" s="217"/>
    </row>
    <row r="19" spans="1:7" x14ac:dyDescent="0.2">
      <c r="A19" s="210" t="s">
        <v>353</v>
      </c>
      <c r="B19" s="64"/>
      <c r="C19" s="64"/>
      <c r="D19" s="64"/>
      <c r="E19" s="64"/>
      <c r="F19" s="64"/>
      <c r="G19" s="65"/>
    </row>
    <row r="20" spans="1:7" x14ac:dyDescent="0.2">
      <c r="A20" s="210" t="s">
        <v>357</v>
      </c>
      <c r="B20" s="64"/>
      <c r="C20" s="64"/>
      <c r="D20" s="64"/>
      <c r="E20" s="64"/>
      <c r="F20" s="64"/>
      <c r="G20" s="65"/>
    </row>
    <row r="21" spans="1:7" x14ac:dyDescent="0.2">
      <c r="A21" s="210" t="s">
        <v>358</v>
      </c>
      <c r="B21" s="64"/>
      <c r="C21" s="64"/>
      <c r="D21" s="64"/>
      <c r="E21" s="64"/>
      <c r="F21" s="64"/>
      <c r="G21" s="65"/>
    </row>
    <row r="22" spans="1:7" x14ac:dyDescent="0.2">
      <c r="A22" s="210" t="s">
        <v>356</v>
      </c>
      <c r="B22" s="215"/>
      <c r="C22" s="215"/>
      <c r="D22" s="215"/>
      <c r="E22" s="215"/>
      <c r="F22" s="215"/>
      <c r="G22" s="217"/>
    </row>
    <row r="23" spans="1:7" x14ac:dyDescent="0.2">
      <c r="A23" s="190" t="s">
        <v>359</v>
      </c>
      <c r="B23" s="215"/>
      <c r="C23" s="215"/>
      <c r="D23" s="215"/>
      <c r="E23" s="215"/>
      <c r="F23" s="215"/>
      <c r="G23" s="217"/>
    </row>
    <row r="24" spans="1:7" x14ac:dyDescent="0.2">
      <c r="A24" s="190" t="s">
        <v>360</v>
      </c>
      <c r="B24" s="215"/>
      <c r="C24" s="215"/>
      <c r="D24" s="215"/>
      <c r="E24" s="215"/>
      <c r="F24" s="215"/>
      <c r="G24" s="217"/>
    </row>
    <row r="25" spans="1:7" x14ac:dyDescent="0.2">
      <c r="A25" s="190" t="s">
        <v>361</v>
      </c>
      <c r="B25" s="215"/>
      <c r="C25" s="215"/>
      <c r="D25" s="215"/>
      <c r="E25" s="215"/>
      <c r="F25" s="215"/>
      <c r="G25" s="217"/>
    </row>
    <row r="26" spans="1:7" x14ac:dyDescent="0.2">
      <c r="A26" s="190" t="s">
        <v>362</v>
      </c>
      <c r="B26" s="215"/>
      <c r="C26" s="215"/>
      <c r="D26" s="215"/>
      <c r="E26" s="215"/>
      <c r="F26" s="215"/>
      <c r="G26" s="217"/>
    </row>
    <row r="27" spans="1:7" x14ac:dyDescent="0.2">
      <c r="A27" s="190" t="s">
        <v>363</v>
      </c>
      <c r="B27" s="64"/>
      <c r="C27" s="64"/>
      <c r="D27" s="64"/>
      <c r="E27" s="64"/>
      <c r="F27" s="64"/>
      <c r="G27" s="65"/>
    </row>
    <row r="28" spans="1:7" x14ac:dyDescent="0.2">
      <c r="A28" s="190" t="s">
        <v>364</v>
      </c>
      <c r="B28" s="64"/>
      <c r="C28" s="64"/>
      <c r="D28" s="64"/>
      <c r="E28" s="64"/>
      <c r="F28" s="64"/>
      <c r="G28" s="65"/>
    </row>
    <row r="29" spans="1:7" x14ac:dyDescent="0.2">
      <c r="A29" s="190" t="s">
        <v>363</v>
      </c>
      <c r="B29" s="215"/>
      <c r="C29" s="215"/>
      <c r="D29" s="215"/>
      <c r="E29" s="215"/>
      <c r="F29" s="215"/>
      <c r="G29" s="217"/>
    </row>
    <row r="30" spans="1:7" x14ac:dyDescent="0.2">
      <c r="A30" s="190" t="s">
        <v>365</v>
      </c>
      <c r="B30" s="64"/>
      <c r="C30" s="64"/>
      <c r="D30" s="64"/>
      <c r="E30" s="64"/>
      <c r="F30" s="64"/>
      <c r="G30" s="65"/>
    </row>
    <row r="31" spans="1:7" x14ac:dyDescent="0.2">
      <c r="A31" s="190" t="s">
        <v>366</v>
      </c>
      <c r="B31" s="64"/>
      <c r="C31" s="64"/>
      <c r="D31" s="64"/>
      <c r="E31" s="64"/>
      <c r="F31" s="64"/>
      <c r="G31" s="65"/>
    </row>
    <row r="32" spans="1:7" x14ac:dyDescent="0.2">
      <c r="A32" s="190" t="s">
        <v>367</v>
      </c>
      <c r="B32" s="64"/>
      <c r="C32" s="64"/>
      <c r="D32" s="64"/>
      <c r="E32" s="64"/>
      <c r="F32" s="64"/>
      <c r="G32" s="65"/>
    </row>
    <row r="33" spans="1:7" x14ac:dyDescent="0.2">
      <c r="A33" s="190" t="s">
        <v>368</v>
      </c>
      <c r="B33" s="215"/>
      <c r="C33" s="215"/>
      <c r="D33" s="215"/>
      <c r="E33" s="215"/>
      <c r="F33" s="215"/>
      <c r="G33" s="217"/>
    </row>
    <row r="34" spans="1:7" x14ac:dyDescent="0.2">
      <c r="A34" s="190" t="s">
        <v>369</v>
      </c>
      <c r="B34" s="64"/>
      <c r="C34" s="64"/>
      <c r="D34" s="64"/>
      <c r="E34" s="64"/>
      <c r="F34" s="64"/>
      <c r="G34" s="65"/>
    </row>
    <row r="35" spans="1:7" x14ac:dyDescent="0.2">
      <c r="A35" s="192" t="s">
        <v>370</v>
      </c>
      <c r="B35" s="32"/>
      <c r="C35" s="32"/>
      <c r="D35" s="32"/>
      <c r="E35" s="32"/>
      <c r="F35" s="32"/>
      <c r="G35" s="54"/>
    </row>
  </sheetData>
  <sheetProtection selectLockedCells="1" selectUnlockedCells="1"/>
  <pageMargins left="0.32013888888888886" right="0.75" top="0.6" bottom="0.24027777777777778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workbookViewId="0">
      <selection activeCell="G1" sqref="G1"/>
    </sheetView>
  </sheetViews>
  <sheetFormatPr baseColWidth="10" defaultRowHeight="12.75" x14ac:dyDescent="0.2"/>
  <cols>
    <col min="1" max="1" width="8" style="176" customWidth="1"/>
    <col min="2" max="14" width="14.85546875" style="176" customWidth="1"/>
    <col min="15" max="15" width="17.42578125" style="176" customWidth="1"/>
    <col min="16" max="16384" width="11.42578125" style="176"/>
  </cols>
  <sheetData>
    <row r="1" spans="1:14" x14ac:dyDescent="0.2">
      <c r="A1" s="1" t="s">
        <v>0</v>
      </c>
      <c r="B1"/>
      <c r="C1"/>
      <c r="D1"/>
      <c r="G1" s="2">
        <f>InfoInicial!E1</f>
        <v>4</v>
      </c>
    </row>
    <row r="3" spans="1:14" ht="15.75" x14ac:dyDescent="0.25">
      <c r="A3" s="177" t="s">
        <v>371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9"/>
    </row>
    <row r="4" spans="1:14" ht="25.5" x14ac:dyDescent="0.2">
      <c r="A4" s="197" t="s">
        <v>231</v>
      </c>
      <c r="B4" s="198" t="s">
        <v>331</v>
      </c>
      <c r="C4" s="198" t="s">
        <v>372</v>
      </c>
      <c r="D4" s="198" t="s">
        <v>234</v>
      </c>
      <c r="E4" s="198" t="s">
        <v>3</v>
      </c>
      <c r="F4" s="198" t="s">
        <v>235</v>
      </c>
      <c r="G4" s="198" t="s">
        <v>236</v>
      </c>
      <c r="H4" s="198" t="s">
        <v>373</v>
      </c>
      <c r="I4" s="198" t="s">
        <v>374</v>
      </c>
      <c r="J4" s="198" t="s">
        <v>96</v>
      </c>
      <c r="K4" s="198" t="s">
        <v>238</v>
      </c>
      <c r="L4" s="198" t="s">
        <v>239</v>
      </c>
      <c r="M4" s="228" t="s">
        <v>240</v>
      </c>
      <c r="N4" s="229" t="s">
        <v>241</v>
      </c>
    </row>
    <row r="5" spans="1:14" x14ac:dyDescent="0.2">
      <c r="A5" s="230">
        <v>0</v>
      </c>
      <c r="B5" s="136"/>
      <c r="C5" s="62"/>
      <c r="D5" s="62"/>
      <c r="E5" s="62"/>
      <c r="F5" s="62"/>
      <c r="G5" s="62"/>
      <c r="H5" s="62"/>
      <c r="I5" s="62"/>
      <c r="J5" s="62"/>
      <c r="K5" s="62"/>
      <c r="L5" s="62"/>
      <c r="M5" s="137"/>
      <c r="N5" s="63"/>
    </row>
    <row r="6" spans="1:14" x14ac:dyDescent="0.2">
      <c r="A6" s="231">
        <v>1</v>
      </c>
      <c r="B6" s="127"/>
      <c r="C6" s="64"/>
      <c r="D6" s="64"/>
      <c r="E6" s="64"/>
      <c r="F6" s="64"/>
      <c r="G6" s="64"/>
      <c r="H6" s="64"/>
      <c r="I6" s="64"/>
      <c r="J6" s="64"/>
      <c r="K6" s="64"/>
      <c r="L6" s="64"/>
      <c r="M6" s="116"/>
      <c r="N6" s="65"/>
    </row>
    <row r="7" spans="1:14" x14ac:dyDescent="0.2">
      <c r="A7" s="231">
        <v>2</v>
      </c>
      <c r="B7" s="127"/>
      <c r="C7" s="64"/>
      <c r="D7" s="64"/>
      <c r="E7" s="64"/>
      <c r="F7" s="64"/>
      <c r="G7" s="64"/>
      <c r="H7" s="64"/>
      <c r="I7" s="64"/>
      <c r="J7" s="64"/>
      <c r="K7" s="64"/>
      <c r="L7" s="64"/>
      <c r="M7" s="116"/>
      <c r="N7" s="65"/>
    </row>
    <row r="8" spans="1:14" x14ac:dyDescent="0.2">
      <c r="A8" s="231">
        <v>3</v>
      </c>
      <c r="B8" s="127"/>
      <c r="C8" s="64"/>
      <c r="D8" s="64"/>
      <c r="E8" s="64"/>
      <c r="F8" s="64"/>
      <c r="G8" s="64"/>
      <c r="H8" s="64"/>
      <c r="I8" s="64"/>
      <c r="J8" s="64"/>
      <c r="K8" s="64"/>
      <c r="L8" s="64"/>
      <c r="M8" s="116"/>
      <c r="N8" s="65"/>
    </row>
    <row r="9" spans="1:14" x14ac:dyDescent="0.2">
      <c r="A9" s="231">
        <v>4</v>
      </c>
      <c r="B9" s="127"/>
      <c r="C9" s="64"/>
      <c r="D9" s="64"/>
      <c r="E9" s="64"/>
      <c r="F9" s="64"/>
      <c r="G9" s="64"/>
      <c r="H9" s="64"/>
      <c r="I9" s="64"/>
      <c r="J9" s="64"/>
      <c r="K9" s="64"/>
      <c r="L9" s="64"/>
      <c r="M9" s="116"/>
      <c r="N9" s="65"/>
    </row>
    <row r="10" spans="1:14" x14ac:dyDescent="0.2">
      <c r="A10" s="231">
        <v>5</v>
      </c>
      <c r="B10" s="127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116"/>
      <c r="N10" s="65"/>
    </row>
    <row r="11" spans="1:14" x14ac:dyDescent="0.2">
      <c r="A11" s="231"/>
      <c r="B11" s="129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117"/>
      <c r="N11" s="89"/>
    </row>
    <row r="12" spans="1:14" x14ac:dyDescent="0.2">
      <c r="A12" s="232" t="s">
        <v>242</v>
      </c>
      <c r="B12" s="132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118"/>
      <c r="N12" s="71"/>
    </row>
    <row r="14" spans="1:14" x14ac:dyDescent="0.2">
      <c r="C14" s="233" t="s">
        <v>243</v>
      </c>
      <c r="D14" s="141"/>
    </row>
    <row r="15" spans="1:14" x14ac:dyDescent="0.2">
      <c r="A15" s="184"/>
      <c r="C15" s="233" t="s">
        <v>244</v>
      </c>
      <c r="D15" s="142"/>
      <c r="E15" s="176" t="s">
        <v>245</v>
      </c>
    </row>
    <row r="16" spans="1:14" x14ac:dyDescent="0.2">
      <c r="C16" s="233" t="s">
        <v>375</v>
      </c>
      <c r="D16" s="143"/>
    </row>
    <row r="17" spans="1:15" x14ac:dyDescent="0.2">
      <c r="A17" s="234"/>
      <c r="B17" s="235"/>
      <c r="C17" s="235"/>
      <c r="D17" s="235"/>
      <c r="E17" s="236"/>
      <c r="F17" s="237"/>
      <c r="G17" s="237"/>
      <c r="H17" s="237"/>
      <c r="I17" s="237"/>
      <c r="J17" s="235"/>
      <c r="K17" s="237"/>
      <c r="L17" s="237"/>
      <c r="M17" s="237"/>
      <c r="N17" s="237"/>
      <c r="O17" s="235"/>
    </row>
    <row r="18" spans="1:15" ht="15.75" x14ac:dyDescent="0.25">
      <c r="A18" s="238"/>
      <c r="B18" s="237"/>
      <c r="C18" s="239"/>
      <c r="D18" s="237"/>
      <c r="E18" s="240"/>
      <c r="F18" s="237"/>
      <c r="G18" s="237"/>
      <c r="H18" s="237"/>
      <c r="I18" s="237"/>
      <c r="J18" s="237"/>
      <c r="K18" s="237"/>
      <c r="L18" s="237"/>
      <c r="M18" s="237"/>
      <c r="N18" s="237"/>
    </row>
    <row r="20" spans="1:15" x14ac:dyDescent="0.2">
      <c r="A20" s="241"/>
    </row>
    <row r="21" spans="1:15" ht="15.75" x14ac:dyDescent="0.25">
      <c r="A21" s="177" t="s">
        <v>376</v>
      </c>
      <c r="B21" s="178"/>
      <c r="C21" s="178"/>
      <c r="D21" s="178"/>
      <c r="E21" s="178"/>
      <c r="F21" s="178"/>
      <c r="G21" s="178"/>
      <c r="H21" s="179"/>
    </row>
    <row r="22" spans="1:15" ht="38.25" x14ac:dyDescent="0.2">
      <c r="A22" s="197" t="s">
        <v>231</v>
      </c>
      <c r="B22" s="198" t="s">
        <v>377</v>
      </c>
      <c r="C22" s="198" t="s">
        <v>236</v>
      </c>
      <c r="D22" s="198" t="s">
        <v>336</v>
      </c>
      <c r="E22" s="198" t="s">
        <v>378</v>
      </c>
      <c r="F22" s="198" t="s">
        <v>239</v>
      </c>
      <c r="G22" s="228" t="s">
        <v>240</v>
      </c>
      <c r="H22" s="229" t="s">
        <v>241</v>
      </c>
    </row>
    <row r="23" spans="1:15" x14ac:dyDescent="0.2">
      <c r="A23" s="230">
        <v>0</v>
      </c>
      <c r="B23" s="136"/>
      <c r="C23" s="62"/>
      <c r="D23" s="62"/>
      <c r="E23" s="62"/>
      <c r="F23" s="62"/>
      <c r="G23" s="137"/>
      <c r="H23" s="63"/>
    </row>
    <row r="24" spans="1:15" x14ac:dyDescent="0.2">
      <c r="A24" s="231">
        <v>1</v>
      </c>
      <c r="B24" s="127"/>
      <c r="C24" s="64"/>
      <c r="D24" s="64"/>
      <c r="E24" s="64"/>
      <c r="F24" s="64"/>
      <c r="G24" s="116"/>
      <c r="H24" s="65"/>
    </row>
    <row r="25" spans="1:15" x14ac:dyDescent="0.2">
      <c r="A25" s="231">
        <v>2</v>
      </c>
      <c r="B25" s="127"/>
      <c r="C25" s="64"/>
      <c r="D25" s="64"/>
      <c r="E25" s="64"/>
      <c r="F25" s="64"/>
      <c r="G25" s="116"/>
      <c r="H25" s="65"/>
    </row>
    <row r="26" spans="1:15" x14ac:dyDescent="0.2">
      <c r="A26" s="231">
        <v>3</v>
      </c>
      <c r="B26" s="127"/>
      <c r="C26" s="64"/>
      <c r="D26" s="64"/>
      <c r="E26" s="64"/>
      <c r="F26" s="64"/>
      <c r="G26" s="116"/>
      <c r="H26" s="65"/>
    </row>
    <row r="27" spans="1:15" x14ac:dyDescent="0.2">
      <c r="A27" s="231">
        <v>4</v>
      </c>
      <c r="B27" s="127"/>
      <c r="C27" s="64"/>
      <c r="D27" s="64"/>
      <c r="E27" s="64"/>
      <c r="F27" s="64"/>
      <c r="G27" s="116"/>
      <c r="H27" s="65"/>
    </row>
    <row r="28" spans="1:15" x14ac:dyDescent="0.2">
      <c r="A28" s="231">
        <v>5</v>
      </c>
      <c r="B28" s="127"/>
      <c r="C28" s="64"/>
      <c r="D28" s="64"/>
      <c r="E28" s="64"/>
      <c r="F28" s="64"/>
      <c r="G28" s="116"/>
      <c r="H28" s="65"/>
    </row>
    <row r="29" spans="1:15" x14ac:dyDescent="0.2">
      <c r="A29" s="231"/>
      <c r="B29" s="129"/>
      <c r="C29" s="88"/>
      <c r="D29" s="88"/>
      <c r="E29" s="88"/>
      <c r="F29" s="88"/>
      <c r="G29" s="117"/>
      <c r="H29" s="89"/>
    </row>
    <row r="30" spans="1:15" x14ac:dyDescent="0.2">
      <c r="A30" s="232" t="s">
        <v>242</v>
      </c>
      <c r="B30" s="132"/>
      <c r="C30" s="70"/>
      <c r="D30" s="70"/>
      <c r="E30" s="70"/>
      <c r="F30" s="70"/>
      <c r="G30" s="118"/>
      <c r="H30" s="71"/>
    </row>
    <row r="33" spans="3:5" x14ac:dyDescent="0.2">
      <c r="C33" s="233" t="s">
        <v>243</v>
      </c>
      <c r="D33" s="141"/>
      <c r="E33" s="176" t="s">
        <v>379</v>
      </c>
    </row>
    <row r="34" spans="3:5" x14ac:dyDescent="0.2">
      <c r="C34" s="233" t="s">
        <v>244</v>
      </c>
      <c r="D34" s="142"/>
      <c r="E34" s="176" t="s">
        <v>380</v>
      </c>
    </row>
    <row r="35" spans="3:5" x14ac:dyDescent="0.2">
      <c r="C35" s="233" t="s">
        <v>381</v>
      </c>
      <c r="D35" s="143"/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"/>
  <sheetViews>
    <sheetView workbookViewId="0">
      <selection activeCell="B30" sqref="B30"/>
    </sheetView>
  </sheetViews>
  <sheetFormatPr baseColWidth="10" defaultRowHeight="12.75" x14ac:dyDescent="0.2"/>
  <cols>
    <col min="1" max="1" width="45.42578125" style="16" customWidth="1"/>
    <col min="2" max="7" width="14.85546875" style="16" customWidth="1"/>
    <col min="8" max="16384" width="11.42578125" style="16"/>
  </cols>
  <sheetData>
    <row r="1" spans="1:5" x14ac:dyDescent="0.2">
      <c r="A1" s="1" t="s">
        <v>43</v>
      </c>
      <c r="B1"/>
      <c r="C1"/>
      <c r="D1"/>
      <c r="E1" s="2">
        <f>InfoInicial!E1</f>
        <v>4</v>
      </c>
    </row>
    <row r="3" spans="1:5" ht="15.75" x14ac:dyDescent="0.25">
      <c r="A3" s="17" t="s">
        <v>44</v>
      </c>
      <c r="B3" s="276" t="s">
        <v>45</v>
      </c>
      <c r="C3" s="276"/>
      <c r="D3" s="277" t="s">
        <v>46</v>
      </c>
      <c r="E3" s="277"/>
    </row>
    <row r="4" spans="1:5" ht="15.75" x14ac:dyDescent="0.25">
      <c r="A4" s="20"/>
      <c r="B4" s="21" t="s">
        <v>47</v>
      </c>
      <c r="C4" s="21" t="s">
        <v>48</v>
      </c>
      <c r="D4" s="21" t="s">
        <v>47</v>
      </c>
      <c r="E4" s="22" t="s">
        <v>48</v>
      </c>
    </row>
    <row r="5" spans="1:5" x14ac:dyDescent="0.2">
      <c r="A5" s="23"/>
      <c r="B5" s="24"/>
      <c r="C5" s="24"/>
      <c r="D5" s="24"/>
      <c r="E5" s="24"/>
    </row>
    <row r="6" spans="1:5" x14ac:dyDescent="0.2">
      <c r="A6" s="25" t="s">
        <v>49</v>
      </c>
      <c r="B6" s="26"/>
      <c r="C6" s="26"/>
      <c r="D6" s="26"/>
      <c r="E6" s="26"/>
    </row>
    <row r="7" spans="1:5" x14ac:dyDescent="0.2">
      <c r="A7" s="27" t="s">
        <v>50</v>
      </c>
      <c r="B7" s="28">
        <f>'Detalle Inv AF'!B6</f>
        <v>3197700</v>
      </c>
      <c r="C7" s="28"/>
      <c r="D7" s="28"/>
      <c r="E7" s="28"/>
    </row>
    <row r="8" spans="1:5" x14ac:dyDescent="0.2">
      <c r="A8" s="27" t="s">
        <v>51</v>
      </c>
      <c r="B8" s="28">
        <f>'Detalle Inv AF'!B12</f>
        <v>1884960</v>
      </c>
      <c r="C8" s="28"/>
      <c r="D8" s="28"/>
      <c r="E8" s="28"/>
    </row>
    <row r="9" spans="1:5" x14ac:dyDescent="0.2">
      <c r="A9" s="27" t="s">
        <v>52</v>
      </c>
      <c r="B9" s="28">
        <f>'Detalle Inv AF'!B18</f>
        <v>471240</v>
      </c>
      <c r="C9" s="28"/>
      <c r="D9" s="28"/>
      <c r="E9" s="28"/>
    </row>
    <row r="10" spans="1:5" x14ac:dyDescent="0.2">
      <c r="A10" s="27" t="s">
        <v>53</v>
      </c>
      <c r="B10" s="28"/>
      <c r="C10" s="28"/>
      <c r="D10" s="28"/>
      <c r="E10" s="28"/>
    </row>
    <row r="11" spans="1:5" x14ac:dyDescent="0.2">
      <c r="A11" s="27" t="s">
        <v>54</v>
      </c>
      <c r="C11" s="28"/>
      <c r="D11" s="28">
        <f>'Detalle Inv AF'!B26</f>
        <v>525000</v>
      </c>
      <c r="E11" s="28"/>
    </row>
    <row r="12" spans="1:5" x14ac:dyDescent="0.2">
      <c r="A12" s="27" t="s">
        <v>55</v>
      </c>
      <c r="B12" s="28">
        <f>SUM('Detalle Inv AF'!B22:B25)</f>
        <v>318000</v>
      </c>
      <c r="C12" s="28"/>
      <c r="D12" s="28"/>
      <c r="E12" s="28"/>
    </row>
    <row r="13" spans="1:5" x14ac:dyDescent="0.2">
      <c r="A13" s="29" t="s">
        <v>56</v>
      </c>
      <c r="B13" s="28">
        <f>100000</f>
        <v>100000</v>
      </c>
      <c r="C13" s="28"/>
      <c r="E13" s="28"/>
    </row>
    <row r="14" spans="1:5" x14ac:dyDescent="0.2">
      <c r="A14" s="27" t="s">
        <v>57</v>
      </c>
      <c r="B14" s="28">
        <f>'Detalle Inv AF'!B27</f>
        <v>25000</v>
      </c>
      <c r="C14" s="28"/>
      <c r="D14" s="28"/>
      <c r="E14" s="28"/>
    </row>
    <row r="15" spans="1:5" x14ac:dyDescent="0.2">
      <c r="A15" s="27" t="s">
        <v>58</v>
      </c>
      <c r="B15" s="28">
        <f>'Detalle Inv AF'!B29</f>
        <v>400000</v>
      </c>
      <c r="C15" s="28"/>
      <c r="D15" s="28"/>
      <c r="E15" s="28"/>
    </row>
    <row r="16" spans="1:5" x14ac:dyDescent="0.2">
      <c r="A16" s="27" t="s">
        <v>59</v>
      </c>
      <c r="B16" s="28">
        <f>'Detalle Inv AF'!B31</f>
        <v>65000</v>
      </c>
      <c r="C16" s="28"/>
      <c r="D16" s="28"/>
      <c r="E16" s="28"/>
    </row>
    <row r="17" spans="1:10" x14ac:dyDescent="0.2">
      <c r="A17" s="27" t="s">
        <v>60</v>
      </c>
      <c r="B17" s="28">
        <v>0</v>
      </c>
      <c r="C17" s="28"/>
      <c r="D17" s="28"/>
      <c r="E17" s="28"/>
    </row>
    <row r="18" spans="1:10" x14ac:dyDescent="0.2">
      <c r="A18" s="27" t="s">
        <v>15</v>
      </c>
      <c r="B18" s="28">
        <f>InfoInicial!B15*(SUM(B7:B17)+D11)</f>
        <v>698690</v>
      </c>
      <c r="C18" s="28"/>
      <c r="D18" s="28"/>
      <c r="E18" s="28"/>
    </row>
    <row r="19" spans="1:10" x14ac:dyDescent="0.2">
      <c r="A19" s="27"/>
      <c r="B19" s="28"/>
      <c r="C19" s="28"/>
      <c r="D19" s="28"/>
      <c r="E19" s="28"/>
    </row>
    <row r="20" spans="1:10" x14ac:dyDescent="0.2">
      <c r="A20" s="25" t="s">
        <v>61</v>
      </c>
      <c r="B20" s="28">
        <f>SUM(B7:B18)+D11</f>
        <v>7685590</v>
      </c>
      <c r="C20" s="28"/>
      <c r="D20" s="28"/>
      <c r="E20" s="28"/>
    </row>
    <row r="21" spans="1:10" x14ac:dyDescent="0.2">
      <c r="A21" s="27"/>
      <c r="B21" s="30"/>
      <c r="C21" s="30"/>
      <c r="D21" s="30"/>
      <c r="E21" s="30"/>
    </row>
    <row r="22" spans="1:10" x14ac:dyDescent="0.2">
      <c r="A22" s="25" t="s">
        <v>62</v>
      </c>
      <c r="B22" s="30"/>
      <c r="C22" s="30"/>
      <c r="D22" s="30"/>
      <c r="E22" s="30"/>
    </row>
    <row r="23" spans="1:10" x14ac:dyDescent="0.2">
      <c r="A23" s="27" t="s">
        <v>63</v>
      </c>
      <c r="B23" s="28">
        <f>'Detalle Inv AF'!B41</f>
        <v>42990</v>
      </c>
      <c r="C23" s="28"/>
      <c r="D23" s="28"/>
      <c r="E23" s="28"/>
    </row>
    <row r="24" spans="1:10" x14ac:dyDescent="0.2">
      <c r="A24" s="27" t="s">
        <v>64</v>
      </c>
      <c r="B24" s="28">
        <v>100000</v>
      </c>
      <c r="C24" s="28"/>
      <c r="D24" s="28"/>
      <c r="E24" s="28"/>
    </row>
    <row r="25" spans="1:10" x14ac:dyDescent="0.2">
      <c r="A25" s="27" t="s">
        <v>65</v>
      </c>
      <c r="B25" s="28">
        <f>'Detalle Inv AF'!F4</f>
        <v>282744</v>
      </c>
      <c r="C25" s="28"/>
      <c r="D25" s="28"/>
      <c r="E25" s="28"/>
    </row>
    <row r="26" spans="1:10" x14ac:dyDescent="0.2">
      <c r="A26" s="29" t="s">
        <v>66</v>
      </c>
      <c r="B26" s="28"/>
      <c r="C26" s="28">
        <f>'Detalle Inv AF'!F20</f>
        <v>6590.6295652173931</v>
      </c>
      <c r="D26" s="28"/>
      <c r="E26" s="28"/>
      <c r="J26" s="248"/>
    </row>
    <row r="27" spans="1:10" x14ac:dyDescent="0.2">
      <c r="A27" s="29" t="s">
        <v>67</v>
      </c>
      <c r="B27" s="28">
        <v>0</v>
      </c>
      <c r="C27" s="28"/>
      <c r="D27" s="28"/>
      <c r="E27" s="28"/>
    </row>
    <row r="28" spans="1:10" x14ac:dyDescent="0.2">
      <c r="A28" s="29" t="s">
        <v>68</v>
      </c>
      <c r="B28" s="28">
        <v>0</v>
      </c>
      <c r="C28" s="28"/>
      <c r="D28" s="28"/>
      <c r="E28" s="28"/>
    </row>
    <row r="29" spans="1:10" x14ac:dyDescent="0.2">
      <c r="A29" s="27" t="s">
        <v>15</v>
      </c>
      <c r="B29" s="28">
        <f>SUM('E-Inv AF y Am'!B23:B25,'E-Inv AF y Am'!C26)*InfoInicial!B15</f>
        <v>43232.462956521747</v>
      </c>
      <c r="C29" s="28"/>
      <c r="D29" s="28"/>
      <c r="E29" s="28"/>
    </row>
    <row r="30" spans="1:10" x14ac:dyDescent="0.2">
      <c r="A30" s="27"/>
      <c r="B30" s="28"/>
      <c r="C30" s="28"/>
      <c r="D30" s="28"/>
      <c r="E30" s="28"/>
    </row>
    <row r="31" spans="1:10" x14ac:dyDescent="0.2">
      <c r="A31" s="25" t="s">
        <v>69</v>
      </c>
      <c r="B31" s="28">
        <f>SUM(B23:B29)</f>
        <v>468966.46295652178</v>
      </c>
      <c r="C31" s="28">
        <f>C26</f>
        <v>6590.6295652173931</v>
      </c>
      <c r="D31" s="28"/>
      <c r="E31" s="28"/>
    </row>
    <row r="32" spans="1:10" x14ac:dyDescent="0.2">
      <c r="A32" s="27"/>
      <c r="B32" s="30"/>
      <c r="C32" s="30"/>
      <c r="D32" s="30"/>
      <c r="E32" s="30"/>
    </row>
    <row r="33" spans="1:7" x14ac:dyDescent="0.2">
      <c r="A33" s="25" t="s">
        <v>70</v>
      </c>
      <c r="B33" s="28">
        <f>B31+B20</f>
        <v>8154556.4629565217</v>
      </c>
      <c r="C33" s="28">
        <f>C26</f>
        <v>6590.6295652173931</v>
      </c>
      <c r="D33" s="28"/>
      <c r="E33" s="28"/>
    </row>
    <row r="34" spans="1:7" x14ac:dyDescent="0.2">
      <c r="A34" s="25" t="s">
        <v>71</v>
      </c>
      <c r="B34" s="28">
        <f>B33*InfoInicial!B3</f>
        <v>1712456.8572208695</v>
      </c>
      <c r="C34" s="28">
        <f>C33*InfoInicial!B3</f>
        <v>1384.0322086956526</v>
      </c>
      <c r="D34" s="28"/>
      <c r="E34" s="28"/>
    </row>
    <row r="35" spans="1:7" x14ac:dyDescent="0.2">
      <c r="A35" s="27"/>
      <c r="B35" s="30"/>
      <c r="C35" s="30"/>
      <c r="D35" s="30"/>
      <c r="E35" s="30"/>
    </row>
    <row r="36" spans="1:7" x14ac:dyDescent="0.2">
      <c r="A36" s="31" t="s">
        <v>72</v>
      </c>
      <c r="B36" s="32">
        <f>B33+B34</f>
        <v>9867013.3201773912</v>
      </c>
      <c r="C36" s="32">
        <f>C33+C34</f>
        <v>7974.6617739130452</v>
      </c>
      <c r="D36" s="32"/>
      <c r="E36" s="32"/>
    </row>
    <row r="39" spans="1:7" x14ac:dyDescent="0.2">
      <c r="A39" s="33" t="s">
        <v>73</v>
      </c>
      <c r="B39" s="18" t="s">
        <v>74</v>
      </c>
      <c r="C39" s="18" t="s">
        <v>75</v>
      </c>
      <c r="D39" s="276" t="s">
        <v>76</v>
      </c>
      <c r="E39" s="276"/>
      <c r="F39" s="276"/>
      <c r="G39" s="34" t="s">
        <v>77</v>
      </c>
    </row>
    <row r="40" spans="1:7" x14ac:dyDescent="0.2">
      <c r="A40" s="35"/>
      <c r="B40" s="21" t="s">
        <v>78</v>
      </c>
      <c r="C40" s="21"/>
      <c r="D40" s="21" t="s">
        <v>79</v>
      </c>
      <c r="E40" s="21" t="s">
        <v>80</v>
      </c>
      <c r="F40" s="21"/>
      <c r="G40" s="36"/>
    </row>
    <row r="41" spans="1:7" x14ac:dyDescent="0.2">
      <c r="A41" s="37" t="s">
        <v>81</v>
      </c>
      <c r="B41" s="38"/>
      <c r="C41" s="38"/>
      <c r="D41" s="38"/>
      <c r="E41" s="38"/>
      <c r="F41" s="39"/>
      <c r="G41" s="40"/>
    </row>
    <row r="42" spans="1:7" x14ac:dyDescent="0.2">
      <c r="A42" s="41"/>
      <c r="B42" s="42"/>
      <c r="C42" s="42"/>
      <c r="D42" s="42"/>
      <c r="E42" s="42"/>
      <c r="F42" s="43"/>
      <c r="G42" s="44"/>
    </row>
    <row r="43" spans="1:7" x14ac:dyDescent="0.2">
      <c r="A43" s="27" t="s">
        <v>50</v>
      </c>
      <c r="B43" s="28">
        <f>B7</f>
        <v>3197700</v>
      </c>
      <c r="C43" s="28"/>
      <c r="D43" s="28"/>
      <c r="E43" s="28"/>
      <c r="F43" s="28"/>
      <c r="G43" s="45">
        <f>B43</f>
        <v>3197700</v>
      </c>
    </row>
    <row r="44" spans="1:7" x14ac:dyDescent="0.2">
      <c r="A44" s="27" t="s">
        <v>51</v>
      </c>
      <c r="B44" s="28">
        <f>B8</f>
        <v>1884960</v>
      </c>
      <c r="C44" s="249">
        <f>1/InfoInicial!B8</f>
        <v>3.3333333333333333E-2</v>
      </c>
      <c r="D44" s="28">
        <f>B44*C44</f>
        <v>62832</v>
      </c>
      <c r="E44" s="28">
        <f>C44*B44</f>
        <v>62832</v>
      </c>
      <c r="F44" s="28"/>
      <c r="G44" s="45">
        <f>B44-(3*D44+2*E44)</f>
        <v>1570800</v>
      </c>
    </row>
    <row r="45" spans="1:7" x14ac:dyDescent="0.2">
      <c r="A45" s="27" t="s">
        <v>52</v>
      </c>
      <c r="B45" s="28">
        <f>B9</f>
        <v>471240</v>
      </c>
      <c r="C45" s="249">
        <f>1/InfoInicial!B9</f>
        <v>0.1</v>
      </c>
      <c r="D45" s="28">
        <f t="shared" ref="D45:D50" si="0">B45*C45</f>
        <v>47124</v>
      </c>
      <c r="E45" s="28">
        <f t="shared" ref="E45:E49" si="1">C45*B45</f>
        <v>47124</v>
      </c>
      <c r="F45" s="28"/>
      <c r="G45" s="45">
        <f t="shared" ref="G45:G49" si="2">B45-3*D45-2*E45</f>
        <v>235620</v>
      </c>
    </row>
    <row r="46" spans="1:7" x14ac:dyDescent="0.2">
      <c r="A46" s="29" t="s">
        <v>53</v>
      </c>
      <c r="B46" s="28">
        <f>SUM(B12,D11,B13,B14)-'Detalle Inv AF'!E25</f>
        <v>943000</v>
      </c>
      <c r="C46" s="249">
        <f>1/InfoInicial!B10</f>
        <v>0.1</v>
      </c>
      <c r="D46" s="28">
        <f t="shared" si="0"/>
        <v>94300</v>
      </c>
      <c r="E46" s="28">
        <f t="shared" si="1"/>
        <v>94300</v>
      </c>
      <c r="F46" s="28"/>
      <c r="G46" s="45">
        <f t="shared" si="2"/>
        <v>471500</v>
      </c>
    </row>
    <row r="47" spans="1:7" x14ac:dyDescent="0.2">
      <c r="A47" s="29" t="s">
        <v>58</v>
      </c>
      <c r="B47" s="28">
        <f>B15</f>
        <v>400000</v>
      </c>
      <c r="C47" s="249">
        <f>1/InfoInicial!B11</f>
        <v>0.2</v>
      </c>
      <c r="D47" s="28">
        <f t="shared" si="0"/>
        <v>80000</v>
      </c>
      <c r="E47" s="28">
        <f t="shared" si="1"/>
        <v>80000</v>
      </c>
      <c r="F47" s="28"/>
      <c r="G47" s="45">
        <f t="shared" si="2"/>
        <v>0</v>
      </c>
    </row>
    <row r="48" spans="1:7" x14ac:dyDescent="0.2">
      <c r="A48" s="29" t="s">
        <v>59</v>
      </c>
      <c r="B48" s="28">
        <f>B16</f>
        <v>65000</v>
      </c>
      <c r="C48" s="249">
        <f>1/InfoInicial!B12</f>
        <v>0.2</v>
      </c>
      <c r="D48" s="28">
        <f t="shared" si="0"/>
        <v>13000</v>
      </c>
      <c r="E48" s="28">
        <f t="shared" si="1"/>
        <v>13000</v>
      </c>
      <c r="F48" s="28"/>
      <c r="G48" s="45">
        <f t="shared" si="2"/>
        <v>0</v>
      </c>
    </row>
    <row r="49" spans="1:9" x14ac:dyDescent="0.2">
      <c r="A49" s="29" t="s">
        <v>15</v>
      </c>
      <c r="B49" s="28">
        <f>B18</f>
        <v>698690</v>
      </c>
      <c r="C49" s="249">
        <f>1/InfoInicial!B14</f>
        <v>0.2</v>
      </c>
      <c r="D49" s="28">
        <f t="shared" si="0"/>
        <v>139738</v>
      </c>
      <c r="E49" s="28">
        <f t="shared" si="1"/>
        <v>139738</v>
      </c>
      <c r="F49" s="28"/>
      <c r="G49" s="45">
        <f t="shared" si="2"/>
        <v>0</v>
      </c>
    </row>
    <row r="50" spans="1:9" x14ac:dyDescent="0.2">
      <c r="A50" s="29" t="s">
        <v>82</v>
      </c>
      <c r="B50" s="28">
        <f>'Detalle Inv AF'!E25</f>
        <v>25000</v>
      </c>
      <c r="C50" s="249">
        <f>1/InfoInicial!B13</f>
        <v>0.33333333333333331</v>
      </c>
      <c r="D50" s="28">
        <f t="shared" si="0"/>
        <v>8333.3333333333321</v>
      </c>
      <c r="E50" s="28"/>
      <c r="F50" s="28"/>
      <c r="G50" s="45">
        <f>B50-3*D50</f>
        <v>0</v>
      </c>
    </row>
    <row r="51" spans="1:9" x14ac:dyDescent="0.2">
      <c r="A51" s="46" t="s">
        <v>83</v>
      </c>
      <c r="B51" s="28">
        <f>SUM(B43:B50)</f>
        <v>7685590</v>
      </c>
      <c r="C51" s="249"/>
      <c r="D51" s="28">
        <f>SUM(D44:D50)</f>
        <v>445327.33333333331</v>
      </c>
      <c r="E51" s="28">
        <f>SUM(E44:E50)</f>
        <v>436994</v>
      </c>
      <c r="F51" s="28"/>
      <c r="G51" s="45">
        <f>SUM(G43:G50)</f>
        <v>5475620</v>
      </c>
    </row>
    <row r="52" spans="1:9" x14ac:dyDescent="0.2">
      <c r="A52" s="25"/>
      <c r="B52" s="47"/>
      <c r="C52" s="250"/>
      <c r="D52" s="48"/>
      <c r="E52" s="48"/>
      <c r="F52" s="48"/>
      <c r="G52" s="49"/>
    </row>
    <row r="53" spans="1:9" x14ac:dyDescent="0.2">
      <c r="A53" s="46" t="s">
        <v>84</v>
      </c>
      <c r="B53" s="28">
        <f>B31+C31</f>
        <v>475557.09252173919</v>
      </c>
      <c r="C53" s="249">
        <f>1/InfoInicial!B14</f>
        <v>0.2</v>
      </c>
      <c r="D53" s="28">
        <f>B53*C53</f>
        <v>95111.41850434785</v>
      </c>
      <c r="E53" s="28">
        <f>B53*C53</f>
        <v>95111.41850434785</v>
      </c>
      <c r="F53" s="28"/>
      <c r="G53" s="45">
        <f>B53-(5*D53)</f>
        <v>0</v>
      </c>
    </row>
    <row r="54" spans="1:9" x14ac:dyDescent="0.2">
      <c r="A54" s="46"/>
      <c r="B54" s="28"/>
      <c r="C54" s="28"/>
      <c r="D54" s="28"/>
      <c r="E54" s="28"/>
      <c r="F54" s="28"/>
      <c r="G54" s="45"/>
    </row>
    <row r="55" spans="1:9" x14ac:dyDescent="0.2">
      <c r="A55" s="25"/>
      <c r="B55" s="26"/>
      <c r="C55" s="26"/>
      <c r="D55" s="50"/>
      <c r="E55" s="51"/>
      <c r="F55" s="51"/>
      <c r="G55" s="52"/>
      <c r="H55" s="53"/>
      <c r="I55" s="53"/>
    </row>
    <row r="56" spans="1:9" x14ac:dyDescent="0.2">
      <c r="A56" s="31" t="s">
        <v>85</v>
      </c>
      <c r="B56" s="32">
        <f>B53+B51</f>
        <v>8161147.0925217392</v>
      </c>
      <c r="C56" s="32"/>
      <c r="D56" s="32">
        <f>D53+D51</f>
        <v>540438.75183768116</v>
      </c>
      <c r="E56" s="32">
        <f>E53+E51</f>
        <v>532105.41850434779</v>
      </c>
      <c r="F56" s="32"/>
      <c r="G56" s="54">
        <f>G51+G53</f>
        <v>5475620</v>
      </c>
      <c r="H56" s="55"/>
      <c r="I56" s="55"/>
    </row>
  </sheetData>
  <sheetProtection selectLockedCells="1" selectUnlockedCells="1"/>
  <mergeCells count="3">
    <mergeCell ref="B3:C3"/>
    <mergeCell ref="D3:E3"/>
    <mergeCell ref="D39:F39"/>
  </mergeCells>
  <pageMargins left="0.42986111111111114" right="0.75" top="0.55972222222222223" bottom="1.429861111111111" header="0.51180555555555551" footer="0.51180555555555551"/>
  <pageSetup paperSize="9" firstPageNumber="0" fitToHeight="3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>
      <selection activeCell="E45" sqref="E45"/>
    </sheetView>
  </sheetViews>
  <sheetFormatPr baseColWidth="10" defaultRowHeight="12.75" x14ac:dyDescent="0.2"/>
  <cols>
    <col min="1" max="1" width="24.140625" bestFit="1" customWidth="1"/>
    <col min="2" max="2" width="8" bestFit="1" customWidth="1"/>
    <col min="3" max="3" width="19.7109375" bestFit="1" customWidth="1"/>
    <col min="5" max="5" width="58.42578125" bestFit="1" customWidth="1"/>
    <col min="6" max="6" width="13.5703125" bestFit="1" customWidth="1"/>
  </cols>
  <sheetData>
    <row r="1" spans="1:6" x14ac:dyDescent="0.2">
      <c r="C1" t="s">
        <v>388</v>
      </c>
    </row>
    <row r="2" spans="1:6" x14ac:dyDescent="0.2">
      <c r="A2" s="13" t="s">
        <v>383</v>
      </c>
      <c r="E2" s="13" t="str">
        <f>'E-Inv AF y Am'!A25</f>
        <v>Gastos de Admin. e Ing. En en período de Instalación</v>
      </c>
    </row>
    <row r="3" spans="1:6" x14ac:dyDescent="0.2">
      <c r="A3" t="s">
        <v>399</v>
      </c>
      <c r="B3">
        <v>950</v>
      </c>
      <c r="E3" t="s">
        <v>406</v>
      </c>
      <c r="F3" s="243">
        <v>0.12</v>
      </c>
    </row>
    <row r="4" spans="1:6" x14ac:dyDescent="0.2">
      <c r="A4" t="s">
        <v>27</v>
      </c>
      <c r="B4">
        <v>187</v>
      </c>
      <c r="E4" t="s">
        <v>83</v>
      </c>
      <c r="F4">
        <f>F3*(B18+B12)</f>
        <v>282744</v>
      </c>
    </row>
    <row r="5" spans="1:6" x14ac:dyDescent="0.2">
      <c r="B5">
        <f>B3*B4</f>
        <v>177650</v>
      </c>
    </row>
    <row r="6" spans="1:6" x14ac:dyDescent="0.2">
      <c r="B6">
        <f>B5*InfoInicial!B32</f>
        <v>3197700</v>
      </c>
      <c r="E6" s="13" t="str">
        <f>'E-Inv AF y Am'!A26</f>
        <v>Gastos de puesta en marcha (AL AÑO 1)</v>
      </c>
    </row>
    <row r="7" spans="1:6" x14ac:dyDescent="0.2">
      <c r="E7" t="s">
        <v>413</v>
      </c>
      <c r="F7">
        <v>55</v>
      </c>
    </row>
    <row r="8" spans="1:6" x14ac:dyDescent="0.2">
      <c r="A8" s="13" t="s">
        <v>402</v>
      </c>
      <c r="E8" t="s">
        <v>409</v>
      </c>
      <c r="F8" s="247">
        <v>3</v>
      </c>
    </row>
    <row r="9" spans="1:6" x14ac:dyDescent="0.2">
      <c r="A9" t="s">
        <v>401</v>
      </c>
      <c r="B9">
        <v>560</v>
      </c>
      <c r="C9" t="s">
        <v>403</v>
      </c>
      <c r="E9" t="s">
        <v>410</v>
      </c>
      <c r="F9" s="244">
        <f>F8/11.5</f>
        <v>0.2608695652173913</v>
      </c>
    </row>
    <row r="10" spans="1:6" x14ac:dyDescent="0.2">
      <c r="A10" t="s">
        <v>27</v>
      </c>
      <c r="B10">
        <v>187</v>
      </c>
      <c r="E10" t="s">
        <v>408</v>
      </c>
      <c r="F10" s="244">
        <f>F9*2</f>
        <v>0.52173913043478259</v>
      </c>
    </row>
    <row r="11" spans="1:6" x14ac:dyDescent="0.2">
      <c r="A11" t="s">
        <v>398</v>
      </c>
      <c r="B11">
        <f>B9*B10</f>
        <v>104720</v>
      </c>
      <c r="E11" t="s">
        <v>411</v>
      </c>
      <c r="F11" s="244">
        <f>F10*F7</f>
        <v>28.695652173913043</v>
      </c>
    </row>
    <row r="12" spans="1:6" x14ac:dyDescent="0.2">
      <c r="A12" t="s">
        <v>400</v>
      </c>
      <c r="B12">
        <f>B11*InfoInicial!B32</f>
        <v>1884960</v>
      </c>
      <c r="E12" t="s">
        <v>412</v>
      </c>
      <c r="F12">
        <v>12</v>
      </c>
    </row>
    <row r="13" spans="1:6" x14ac:dyDescent="0.2">
      <c r="E13" t="s">
        <v>414</v>
      </c>
      <c r="F13" s="243">
        <v>7.0000000000000007E-2</v>
      </c>
    </row>
    <row r="14" spans="1:6" x14ac:dyDescent="0.2">
      <c r="A14" s="13" t="s">
        <v>394</v>
      </c>
      <c r="E14" t="s">
        <v>415</v>
      </c>
      <c r="F14" s="245">
        <f>F13/11.5</f>
        <v>6.0869565217391312E-3</v>
      </c>
    </row>
    <row r="15" spans="1:6" x14ac:dyDescent="0.2">
      <c r="A15" t="s">
        <v>401</v>
      </c>
      <c r="B15">
        <v>140</v>
      </c>
      <c r="C15" t="s">
        <v>403</v>
      </c>
      <c r="E15" t="s">
        <v>416</v>
      </c>
      <c r="F15" s="245">
        <f>2*F14</f>
        <v>1.2173913043478262E-2</v>
      </c>
    </row>
    <row r="16" spans="1:6" x14ac:dyDescent="0.2">
      <c r="A16" t="s">
        <v>27</v>
      </c>
      <c r="B16">
        <v>187</v>
      </c>
      <c r="E16" t="s">
        <v>418</v>
      </c>
      <c r="F16">
        <v>3144.26</v>
      </c>
    </row>
    <row r="17" spans="1:6" x14ac:dyDescent="0.2">
      <c r="A17" t="s">
        <v>398</v>
      </c>
      <c r="B17">
        <f>B15*B16</f>
        <v>26180</v>
      </c>
      <c r="E17" t="s">
        <v>419</v>
      </c>
      <c r="F17">
        <f>F16/F13</f>
        <v>44918</v>
      </c>
    </row>
    <row r="18" spans="1:6" x14ac:dyDescent="0.2">
      <c r="A18" t="s">
        <v>400</v>
      </c>
      <c r="B18">
        <f>B17*InfoInicial!B32</f>
        <v>471240</v>
      </c>
      <c r="E18" t="s">
        <v>420</v>
      </c>
      <c r="F18" s="244">
        <f>F17*F15</f>
        <v>546.82782608695663</v>
      </c>
    </row>
    <row r="19" spans="1:6" x14ac:dyDescent="0.2">
      <c r="E19" t="s">
        <v>417</v>
      </c>
      <c r="F19" s="244">
        <f>F18*F12</f>
        <v>6561.9339130434801</v>
      </c>
    </row>
    <row r="20" spans="1:6" x14ac:dyDescent="0.2">
      <c r="A20" s="13" t="s">
        <v>385</v>
      </c>
      <c r="E20" t="s">
        <v>421</v>
      </c>
      <c r="F20" s="244">
        <f>F19+F11</f>
        <v>6590.6295652173931</v>
      </c>
    </row>
    <row r="21" spans="1:6" x14ac:dyDescent="0.2">
      <c r="A21" t="s">
        <v>386</v>
      </c>
      <c r="B21">
        <v>500000</v>
      </c>
      <c r="C21" t="s">
        <v>389</v>
      </c>
    </row>
    <row r="22" spans="1:6" x14ac:dyDescent="0.2">
      <c r="A22" t="s">
        <v>387</v>
      </c>
      <c r="B22">
        <v>180000</v>
      </c>
      <c r="C22" t="s">
        <v>390</v>
      </c>
    </row>
    <row r="23" spans="1:6" x14ac:dyDescent="0.2">
      <c r="A23" t="s">
        <v>391</v>
      </c>
      <c r="B23">
        <v>7000</v>
      </c>
      <c r="C23" t="s">
        <v>390</v>
      </c>
    </row>
    <row r="24" spans="1:6" x14ac:dyDescent="0.2">
      <c r="A24" t="s">
        <v>392</v>
      </c>
      <c r="B24">
        <v>130000</v>
      </c>
      <c r="C24" t="s">
        <v>390</v>
      </c>
      <c r="E24" s="13" t="s">
        <v>82</v>
      </c>
    </row>
    <row r="25" spans="1:6" x14ac:dyDescent="0.2">
      <c r="A25" t="s">
        <v>393</v>
      </c>
      <c r="B25">
        <v>1000</v>
      </c>
      <c r="C25" t="s">
        <v>390</v>
      </c>
      <c r="E25">
        <f>B21*0.05</f>
        <v>25000</v>
      </c>
    </row>
    <row r="26" spans="1:6" x14ac:dyDescent="0.2">
      <c r="A26" t="s">
        <v>422</v>
      </c>
      <c r="B26">
        <f>B21+E25</f>
        <v>525000</v>
      </c>
    </row>
    <row r="27" spans="1:6" ht="25.5" x14ac:dyDescent="0.2">
      <c r="A27" s="242" t="s">
        <v>395</v>
      </c>
      <c r="B27">
        <v>25000</v>
      </c>
    </row>
    <row r="29" spans="1:6" x14ac:dyDescent="0.2">
      <c r="A29" s="13" t="s">
        <v>396</v>
      </c>
      <c r="B29">
        <v>400000</v>
      </c>
    </row>
    <row r="31" spans="1:6" x14ac:dyDescent="0.2">
      <c r="A31" s="13" t="s">
        <v>397</v>
      </c>
      <c r="B31">
        <v>65000</v>
      </c>
    </row>
    <row r="34" spans="1:2" x14ac:dyDescent="0.2">
      <c r="A34" s="13" t="s">
        <v>15</v>
      </c>
      <c r="B34">
        <f>B36*A35</f>
        <v>143300</v>
      </c>
    </row>
    <row r="35" spans="1:2" x14ac:dyDescent="0.2">
      <c r="A35" s="243">
        <v>0.1</v>
      </c>
    </row>
    <row r="36" spans="1:2" x14ac:dyDescent="0.2">
      <c r="A36" t="s">
        <v>88</v>
      </c>
      <c r="B36">
        <f>SUM('E-Inv AF y Am'!B11:B16)+'E-Inv AF y Am'!D11</f>
        <v>1433000</v>
      </c>
    </row>
    <row r="38" spans="1:2" x14ac:dyDescent="0.2">
      <c r="A38" s="13" t="s">
        <v>404</v>
      </c>
    </row>
    <row r="39" spans="1:2" x14ac:dyDescent="0.2">
      <c r="A39">
        <v>0.03</v>
      </c>
    </row>
    <row r="40" spans="1:2" x14ac:dyDescent="0.2">
      <c r="A40" t="s">
        <v>405</v>
      </c>
      <c r="B40">
        <f>SUM('E-Inv AF y Am'!B12:B16,'E-Inv AF y Am'!D11)</f>
        <v>1433000</v>
      </c>
    </row>
    <row r="41" spans="1:2" x14ac:dyDescent="0.2">
      <c r="A41" t="s">
        <v>151</v>
      </c>
      <c r="B41">
        <f>A39*B40</f>
        <v>42990</v>
      </c>
    </row>
  </sheetData>
  <pageMargins left="0.75" right="0.75" top="1" bottom="1" header="0.3" footer="0.3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227"/>
  <sheetViews>
    <sheetView topLeftCell="A79" workbookViewId="0">
      <selection activeCell="B58" sqref="B58"/>
    </sheetView>
  </sheetViews>
  <sheetFormatPr baseColWidth="10" defaultRowHeight="12.75" x14ac:dyDescent="0.2"/>
  <cols>
    <col min="1" max="1" width="41" style="16" customWidth="1"/>
    <col min="2" max="6" width="14.85546875" style="16" customWidth="1"/>
    <col min="7" max="7" width="17.42578125" style="16" customWidth="1"/>
    <col min="8" max="8" width="19.5703125" style="16" bestFit="1" customWidth="1"/>
    <col min="9" max="9" width="12.85546875" style="16" bestFit="1" customWidth="1"/>
    <col min="10" max="10" width="14.7109375" style="16" bestFit="1" customWidth="1"/>
    <col min="11" max="11" width="13.5703125" style="16" bestFit="1" customWidth="1"/>
    <col min="12" max="16384" width="11.42578125" style="16"/>
  </cols>
  <sheetData>
    <row r="3" spans="1:6" x14ac:dyDescent="0.2">
      <c r="A3" s="1" t="s">
        <v>0</v>
      </c>
      <c r="B3"/>
      <c r="C3"/>
      <c r="D3"/>
      <c r="E3" s="2">
        <f>InfoInicial!E1</f>
        <v>4</v>
      </c>
    </row>
    <row r="4" spans="1:6" ht="15.75" x14ac:dyDescent="0.25">
      <c r="A4" s="56" t="s">
        <v>86</v>
      </c>
      <c r="B4" s="57"/>
      <c r="C4" s="57"/>
      <c r="D4" s="57"/>
      <c r="E4" s="57"/>
      <c r="F4" s="58"/>
    </row>
    <row r="5" spans="1:6" x14ac:dyDescent="0.2">
      <c r="A5" s="59"/>
      <c r="B5" s="60" t="s">
        <v>87</v>
      </c>
      <c r="C5" s="60"/>
      <c r="D5" s="60"/>
      <c r="E5" s="60"/>
      <c r="F5" s="61"/>
    </row>
    <row r="6" spans="1:6" x14ac:dyDescent="0.2">
      <c r="A6" s="59" t="s">
        <v>88</v>
      </c>
      <c r="B6" s="21" t="s">
        <v>48</v>
      </c>
      <c r="C6" s="21" t="s">
        <v>89</v>
      </c>
      <c r="D6" s="21" t="s">
        <v>90</v>
      </c>
      <c r="E6" s="21" t="s">
        <v>91</v>
      </c>
      <c r="F6" s="22" t="s">
        <v>92</v>
      </c>
    </row>
    <row r="7" spans="1:6" x14ac:dyDescent="0.2">
      <c r="A7" s="23" t="s">
        <v>93</v>
      </c>
      <c r="B7" s="62">
        <f>'Detalle Costo'!L10</f>
        <v>5713329.1352308327</v>
      </c>
      <c r="C7" s="62">
        <f>'Detalle Costo'!$L$11</f>
        <v>5764954.2055926286</v>
      </c>
      <c r="D7" s="62">
        <f>'Detalle Costo'!$L$11</f>
        <v>5764954.2055926286</v>
      </c>
      <c r="E7" s="62">
        <f>'Detalle Costo'!$L$11</f>
        <v>5764954.2055926286</v>
      </c>
      <c r="F7" s="62">
        <f>'Detalle Costo'!$L$11</f>
        <v>5764954.2055926286</v>
      </c>
    </row>
    <row r="8" spans="1:6" x14ac:dyDescent="0.2">
      <c r="A8" s="27" t="s">
        <v>94</v>
      </c>
      <c r="B8" s="64">
        <f>'Detalle Costo'!B43</f>
        <v>863688</v>
      </c>
      <c r="C8" s="64">
        <f>'Detalle Costo'!$B$41</f>
        <v>890400</v>
      </c>
      <c r="D8" s="64">
        <f>'Detalle Costo'!$B$41</f>
        <v>890400</v>
      </c>
      <c r="E8" s="64">
        <f>'Detalle Costo'!$B$41</f>
        <v>890400</v>
      </c>
      <c r="F8" s="64">
        <f>'Detalle Costo'!$B$41</f>
        <v>890400</v>
      </c>
    </row>
    <row r="9" spans="1:6" x14ac:dyDescent="0.2">
      <c r="A9" s="27" t="s">
        <v>95</v>
      </c>
      <c r="B9" s="64"/>
      <c r="C9" s="64"/>
      <c r="D9" s="64"/>
      <c r="E9" s="64"/>
      <c r="F9" s="45"/>
    </row>
    <row r="10" spans="1:6" x14ac:dyDescent="0.2">
      <c r="A10" s="27" t="s">
        <v>96</v>
      </c>
      <c r="B10" s="64">
        <f>'Detalle Costo'!$B$56</f>
        <v>487228.20998724631</v>
      </c>
      <c r="C10" s="64">
        <f>'Detalle Costo'!$B$56</f>
        <v>487228.20998724631</v>
      </c>
      <c r="D10" s="64">
        <f>'Detalle Costo'!$B$56</f>
        <v>487228.20998724631</v>
      </c>
      <c r="E10" s="64">
        <f>'Detalle Costo'!$B$51</f>
        <v>478894.876653913</v>
      </c>
      <c r="F10" s="64">
        <f>'Detalle Costo'!$B$51</f>
        <v>478894.876653913</v>
      </c>
    </row>
    <row r="11" spans="1:6" x14ac:dyDescent="0.2">
      <c r="A11" s="27" t="s">
        <v>97</v>
      </c>
      <c r="B11" s="64">
        <f>'Detalle Costo'!B69</f>
        <v>670320</v>
      </c>
      <c r="C11" s="64">
        <f>'Detalle Costo'!$B$66</f>
        <v>705600</v>
      </c>
      <c r="D11" s="64">
        <f>'Detalle Costo'!$B$66</f>
        <v>705600</v>
      </c>
      <c r="E11" s="64">
        <f>'Detalle Costo'!$B$66</f>
        <v>705600</v>
      </c>
      <c r="F11" s="64">
        <f>'Detalle Costo'!$B$66</f>
        <v>705600</v>
      </c>
    </row>
    <row r="12" spans="1:6" x14ac:dyDescent="0.2">
      <c r="A12" s="27" t="s">
        <v>98</v>
      </c>
      <c r="B12" s="64">
        <f>'Detalle Costo'!I57</f>
        <v>170421.35939137277</v>
      </c>
      <c r="C12" s="64">
        <f>'Detalle Costo'!$I$53</f>
        <v>175692.12308388946</v>
      </c>
      <c r="D12" s="64">
        <f>'Detalle Costo'!$I$53</f>
        <v>175692.12308388946</v>
      </c>
      <c r="E12" s="64">
        <f>'Detalle Costo'!$I$49</f>
        <v>184613.90408388944</v>
      </c>
      <c r="F12" s="64">
        <f>'Detalle Costo'!$I$49</f>
        <v>184613.90408388944</v>
      </c>
    </row>
    <row r="13" spans="1:6" x14ac:dyDescent="0.2">
      <c r="A13" s="27" t="s">
        <v>99</v>
      </c>
      <c r="B13" s="64">
        <f>'Detalle Costo'!I67</f>
        <v>41952.5</v>
      </c>
      <c r="C13" s="64">
        <f>'Detalle Costo'!$I$66</f>
        <v>43250</v>
      </c>
      <c r="D13" s="64">
        <f>'Detalle Costo'!$I$66</f>
        <v>43250</v>
      </c>
      <c r="E13" s="64">
        <f>'Detalle Costo'!$I$66</f>
        <v>43250</v>
      </c>
      <c r="F13" s="64">
        <f>'Detalle Costo'!$I$66</f>
        <v>43250</v>
      </c>
    </row>
    <row r="14" spans="1:6" x14ac:dyDescent="0.2">
      <c r="A14" s="27" t="s">
        <v>100</v>
      </c>
      <c r="B14" s="64">
        <f>'Detalle Costo'!$P$48</f>
        <v>87139.092000000004</v>
      </c>
      <c r="C14" s="64">
        <f>'Detalle Costo'!$P$48</f>
        <v>87139.092000000004</v>
      </c>
      <c r="D14" s="64">
        <f>'Detalle Costo'!$P$48</f>
        <v>87139.092000000004</v>
      </c>
      <c r="E14" s="64">
        <f>'Detalle Costo'!$P$48</f>
        <v>87139.092000000004</v>
      </c>
      <c r="F14" s="64">
        <f>'Detalle Costo'!$P$48</f>
        <v>87139.092000000004</v>
      </c>
    </row>
    <row r="15" spans="1:6" x14ac:dyDescent="0.2">
      <c r="A15" s="27" t="s">
        <v>15</v>
      </c>
      <c r="B15" s="64">
        <f>SUM(B7:B14)*'Detalle Costo'!$P$52</f>
        <v>160681.56593218906</v>
      </c>
      <c r="C15" s="64">
        <f>SUM(C7:C14)*'Detalle Costo'!$P$52</f>
        <v>163085.2726132753</v>
      </c>
      <c r="D15" s="64">
        <f>SUM(D7:D14)*'Detalle Costo'!$P$52</f>
        <v>163085.2726132753</v>
      </c>
      <c r="E15" s="64">
        <f>SUM(E7:E14)*'Detalle Costo'!$P$52</f>
        <v>163097.04156660862</v>
      </c>
      <c r="F15" s="64">
        <f>SUM(F7:F14)*'Detalle Costo'!$P$52</f>
        <v>163097.04156660862</v>
      </c>
    </row>
    <row r="16" spans="1:6" x14ac:dyDescent="0.2">
      <c r="A16" s="25" t="s">
        <v>101</v>
      </c>
      <c r="B16" s="260">
        <f>SUM(B7:B15)</f>
        <v>8194759.8625416411</v>
      </c>
      <c r="C16" s="260">
        <f t="shared" ref="C16:F16" si="0">SUM(C7:C15)</f>
        <v>8317348.9032770395</v>
      </c>
      <c r="D16" s="260">
        <f t="shared" si="0"/>
        <v>8317348.9032770395</v>
      </c>
      <c r="E16" s="260">
        <f t="shared" si="0"/>
        <v>8317949.1198970396</v>
      </c>
      <c r="F16" s="260">
        <f t="shared" si="0"/>
        <v>8317949.1198970396</v>
      </c>
    </row>
    <row r="17" spans="1:7" x14ac:dyDescent="0.2">
      <c r="A17" s="66"/>
      <c r="B17" s="67"/>
      <c r="C17" s="67"/>
      <c r="D17" s="67"/>
      <c r="E17" s="67"/>
      <c r="F17" s="68"/>
    </row>
    <row r="18" spans="1:7" x14ac:dyDescent="0.2">
      <c r="A18" s="69" t="s">
        <v>102</v>
      </c>
      <c r="B18" s="261">
        <f>SUM(B10:B11,B15,B14)/B16</f>
        <v>0.17149604033467725</v>
      </c>
      <c r="C18" s="261">
        <f t="shared" ref="C18:F18" si="1">SUM(C10:C11,C15,C14)/C16</f>
        <v>0.17349910306539604</v>
      </c>
      <c r="D18" s="261">
        <f t="shared" si="1"/>
        <v>0.17349910306539604</v>
      </c>
      <c r="E18" s="261">
        <f t="shared" si="1"/>
        <v>0.17248614887395233</v>
      </c>
      <c r="F18" s="261">
        <f t="shared" si="1"/>
        <v>0.17248614887395233</v>
      </c>
    </row>
    <row r="19" spans="1:7" x14ac:dyDescent="0.2">
      <c r="A19" s="35" t="s">
        <v>103</v>
      </c>
      <c r="B19" s="262">
        <f>SUM(B13,B12,B7,B8)/B16</f>
        <v>0.82850395966532275</v>
      </c>
      <c r="C19" s="262">
        <f t="shared" ref="C19:F19" si="2">SUM(C13,C12,C7,C8)/C16</f>
        <v>0.82650089693460405</v>
      </c>
      <c r="D19" s="262">
        <f t="shared" si="2"/>
        <v>0.82650089693460405</v>
      </c>
      <c r="E19" s="262">
        <f t="shared" si="2"/>
        <v>0.82751385112604758</v>
      </c>
      <c r="F19" s="262">
        <f t="shared" si="2"/>
        <v>0.82751385112604758</v>
      </c>
    </row>
    <row r="21" spans="1:7" x14ac:dyDescent="0.2">
      <c r="A21" s="72"/>
      <c r="B21" s="18" t="s">
        <v>104</v>
      </c>
      <c r="C21" s="18"/>
      <c r="D21" s="18"/>
      <c r="E21" s="18"/>
      <c r="F21" s="18"/>
      <c r="G21" s="19"/>
    </row>
    <row r="22" spans="1:7" x14ac:dyDescent="0.2">
      <c r="A22" s="59"/>
      <c r="B22" s="60" t="s">
        <v>105</v>
      </c>
      <c r="C22" s="60"/>
      <c r="D22" s="60"/>
      <c r="E22" s="60"/>
      <c r="F22" s="60"/>
      <c r="G22" s="61" t="s">
        <v>106</v>
      </c>
    </row>
    <row r="23" spans="1:7" x14ac:dyDescent="0.2">
      <c r="A23" s="59" t="s">
        <v>88</v>
      </c>
      <c r="B23" s="73" t="s">
        <v>48</v>
      </c>
      <c r="C23" s="73" t="s">
        <v>89</v>
      </c>
      <c r="D23" s="73" t="s">
        <v>90</v>
      </c>
      <c r="E23" s="73" t="s">
        <v>91</v>
      </c>
      <c r="F23" s="73" t="s">
        <v>92</v>
      </c>
      <c r="G23" s="74" t="s">
        <v>48</v>
      </c>
    </row>
    <row r="24" spans="1:7" x14ac:dyDescent="0.2">
      <c r="A24" s="23" t="s">
        <v>93</v>
      </c>
      <c r="B24" s="62">
        <f>'Detalle Costo'!O11</f>
        <v>119650.67150347269</v>
      </c>
      <c r="C24" s="62">
        <f>'Detalle Costo'!$P$11</f>
        <v>119650.67150347269</v>
      </c>
      <c r="D24" s="62">
        <f>'Detalle Costo'!$P$11</f>
        <v>119650.67150347269</v>
      </c>
      <c r="E24" s="62">
        <f>'Detalle Costo'!$P$11</f>
        <v>119650.67150347269</v>
      </c>
      <c r="F24" s="62">
        <f>'Detalle Costo'!$P$11</f>
        <v>119650.67150347269</v>
      </c>
      <c r="G24" s="63">
        <f>'Detalle Costo'!O12</f>
        <v>79344.823489793664</v>
      </c>
    </row>
    <row r="25" spans="1:7" x14ac:dyDescent="0.2">
      <c r="A25" s="27" t="s">
        <v>94</v>
      </c>
      <c r="B25" s="64">
        <f>'Detalle Costo'!$B$45</f>
        <v>9240.0524017467251</v>
      </c>
      <c r="C25" s="64">
        <f>'Detalle Costo'!$B$45</f>
        <v>9240.0524017467251</v>
      </c>
      <c r="D25" s="64">
        <f>'Detalle Costo'!$B$45</f>
        <v>9240.0524017467251</v>
      </c>
      <c r="E25" s="64">
        <f>'Detalle Costo'!$B$45</f>
        <v>9240.0524017467251</v>
      </c>
      <c r="F25" s="64">
        <f>'Detalle Costo'!$B$45</f>
        <v>9240.0524017467251</v>
      </c>
      <c r="G25" s="64">
        <f>'Detalle Costo'!B46</f>
        <v>2756.4166396317451</v>
      </c>
    </row>
    <row r="26" spans="1:7" x14ac:dyDescent="0.2">
      <c r="A26" s="27" t="s">
        <v>95</v>
      </c>
      <c r="B26" s="28"/>
      <c r="C26" s="28"/>
      <c r="D26" s="28"/>
      <c r="E26" s="28"/>
      <c r="F26" s="28"/>
      <c r="G26" s="45"/>
    </row>
    <row r="27" spans="1:7" x14ac:dyDescent="0.2">
      <c r="A27" s="27" t="s">
        <v>96</v>
      </c>
      <c r="B27" s="64">
        <f>'Detalle Costo'!E52</f>
        <v>5285.9680157018474</v>
      </c>
      <c r="C27" s="64">
        <f>'Detalle Costo'!$E$53</f>
        <v>5056.1704760685234</v>
      </c>
      <c r="D27" s="64">
        <f>'Detalle Costo'!$E$53</f>
        <v>5056.1704760685234</v>
      </c>
      <c r="E27" s="64">
        <f>'Detalle Costo'!$E$54</f>
        <v>4969.6919982144991</v>
      </c>
      <c r="F27" s="64">
        <f>'Detalle Costo'!$E$54</f>
        <v>4969.6919982144991</v>
      </c>
      <c r="G27" s="65">
        <v>0</v>
      </c>
    </row>
    <row r="28" spans="1:7" x14ac:dyDescent="0.2">
      <c r="A28" s="27" t="s">
        <v>97</v>
      </c>
      <c r="B28" s="64">
        <f>'Detalle Costo'!B71</f>
        <v>7272.341805450902</v>
      </c>
      <c r="C28" s="64">
        <f>'Detalle Costo'!$B$68</f>
        <v>7322.3056768558954</v>
      </c>
      <c r="D28" s="64">
        <f>'Detalle Costo'!$B$68</f>
        <v>7322.3056768558954</v>
      </c>
      <c r="E28" s="64">
        <f>'Detalle Costo'!$B$68</f>
        <v>7322.3056768558954</v>
      </c>
      <c r="F28" s="64">
        <f>'Detalle Costo'!$B$68</f>
        <v>7322.3056768558954</v>
      </c>
      <c r="G28" s="65">
        <v>0</v>
      </c>
    </row>
    <row r="29" spans="1:7" x14ac:dyDescent="0.2">
      <c r="A29" s="27" t="s">
        <v>98</v>
      </c>
      <c r="B29" s="64">
        <f>'Detalle Costo'!I59</f>
        <v>1848.9115294839075</v>
      </c>
      <c r="C29" s="64">
        <f>'Detalle Costo'!$I$55</f>
        <v>1823.2304850283851</v>
      </c>
      <c r="D29" s="64">
        <f>'Detalle Costo'!$I$55</f>
        <v>1823.2304850283851</v>
      </c>
      <c r="E29" s="64">
        <f>'Detalle Costo'!$I$51</f>
        <v>1915.8155299036189</v>
      </c>
      <c r="F29" s="64">
        <f>'Detalle Costo'!$I$51</f>
        <v>1915.8155299036189</v>
      </c>
      <c r="G29" s="65">
        <f>'Detalle Costo'!I60</f>
        <v>518.21011852814172</v>
      </c>
    </row>
    <row r="30" spans="1:7" x14ac:dyDescent="0.2">
      <c r="A30" s="27" t="s">
        <v>107</v>
      </c>
      <c r="B30" s="64">
        <f>'Detalle Costo'!M68+'Detalle Costo'!M65</f>
        <v>6692.811324982019</v>
      </c>
      <c r="C30" s="64">
        <f>'Detalle Costo'!$M$58</f>
        <v>6672.186423892701</v>
      </c>
      <c r="D30" s="64">
        <f>'Detalle Costo'!$M$58</f>
        <v>6672.186423892701</v>
      </c>
      <c r="E30" s="64">
        <f>'Detalle Costo'!$M$58</f>
        <v>6672.186423892701</v>
      </c>
      <c r="F30" s="64">
        <f>'Detalle Costo'!$M$58</f>
        <v>6672.186423892701</v>
      </c>
      <c r="G30" s="65">
        <f>'Detalle Costo'!M69</f>
        <v>19357.264754394168</v>
      </c>
    </row>
    <row r="31" spans="1:7" x14ac:dyDescent="0.2">
      <c r="A31" s="27" t="s">
        <v>108</v>
      </c>
      <c r="B31" s="64">
        <f>'Detalle Costo'!I70</f>
        <v>455.14518378263961</v>
      </c>
      <c r="C31" s="64">
        <f>'Detalle Costo'!$I$71</f>
        <v>448.82330006238305</v>
      </c>
      <c r="D31" s="64">
        <f>'Detalle Costo'!$I$71</f>
        <v>448.82330006238305</v>
      </c>
      <c r="E31" s="64">
        <f>'Detalle Costo'!$I$71</f>
        <v>448.82330006238305</v>
      </c>
      <c r="F31" s="64">
        <f>'Detalle Costo'!$I$71</f>
        <v>448.82330006238305</v>
      </c>
      <c r="G31" s="65">
        <f>'Detalle Costo'!I73</f>
        <v>127.56740161674611</v>
      </c>
    </row>
    <row r="32" spans="1:7" x14ac:dyDescent="0.2">
      <c r="A32" s="27" t="s">
        <v>109</v>
      </c>
      <c r="B32" s="64">
        <f>'Detalle Costo'!P50</f>
        <v>935.23084979402063</v>
      </c>
      <c r="C32" s="64">
        <f>'Detalle Costo'!$P$46</f>
        <v>904.27872452900817</v>
      </c>
      <c r="D32" s="64">
        <f>'Detalle Costo'!$P$46</f>
        <v>904.27872452900817</v>
      </c>
      <c r="E32" s="64">
        <f>'Detalle Costo'!$P$46</f>
        <v>904.27872452900817</v>
      </c>
      <c r="F32" s="64">
        <f>'Detalle Costo'!$P$46</f>
        <v>904.27872452900817</v>
      </c>
      <c r="G32" s="65">
        <v>0</v>
      </c>
    </row>
    <row r="33" spans="1:7" x14ac:dyDescent="0.2">
      <c r="A33" s="27" t="s">
        <v>110</v>
      </c>
      <c r="B33" s="64">
        <f>SUM(B24:B32)*'Detalle Costo'!$P$52</f>
        <v>3027.6226522882957</v>
      </c>
      <c r="C33" s="64">
        <f>SUM(C24:C32)*'Detalle Costo'!$P$52</f>
        <v>3022.3543798331266</v>
      </c>
      <c r="D33" s="64">
        <f>SUM(D24:D32)*'Detalle Costo'!$P$52</f>
        <v>3022.3543798331266</v>
      </c>
      <c r="E33" s="64">
        <f>SUM(E24:E32)*'Detalle Costo'!$P$52</f>
        <v>3022.476511173551</v>
      </c>
      <c r="F33" s="64">
        <f>SUM(F24:F32)*'Detalle Costo'!$P$52</f>
        <v>3022.476511173551</v>
      </c>
      <c r="G33" s="64">
        <f>SUM(G24:G32)*'Detalle Costo'!$P$52</f>
        <v>2042.0856480792893</v>
      </c>
    </row>
    <row r="34" spans="1:7" x14ac:dyDescent="0.2">
      <c r="A34" s="35" t="s">
        <v>111</v>
      </c>
      <c r="B34" s="70">
        <f>SUM(B24:B33)</f>
        <v>154408.75526670308</v>
      </c>
      <c r="C34" s="70">
        <f t="shared" ref="C34:G34" si="3">SUM(C24:C33)</f>
        <v>154140.07337148944</v>
      </c>
      <c r="D34" s="70">
        <f t="shared" si="3"/>
        <v>154140.07337148944</v>
      </c>
      <c r="E34" s="70">
        <f t="shared" si="3"/>
        <v>154146.30206985111</v>
      </c>
      <c r="F34" s="70">
        <f t="shared" si="3"/>
        <v>154146.30206985111</v>
      </c>
      <c r="G34" s="70">
        <f t="shared" si="3"/>
        <v>104146.36805204375</v>
      </c>
    </row>
    <row r="35" spans="1:7" x14ac:dyDescent="0.2">
      <c r="A35" s="75"/>
      <c r="B35" s="76"/>
      <c r="C35" s="76"/>
      <c r="D35" s="76"/>
      <c r="E35" s="76"/>
      <c r="F35" s="76"/>
      <c r="G35" s="76"/>
    </row>
    <row r="36" spans="1:7" x14ac:dyDescent="0.2">
      <c r="A36" s="37"/>
      <c r="B36" s="77" t="s">
        <v>112</v>
      </c>
      <c r="C36" s="77"/>
      <c r="D36" s="77"/>
      <c r="E36" s="77"/>
      <c r="F36" s="78"/>
    </row>
    <row r="37" spans="1:7" x14ac:dyDescent="0.2">
      <c r="A37" s="35"/>
      <c r="B37" s="73" t="s">
        <v>48</v>
      </c>
      <c r="C37" s="73" t="s">
        <v>89</v>
      </c>
      <c r="D37" s="73" t="s">
        <v>90</v>
      </c>
      <c r="E37" s="73" t="s">
        <v>91</v>
      </c>
      <c r="F37" s="22" t="s">
        <v>92</v>
      </c>
      <c r="G37" s="76"/>
    </row>
    <row r="38" spans="1:7" x14ac:dyDescent="0.2">
      <c r="A38" s="41" t="s">
        <v>101</v>
      </c>
      <c r="B38" s="62">
        <f>B16</f>
        <v>8194759.8625416411</v>
      </c>
      <c r="C38" s="62">
        <f t="shared" ref="C38:F38" si="4">C16</f>
        <v>8317348.9032770395</v>
      </c>
      <c r="D38" s="62">
        <f t="shared" si="4"/>
        <v>8317348.9032770395</v>
      </c>
      <c r="E38" s="62">
        <f t="shared" si="4"/>
        <v>8317949.1198970396</v>
      </c>
      <c r="F38" s="62">
        <f t="shared" si="4"/>
        <v>8317949.1198970396</v>
      </c>
      <c r="G38" s="76"/>
    </row>
    <row r="39" spans="1:7" x14ac:dyDescent="0.2">
      <c r="A39" s="27" t="s">
        <v>113</v>
      </c>
      <c r="B39" s="64"/>
      <c r="C39" s="64"/>
      <c r="D39" s="64"/>
      <c r="E39" s="64"/>
      <c r="F39" s="45"/>
      <c r="G39" s="76"/>
    </row>
    <row r="40" spans="1:7" x14ac:dyDescent="0.2">
      <c r="A40" s="27" t="s">
        <v>114</v>
      </c>
      <c r="B40" s="64">
        <f>G34</f>
        <v>104146.36805204375</v>
      </c>
      <c r="C40" s="64"/>
      <c r="D40" s="64"/>
      <c r="E40" s="64"/>
      <c r="F40" s="45"/>
      <c r="G40" s="76"/>
    </row>
    <row r="41" spans="1:7" x14ac:dyDescent="0.2">
      <c r="A41" s="27" t="s">
        <v>115</v>
      </c>
      <c r="B41" s="64">
        <f>B34</f>
        <v>154408.75526670308</v>
      </c>
      <c r="C41" s="64">
        <f>C34-B34</f>
        <v>-268.6818952136382</v>
      </c>
      <c r="D41" s="64">
        <f>D34-C34</f>
        <v>0</v>
      </c>
      <c r="E41" s="64">
        <f>E34-D34</f>
        <v>6.2286983616650105</v>
      </c>
      <c r="F41" s="64">
        <f>F34-E34</f>
        <v>0</v>
      </c>
      <c r="G41" s="76"/>
    </row>
    <row r="42" spans="1:7" x14ac:dyDescent="0.2">
      <c r="A42" s="25" t="s">
        <v>116</v>
      </c>
      <c r="B42" s="64">
        <f>B38-B40-B41</f>
        <v>7936204.7392228944</v>
      </c>
      <c r="C42" s="64">
        <f t="shared" ref="C42:F42" si="5">C38-C40-C41</f>
        <v>8317617.5851722527</v>
      </c>
      <c r="D42" s="64">
        <f t="shared" si="5"/>
        <v>8317348.9032770395</v>
      </c>
      <c r="E42" s="64">
        <f t="shared" si="5"/>
        <v>8317942.8911986779</v>
      </c>
      <c r="F42" s="64">
        <f t="shared" si="5"/>
        <v>8317949.1198970396</v>
      </c>
      <c r="G42" s="76"/>
    </row>
    <row r="43" spans="1:7" x14ac:dyDescent="0.2">
      <c r="A43" s="69" t="s">
        <v>117</v>
      </c>
      <c r="B43" s="79">
        <f>B42/35391</f>
        <v>224.24358563541281</v>
      </c>
      <c r="C43" s="79">
        <f>C42/37000</f>
        <v>224.80047527492576</v>
      </c>
      <c r="D43" s="79">
        <f t="shared" ref="D43:F43" si="6">D42/37000</f>
        <v>224.79321360208215</v>
      </c>
      <c r="E43" s="79">
        <f t="shared" si="6"/>
        <v>224.80926732969399</v>
      </c>
      <c r="F43" s="79">
        <f t="shared" si="6"/>
        <v>224.80943567289296</v>
      </c>
      <c r="G43" s="76"/>
    </row>
    <row r="44" spans="1:7" x14ac:dyDescent="0.2">
      <c r="A44" s="69"/>
      <c r="B44" s="79"/>
      <c r="C44" s="79"/>
      <c r="D44" s="79"/>
      <c r="E44" s="79"/>
      <c r="F44" s="80"/>
      <c r="G44" s="76"/>
    </row>
    <row r="45" spans="1:7" x14ac:dyDescent="0.2">
      <c r="A45" s="69" t="s">
        <v>102</v>
      </c>
      <c r="B45" s="81"/>
      <c r="C45" s="81"/>
      <c r="D45" s="81"/>
      <c r="E45" s="81"/>
      <c r="F45" s="82"/>
      <c r="G45" s="76"/>
    </row>
    <row r="46" spans="1:7" x14ac:dyDescent="0.2">
      <c r="A46" s="35" t="s">
        <v>103</v>
      </c>
      <c r="B46" s="83"/>
      <c r="C46" s="83"/>
      <c r="D46" s="83"/>
      <c r="E46" s="83"/>
      <c r="F46" s="84"/>
      <c r="G46" s="76"/>
    </row>
    <row r="49" spans="1:7" x14ac:dyDescent="0.2">
      <c r="A49" s="33"/>
      <c r="B49" s="18" t="s">
        <v>118</v>
      </c>
      <c r="C49" s="18"/>
      <c r="D49" s="18"/>
      <c r="E49" s="18"/>
      <c r="F49" s="19"/>
    </row>
    <row r="50" spans="1:7" x14ac:dyDescent="0.2">
      <c r="A50" s="85" t="s">
        <v>88</v>
      </c>
      <c r="B50" s="21" t="s">
        <v>48</v>
      </c>
      <c r="C50" s="21" t="s">
        <v>89</v>
      </c>
      <c r="D50" s="21" t="s">
        <v>90</v>
      </c>
      <c r="E50" s="21" t="s">
        <v>91</v>
      </c>
      <c r="F50" s="22" t="s">
        <v>92</v>
      </c>
    </row>
    <row r="51" spans="1:7" x14ac:dyDescent="0.2">
      <c r="A51" s="72" t="s">
        <v>119</v>
      </c>
      <c r="B51" s="86">
        <f>'Detalle Costo'!$B$83</f>
        <v>940800</v>
      </c>
      <c r="C51" s="86">
        <f>'Detalle Costo'!$B$83</f>
        <v>940800</v>
      </c>
      <c r="D51" s="86">
        <f>'Detalle Costo'!$B$83</f>
        <v>940800</v>
      </c>
      <c r="E51" s="86">
        <f>'Detalle Costo'!$B$83</f>
        <v>940800</v>
      </c>
      <c r="F51" s="86">
        <f>'Detalle Costo'!$B$83</f>
        <v>940800</v>
      </c>
    </row>
    <row r="52" spans="1:7" x14ac:dyDescent="0.2">
      <c r="A52" s="27" t="s">
        <v>120</v>
      </c>
      <c r="B52" s="64">
        <f>'Detalle Costo'!$B$87</f>
        <v>24361.410499362319</v>
      </c>
      <c r="C52" s="64">
        <f>'Detalle Costo'!$B$87</f>
        <v>24361.410499362319</v>
      </c>
      <c r="D52" s="64">
        <f>'Detalle Costo'!$B$87</f>
        <v>24361.410499362319</v>
      </c>
      <c r="E52" s="64">
        <f>'Detalle Costo'!$B$88</f>
        <v>23944.743832695651</v>
      </c>
      <c r="F52" s="64">
        <f>'Detalle Costo'!$B$88</f>
        <v>23944.743832695651</v>
      </c>
    </row>
    <row r="53" spans="1:7" x14ac:dyDescent="0.2">
      <c r="A53" s="27" t="s">
        <v>98</v>
      </c>
      <c r="B53" s="64">
        <f>'Detalle Costo'!$B$96</f>
        <v>16837.893903277039</v>
      </c>
      <c r="C53" s="64">
        <f>'Detalle Costo'!$B$96</f>
        <v>16837.893903277039</v>
      </c>
      <c r="D53" s="64">
        <f>'Detalle Costo'!$B$96</f>
        <v>16837.893903277039</v>
      </c>
      <c r="E53" s="64">
        <f>'Detalle Costo'!$B$96</f>
        <v>16837.893903277039</v>
      </c>
      <c r="F53" s="64">
        <f>'Detalle Costo'!$B$96</f>
        <v>16837.893903277039</v>
      </c>
    </row>
    <row r="54" spans="1:7" x14ac:dyDescent="0.2">
      <c r="A54" s="27" t="s">
        <v>121</v>
      </c>
      <c r="B54" s="64">
        <f>'Detalle Costo'!E82</f>
        <v>33933.604166666657</v>
      </c>
      <c r="C54" s="64">
        <f>'Detalle Costo'!$E$80</f>
        <v>35719.583333333328</v>
      </c>
      <c r="D54" s="64">
        <f>'Detalle Costo'!$E$80</f>
        <v>35719.583333333328</v>
      </c>
      <c r="E54" s="64">
        <f>'Detalle Costo'!$E$80</f>
        <v>35719.583333333328</v>
      </c>
      <c r="F54" s="64">
        <f>'Detalle Costo'!$E$80</f>
        <v>35719.583333333328</v>
      </c>
    </row>
    <row r="55" spans="1:7" x14ac:dyDescent="0.2">
      <c r="A55" s="27" t="s">
        <v>122</v>
      </c>
      <c r="B55" s="64">
        <v>0</v>
      </c>
      <c r="C55" s="64">
        <v>0</v>
      </c>
      <c r="D55" s="64">
        <v>0</v>
      </c>
      <c r="E55" s="64">
        <v>0</v>
      </c>
      <c r="F55" s="65">
        <v>0</v>
      </c>
    </row>
    <row r="56" spans="1:7" x14ac:dyDescent="0.2">
      <c r="A56" s="27" t="s">
        <v>123</v>
      </c>
      <c r="B56" s="64">
        <v>0</v>
      </c>
      <c r="C56" s="64">
        <v>0</v>
      </c>
      <c r="D56" s="64">
        <v>0</v>
      </c>
      <c r="E56" s="64">
        <v>0</v>
      </c>
      <c r="F56" s="65">
        <v>0</v>
      </c>
    </row>
    <row r="57" spans="1:7" x14ac:dyDescent="0.2">
      <c r="A57" s="27" t="s">
        <v>100</v>
      </c>
      <c r="B57" s="64">
        <f>'Detalle Costo'!$E$92</f>
        <v>233974.394</v>
      </c>
      <c r="C57" s="64">
        <f>'Detalle Costo'!$E$92</f>
        <v>233974.394</v>
      </c>
      <c r="D57" s="64">
        <f>'Detalle Costo'!$E$92</f>
        <v>233974.394</v>
      </c>
      <c r="E57" s="64">
        <f>'Detalle Costo'!$E$92</f>
        <v>233974.394</v>
      </c>
      <c r="F57" s="64">
        <f>'Detalle Costo'!$E$92</f>
        <v>233974.394</v>
      </c>
    </row>
    <row r="58" spans="1:7" x14ac:dyDescent="0.2">
      <c r="A58" s="27" t="s">
        <v>15</v>
      </c>
      <c r="B58" s="64">
        <f>SUM(B51:B57)*0.02</f>
        <v>24998.14605138612</v>
      </c>
      <c r="C58" s="64">
        <f t="shared" ref="C58:F58" si="7">SUM(C51:C57)*0.02</f>
        <v>25033.865634719456</v>
      </c>
      <c r="D58" s="64">
        <f t="shared" si="7"/>
        <v>25033.865634719456</v>
      </c>
      <c r="E58" s="64">
        <f t="shared" si="7"/>
        <v>25025.53230138612</v>
      </c>
      <c r="F58" s="64">
        <f t="shared" si="7"/>
        <v>25025.53230138612</v>
      </c>
    </row>
    <row r="59" spans="1:7" x14ac:dyDescent="0.2">
      <c r="A59" s="27"/>
      <c r="B59" s="47"/>
      <c r="C59" s="47"/>
      <c r="D59" s="47"/>
      <c r="E59" s="47"/>
      <c r="F59" s="49"/>
    </row>
    <row r="60" spans="1:7" x14ac:dyDescent="0.2">
      <c r="A60" s="25" t="s">
        <v>124</v>
      </c>
      <c r="B60" s="64">
        <f>SUM(B51:B58)</f>
        <v>1274905.4486206921</v>
      </c>
      <c r="C60" s="64">
        <f t="shared" ref="C60:F60" si="8">SUM(C51:C58)</f>
        <v>1276727.1473706921</v>
      </c>
      <c r="D60" s="64">
        <f t="shared" si="8"/>
        <v>1276727.1473706921</v>
      </c>
      <c r="E60" s="64">
        <f t="shared" si="8"/>
        <v>1276302.1473706921</v>
      </c>
      <c r="F60" s="64">
        <f t="shared" si="8"/>
        <v>1276302.1473706921</v>
      </c>
    </row>
    <row r="61" spans="1:7" x14ac:dyDescent="0.2">
      <c r="A61" s="25"/>
      <c r="B61" s="88"/>
      <c r="C61" s="88"/>
      <c r="D61" s="88"/>
      <c r="E61" s="88"/>
      <c r="F61" s="89"/>
      <c r="G61" s="76"/>
    </row>
    <row r="62" spans="1:7" x14ac:dyDescent="0.2">
      <c r="A62" s="69" t="s">
        <v>102</v>
      </c>
      <c r="B62" s="90">
        <f>SUM(B52,B51,B57,B58)/B60</f>
        <v>0.96017626395363453</v>
      </c>
      <c r="C62" s="90">
        <f t="shared" ref="C62:F62" si="9">SUM(C52,C51,C57,C58)/C60</f>
        <v>0.95883421344580333</v>
      </c>
      <c r="D62" s="90">
        <f t="shared" si="9"/>
        <v>0.95883421344580333</v>
      </c>
      <c r="E62" s="90">
        <f t="shared" si="9"/>
        <v>0.95882050551675091</v>
      </c>
      <c r="F62" s="90">
        <f t="shared" si="9"/>
        <v>0.95882050551675091</v>
      </c>
      <c r="G62" s="76"/>
    </row>
    <row r="63" spans="1:7" x14ac:dyDescent="0.2">
      <c r="A63" s="35" t="s">
        <v>103</v>
      </c>
      <c r="B63" s="83">
        <f>SUM(B53,B54)/B60</f>
        <v>3.9823736046365549E-2</v>
      </c>
      <c r="C63" s="83">
        <f t="shared" ref="C63:F63" si="10">SUM(C53,C54)/C60</f>
        <v>4.1165786554196719E-2</v>
      </c>
      <c r="D63" s="83">
        <f t="shared" si="10"/>
        <v>4.1165786554196719E-2</v>
      </c>
      <c r="E63" s="83">
        <f t="shared" si="10"/>
        <v>4.1179494483249084E-2</v>
      </c>
      <c r="F63" s="83">
        <f t="shared" si="10"/>
        <v>4.1179494483249084E-2</v>
      </c>
      <c r="G63" s="76"/>
    </row>
    <row r="66" spans="1:6" x14ac:dyDescent="0.2">
      <c r="A66" s="33"/>
      <c r="B66" s="18" t="s">
        <v>125</v>
      </c>
      <c r="C66" s="18"/>
      <c r="D66" s="18"/>
      <c r="E66" s="18"/>
      <c r="F66" s="19"/>
    </row>
    <row r="67" spans="1:6" x14ac:dyDescent="0.2">
      <c r="A67" s="85" t="s">
        <v>88</v>
      </c>
      <c r="B67" s="21" t="s">
        <v>48</v>
      </c>
      <c r="C67" s="21" t="s">
        <v>89</v>
      </c>
      <c r="D67" s="21" t="s">
        <v>90</v>
      </c>
      <c r="E67" s="21" t="s">
        <v>91</v>
      </c>
      <c r="F67" s="22" t="s">
        <v>92</v>
      </c>
    </row>
    <row r="68" spans="1:6" x14ac:dyDescent="0.2">
      <c r="A68" s="23" t="s">
        <v>119</v>
      </c>
      <c r="B68" s="62">
        <f>'Detalle Costo'!$B$104</f>
        <v>352800</v>
      </c>
      <c r="C68" s="62">
        <f>'Detalle Costo'!$B$104</f>
        <v>352800</v>
      </c>
      <c r="D68" s="62">
        <f>'Detalle Costo'!$B$104</f>
        <v>352800</v>
      </c>
      <c r="E68" s="62">
        <f>'Detalle Costo'!$B$104</f>
        <v>352800</v>
      </c>
      <c r="F68" s="62">
        <f>'Detalle Costo'!$B$104</f>
        <v>352800</v>
      </c>
    </row>
    <row r="69" spans="1:6" x14ac:dyDescent="0.2">
      <c r="A69" s="27" t="s">
        <v>120</v>
      </c>
      <c r="B69" s="64">
        <f>B52</f>
        <v>24361.410499362319</v>
      </c>
      <c r="C69" s="64">
        <f t="shared" ref="C69:F69" si="11">C52</f>
        <v>24361.410499362319</v>
      </c>
      <c r="D69" s="64">
        <f t="shared" si="11"/>
        <v>24361.410499362319</v>
      </c>
      <c r="E69" s="64">
        <f t="shared" si="11"/>
        <v>23944.743832695651</v>
      </c>
      <c r="F69" s="64">
        <f t="shared" si="11"/>
        <v>23944.743832695651</v>
      </c>
    </row>
    <row r="70" spans="1:6" x14ac:dyDescent="0.2">
      <c r="A70" s="27" t="s">
        <v>98</v>
      </c>
      <c r="B70" s="64">
        <f>'Detalle Costo'!$B$117</f>
        <v>29773.893903277036</v>
      </c>
      <c r="C70" s="64">
        <f>'Detalle Costo'!$B$117</f>
        <v>29773.893903277036</v>
      </c>
      <c r="D70" s="64">
        <f>'Detalle Costo'!$B$117</f>
        <v>29773.893903277036</v>
      </c>
      <c r="E70" s="64">
        <f>'Detalle Costo'!$B$117</f>
        <v>29773.893903277036</v>
      </c>
      <c r="F70" s="64">
        <f>'Detalle Costo'!$B$117</f>
        <v>29773.893903277036</v>
      </c>
    </row>
    <row r="71" spans="1:6" x14ac:dyDescent="0.2">
      <c r="A71" s="27" t="s">
        <v>126</v>
      </c>
      <c r="B71" s="64">
        <f>'Detalle Costo'!E105</f>
        <v>33933.604166666657</v>
      </c>
      <c r="C71" s="64">
        <f>'Detalle Costo'!$E$103</f>
        <v>35719.583333333328</v>
      </c>
      <c r="D71" s="64">
        <f>'Detalle Costo'!$E$103</f>
        <v>35719.583333333328</v>
      </c>
      <c r="E71" s="64">
        <f>'Detalle Costo'!$E$103</f>
        <v>35719.583333333328</v>
      </c>
      <c r="F71" s="64">
        <f>'Detalle Costo'!$E$103</f>
        <v>35719.583333333328</v>
      </c>
    </row>
    <row r="72" spans="1:6" x14ac:dyDescent="0.2">
      <c r="A72" s="27" t="s">
        <v>122</v>
      </c>
      <c r="B72" s="64">
        <v>0</v>
      </c>
      <c r="C72" s="64">
        <v>0</v>
      </c>
      <c r="D72" s="64">
        <v>0</v>
      </c>
      <c r="E72" s="64">
        <v>0</v>
      </c>
      <c r="F72" s="64">
        <v>0</v>
      </c>
    </row>
    <row r="73" spans="1:6" x14ac:dyDescent="0.2">
      <c r="A73" s="27" t="s">
        <v>123</v>
      </c>
      <c r="B73" s="64">
        <v>0</v>
      </c>
      <c r="C73" s="64">
        <v>0</v>
      </c>
      <c r="D73" s="64">
        <v>0</v>
      </c>
      <c r="E73" s="64">
        <v>0</v>
      </c>
      <c r="F73" s="64">
        <v>0</v>
      </c>
    </row>
    <row r="74" spans="1:6" x14ac:dyDescent="0.2">
      <c r="A74" s="27" t="s">
        <v>100</v>
      </c>
      <c r="B74" s="64">
        <f>'Detalle Costo'!E116</f>
        <v>491200.64400000003</v>
      </c>
      <c r="C74" s="64">
        <f>'Detalle Costo'!$E$114</f>
        <v>513324.39400000003</v>
      </c>
      <c r="D74" s="64">
        <f>'Detalle Costo'!$E$114</f>
        <v>513324.39400000003</v>
      </c>
      <c r="E74" s="64">
        <f>'Detalle Costo'!$E$114</f>
        <v>513324.39400000003</v>
      </c>
      <c r="F74" s="64">
        <f>'Detalle Costo'!$E$114</f>
        <v>513324.39400000003</v>
      </c>
    </row>
    <row r="75" spans="1:6" x14ac:dyDescent="0.2">
      <c r="A75" s="27" t="s">
        <v>15</v>
      </c>
      <c r="B75" s="64">
        <f>0.02*SUM(B68:B74)</f>
        <v>18641.391051386119</v>
      </c>
      <c r="C75" s="64">
        <f t="shared" ref="C75:F75" si="12">0.02*SUM(C68:C74)</f>
        <v>19119.585634719457</v>
      </c>
      <c r="D75" s="64">
        <f t="shared" si="12"/>
        <v>19119.585634719457</v>
      </c>
      <c r="E75" s="64">
        <f t="shared" si="12"/>
        <v>19111.252301386121</v>
      </c>
      <c r="F75" s="64">
        <f t="shared" si="12"/>
        <v>19111.252301386121</v>
      </c>
    </row>
    <row r="76" spans="1:6" x14ac:dyDescent="0.2">
      <c r="A76" s="27"/>
      <c r="B76" s="47"/>
      <c r="C76" s="47"/>
      <c r="D76" s="47"/>
      <c r="E76" s="47"/>
      <c r="F76" s="49"/>
    </row>
    <row r="77" spans="1:6" x14ac:dyDescent="0.2">
      <c r="A77" s="25" t="s">
        <v>127</v>
      </c>
      <c r="B77" s="64">
        <f>SUM(B68:B75)</f>
        <v>950710.94362069212</v>
      </c>
      <c r="C77" s="64">
        <f t="shared" ref="C77:F77" si="13">SUM(C68:C75)</f>
        <v>975098.8673706922</v>
      </c>
      <c r="D77" s="64">
        <f t="shared" si="13"/>
        <v>975098.8673706922</v>
      </c>
      <c r="E77" s="64">
        <f t="shared" si="13"/>
        <v>974673.86737069208</v>
      </c>
      <c r="F77" s="64">
        <f t="shared" si="13"/>
        <v>974673.86737069208</v>
      </c>
    </row>
    <row r="78" spans="1:6" x14ac:dyDescent="0.2">
      <c r="A78" s="25"/>
      <c r="B78" s="88"/>
      <c r="C78" s="88"/>
      <c r="D78" s="88"/>
      <c r="E78" s="88"/>
      <c r="F78" s="89"/>
    </row>
    <row r="79" spans="1:6" x14ac:dyDescent="0.2">
      <c r="A79" s="69" t="s">
        <v>102</v>
      </c>
      <c r="B79" s="90">
        <f>SUM(B69,B68,B74,B75)/B77</f>
        <v>0.93298962371536431</v>
      </c>
      <c r="C79" s="90">
        <f t="shared" ref="C79:F79" si="14">SUM(C69,C68,C74,C75)/C77</f>
        <v>0.93283401362857654</v>
      </c>
      <c r="D79" s="90">
        <f t="shared" si="14"/>
        <v>0.93283401362857654</v>
      </c>
      <c r="E79" s="90">
        <f t="shared" si="14"/>
        <v>0.93280472635088962</v>
      </c>
      <c r="F79" s="90">
        <f t="shared" si="14"/>
        <v>0.93280472635088962</v>
      </c>
    </row>
    <row r="80" spans="1:6" x14ac:dyDescent="0.2">
      <c r="A80" s="35" t="s">
        <v>103</v>
      </c>
      <c r="B80" s="83">
        <f>SUM(B70,B71)/B77</f>
        <v>6.7010376284635742E-2</v>
      </c>
      <c r="C80" s="83">
        <f t="shared" ref="C80:F80" si="15">SUM(C70,C71)/C77</f>
        <v>6.7165986371423458E-2</v>
      </c>
      <c r="D80" s="83">
        <f t="shared" si="15"/>
        <v>6.7165986371423458E-2</v>
      </c>
      <c r="E80" s="83">
        <f t="shared" si="15"/>
        <v>6.7195273649110376E-2</v>
      </c>
      <c r="F80" s="83">
        <f t="shared" si="15"/>
        <v>6.7195273649110376E-2</v>
      </c>
    </row>
    <row r="82" spans="1:6" ht="13.5" thickBot="1" x14ac:dyDescent="0.25"/>
    <row r="83" spans="1:6" ht="16.5" thickTop="1" x14ac:dyDescent="0.25">
      <c r="A83" s="119" t="s">
        <v>128</v>
      </c>
      <c r="B83" s="264"/>
      <c r="C83" s="265"/>
      <c r="D83" s="265"/>
      <c r="E83" s="265"/>
      <c r="F83" s="266"/>
    </row>
    <row r="84" spans="1:6" ht="13.5" thickBot="1" x14ac:dyDescent="0.25">
      <c r="A84" s="27"/>
      <c r="B84" s="60" t="s">
        <v>48</v>
      </c>
      <c r="C84" s="60" t="s">
        <v>89</v>
      </c>
      <c r="D84" s="60" t="s">
        <v>90</v>
      </c>
      <c r="E84" s="60" t="s">
        <v>91</v>
      </c>
      <c r="F84" s="22" t="s">
        <v>92</v>
      </c>
    </row>
    <row r="85" spans="1:6" ht="13.5" thickTop="1" x14ac:dyDescent="0.2">
      <c r="A85" s="27" t="s">
        <v>129</v>
      </c>
      <c r="B85" s="94">
        <v>35391</v>
      </c>
      <c r="C85" s="94">
        <v>37000</v>
      </c>
      <c r="D85" s="94">
        <v>37000</v>
      </c>
      <c r="E85" s="94">
        <v>37000</v>
      </c>
      <c r="F85" s="95">
        <v>37000</v>
      </c>
    </row>
    <row r="86" spans="1:6" x14ac:dyDescent="0.2">
      <c r="A86" s="27" t="s">
        <v>130</v>
      </c>
      <c r="B86" s="64">
        <v>500</v>
      </c>
      <c r="C86" s="64">
        <v>500</v>
      </c>
      <c r="D86" s="64">
        <v>500</v>
      </c>
      <c r="E86" s="64">
        <v>500</v>
      </c>
      <c r="F86" s="65">
        <v>500</v>
      </c>
    </row>
    <row r="87" spans="1:6" x14ac:dyDescent="0.2">
      <c r="A87" s="25" t="s">
        <v>131</v>
      </c>
      <c r="B87" s="64">
        <f>B85*B86</f>
        <v>17695500</v>
      </c>
      <c r="C87" s="64">
        <f t="shared" ref="C87:F87" si="16">C85*C86</f>
        <v>18500000</v>
      </c>
      <c r="D87" s="64">
        <f t="shared" si="16"/>
        <v>18500000</v>
      </c>
      <c r="E87" s="64">
        <f t="shared" si="16"/>
        <v>18500000</v>
      </c>
      <c r="F87" s="64">
        <f t="shared" si="16"/>
        <v>18500000</v>
      </c>
    </row>
    <row r="88" spans="1:6" x14ac:dyDescent="0.2">
      <c r="A88" s="27"/>
      <c r="B88" s="88"/>
      <c r="C88" s="88"/>
      <c r="D88" s="88"/>
      <c r="E88" s="88"/>
      <c r="F88" s="89"/>
    </row>
    <row r="89" spans="1:6" x14ac:dyDescent="0.2">
      <c r="A89" s="27" t="s">
        <v>132</v>
      </c>
      <c r="B89" s="64">
        <f>B7</f>
        <v>5713329.1352308327</v>
      </c>
      <c r="C89" s="64">
        <f t="shared" ref="C89:F89" si="17">C7</f>
        <v>5764954.2055926286</v>
      </c>
      <c r="D89" s="64">
        <f t="shared" si="17"/>
        <v>5764954.2055926286</v>
      </c>
      <c r="E89" s="64">
        <f t="shared" si="17"/>
        <v>5764954.2055926286</v>
      </c>
      <c r="F89" s="64">
        <f t="shared" si="17"/>
        <v>5764954.2055926286</v>
      </c>
    </row>
    <row r="90" spans="1:6" x14ac:dyDescent="0.2">
      <c r="A90" s="27" t="s">
        <v>94</v>
      </c>
      <c r="B90" s="64">
        <f>B8</f>
        <v>863688</v>
      </c>
      <c r="C90" s="64">
        <f t="shared" ref="C90:F90" si="18">C8</f>
        <v>890400</v>
      </c>
      <c r="D90" s="64">
        <f t="shared" si="18"/>
        <v>890400</v>
      </c>
      <c r="E90" s="64">
        <f t="shared" si="18"/>
        <v>890400</v>
      </c>
      <c r="F90" s="64">
        <f t="shared" si="18"/>
        <v>890400</v>
      </c>
    </row>
    <row r="91" spans="1:6" x14ac:dyDescent="0.2">
      <c r="A91" s="27" t="s">
        <v>133</v>
      </c>
      <c r="B91" s="64">
        <f>SUM(B10:B15)</f>
        <v>1617742.7273108081</v>
      </c>
      <c r="C91" s="64">
        <f t="shared" ref="C91:F91" si="19">SUM(C10:C15)</f>
        <v>1661994.6976844112</v>
      </c>
      <c r="D91" s="64">
        <f t="shared" si="19"/>
        <v>1661994.6976844112</v>
      </c>
      <c r="E91" s="64">
        <f t="shared" si="19"/>
        <v>1662594.914304411</v>
      </c>
      <c r="F91" s="64">
        <f t="shared" si="19"/>
        <v>1662594.914304411</v>
      </c>
    </row>
    <row r="92" spans="1:6" x14ac:dyDescent="0.2">
      <c r="A92" s="27"/>
      <c r="B92" s="88"/>
      <c r="C92" s="88"/>
      <c r="D92" s="88"/>
      <c r="E92" s="88"/>
      <c r="F92" s="89"/>
    </row>
    <row r="93" spans="1:6" x14ac:dyDescent="0.2">
      <c r="A93" s="27" t="s">
        <v>134</v>
      </c>
      <c r="B93" s="96">
        <f>B16</f>
        <v>8194759.8625416411</v>
      </c>
      <c r="C93" s="96">
        <f t="shared" ref="C93:F93" si="20">C16</f>
        <v>8317348.9032770395</v>
      </c>
      <c r="D93" s="96">
        <f t="shared" si="20"/>
        <v>8317348.9032770395</v>
      </c>
      <c r="E93" s="96">
        <f t="shared" si="20"/>
        <v>8317949.1198970396</v>
      </c>
      <c r="F93" s="96">
        <f t="shared" si="20"/>
        <v>8317949.1198970396</v>
      </c>
    </row>
    <row r="94" spans="1:6" x14ac:dyDescent="0.2">
      <c r="A94" s="27"/>
      <c r="B94" s="88"/>
      <c r="C94" s="88"/>
      <c r="D94" s="88"/>
      <c r="E94" s="88"/>
      <c r="F94" s="89"/>
    </row>
    <row r="95" spans="1:6" x14ac:dyDescent="0.2">
      <c r="A95" s="27" t="s">
        <v>113</v>
      </c>
      <c r="B95" s="88"/>
      <c r="C95" s="88"/>
      <c r="D95" s="88"/>
      <c r="E95" s="88"/>
      <c r="F95" s="89"/>
    </row>
    <row r="96" spans="1:6" x14ac:dyDescent="0.2">
      <c r="A96" s="29" t="s">
        <v>106</v>
      </c>
      <c r="B96" s="64">
        <f>G34</f>
        <v>104146.36805204375</v>
      </c>
      <c r="C96" s="64">
        <v>0</v>
      </c>
      <c r="D96" s="64">
        <v>0</v>
      </c>
      <c r="E96" s="64">
        <v>0</v>
      </c>
      <c r="F96" s="64">
        <v>0</v>
      </c>
    </row>
    <row r="97" spans="1:11" x14ac:dyDescent="0.2">
      <c r="A97" s="29" t="s">
        <v>115</v>
      </c>
      <c r="B97" s="64">
        <f>B41</f>
        <v>154408.75526670308</v>
      </c>
      <c r="C97" s="64">
        <f t="shared" ref="C97:F97" si="21">C41</f>
        <v>-268.6818952136382</v>
      </c>
      <c r="D97" s="64">
        <f t="shared" si="21"/>
        <v>0</v>
      </c>
      <c r="E97" s="64">
        <f t="shared" si="21"/>
        <v>6.2286983616650105</v>
      </c>
      <c r="F97" s="64">
        <f t="shared" si="21"/>
        <v>0</v>
      </c>
    </row>
    <row r="98" spans="1:11" x14ac:dyDescent="0.2">
      <c r="A98" s="27"/>
      <c r="B98" s="88"/>
      <c r="C98" s="88"/>
      <c r="D98" s="88"/>
      <c r="E98" s="88"/>
      <c r="F98" s="89"/>
    </row>
    <row r="99" spans="1:11" x14ac:dyDescent="0.2">
      <c r="A99" s="25" t="s">
        <v>135</v>
      </c>
      <c r="B99" s="64">
        <f>B93-B96-B97</f>
        <v>7936204.7392228944</v>
      </c>
      <c r="C99" s="64">
        <f t="shared" ref="C99:F99" si="22">C93-C96-C97</f>
        <v>8317617.5851722527</v>
      </c>
      <c r="D99" s="64">
        <f t="shared" si="22"/>
        <v>8317348.9032770395</v>
      </c>
      <c r="E99" s="64">
        <f t="shared" si="22"/>
        <v>8317942.8911986779</v>
      </c>
      <c r="F99" s="64">
        <f t="shared" si="22"/>
        <v>8317949.1198970396</v>
      </c>
    </row>
    <row r="100" spans="1:11" x14ac:dyDescent="0.2">
      <c r="A100" s="29" t="s">
        <v>136</v>
      </c>
      <c r="B100" s="267">
        <f>B85</f>
        <v>35391</v>
      </c>
      <c r="C100" s="267">
        <f t="shared" ref="C100:F100" si="23">C85</f>
        <v>37000</v>
      </c>
      <c r="D100" s="267">
        <f t="shared" si="23"/>
        <v>37000</v>
      </c>
      <c r="E100" s="267">
        <f t="shared" si="23"/>
        <v>37000</v>
      </c>
      <c r="F100" s="267">
        <f t="shared" si="23"/>
        <v>37000</v>
      </c>
    </row>
    <row r="101" spans="1:11" x14ac:dyDescent="0.2">
      <c r="A101" s="27" t="s">
        <v>137</v>
      </c>
      <c r="B101" s="64">
        <f>B99/B100</f>
        <v>224.24358563541281</v>
      </c>
      <c r="C101" s="64">
        <f t="shared" ref="C101:F101" si="24">C99/C100</f>
        <v>224.80047527492576</v>
      </c>
      <c r="D101" s="64">
        <f t="shared" si="24"/>
        <v>224.79321360208215</v>
      </c>
      <c r="E101" s="64">
        <f t="shared" si="24"/>
        <v>224.80926732969399</v>
      </c>
      <c r="F101" s="64">
        <f t="shared" si="24"/>
        <v>224.80943567289296</v>
      </c>
    </row>
    <row r="102" spans="1:11" x14ac:dyDescent="0.2">
      <c r="A102" s="27"/>
      <c r="B102" s="98"/>
      <c r="C102" s="98"/>
      <c r="D102" s="98"/>
      <c r="E102" s="98"/>
      <c r="F102" s="99"/>
    </row>
    <row r="103" spans="1:11" x14ac:dyDescent="0.2">
      <c r="A103" s="27" t="s">
        <v>113</v>
      </c>
      <c r="B103" s="98"/>
      <c r="C103" s="98"/>
      <c r="D103" s="98"/>
      <c r="E103" s="98"/>
      <c r="F103" s="99"/>
    </row>
    <row r="104" spans="1:11" x14ac:dyDescent="0.2">
      <c r="A104" s="27" t="s">
        <v>138</v>
      </c>
      <c r="B104" s="64">
        <f>B101*'Detalle Costo'!$J$19</f>
        <v>104376.41936985924</v>
      </c>
      <c r="C104" s="64">
        <f>B104-C101*'Detalle Costo'!$K$19</f>
        <v>-259.20985160769487</v>
      </c>
      <c r="D104" s="64">
        <f>I104-H104</f>
        <v>-3.3800182417908218</v>
      </c>
      <c r="E104" s="64">
        <f t="shared" ref="E104:F104" si="25">J104-I104</f>
        <v>7.4723680542228976</v>
      </c>
      <c r="F104" s="64">
        <f t="shared" si="25"/>
        <v>7.8357025384320877E-2</v>
      </c>
      <c r="H104" s="248">
        <f>C101*'Detalle Costo'!$K$19</f>
        <v>104635.62922146694</v>
      </c>
      <c r="I104" s="248">
        <f>D101*'Detalle Costo'!$K$19</f>
        <v>104632.24920322515</v>
      </c>
      <c r="J104" s="248">
        <f>E101*'Detalle Costo'!$K$19</f>
        <v>104639.72157127937</v>
      </c>
      <c r="K104" s="248">
        <f>F101*'Detalle Costo'!$K$19</f>
        <v>104639.79992830475</v>
      </c>
    </row>
    <row r="105" spans="1:11" x14ac:dyDescent="0.2">
      <c r="A105" s="27"/>
      <c r="B105" s="98"/>
      <c r="C105" s="98"/>
      <c r="D105" s="98"/>
      <c r="E105" s="98"/>
      <c r="F105" s="99"/>
    </row>
    <row r="106" spans="1:11" x14ac:dyDescent="0.2">
      <c r="A106" s="25" t="s">
        <v>139</v>
      </c>
      <c r="B106" s="64">
        <f>B99-B104</f>
        <v>7831828.3198530348</v>
      </c>
      <c r="C106" s="64">
        <f>C99-C104</f>
        <v>8317876.7950238604</v>
      </c>
      <c r="D106" s="64">
        <f t="shared" ref="D106:F106" si="26">D99-D104</f>
        <v>8317352.2832952812</v>
      </c>
      <c r="E106" s="64">
        <f t="shared" si="26"/>
        <v>8317935.4188306239</v>
      </c>
      <c r="F106" s="64">
        <f t="shared" si="26"/>
        <v>8317949.0415400146</v>
      </c>
    </row>
    <row r="107" spans="1:11" x14ac:dyDescent="0.2">
      <c r="A107" s="27"/>
      <c r="B107" s="88"/>
      <c r="C107" s="88"/>
      <c r="D107" s="88"/>
      <c r="E107" s="88"/>
      <c r="F107" s="89"/>
    </row>
    <row r="108" spans="1:11" x14ac:dyDescent="0.2">
      <c r="A108" s="25" t="s">
        <v>140</v>
      </c>
      <c r="B108" s="64">
        <f>B60</f>
        <v>1274905.4486206921</v>
      </c>
      <c r="C108" s="64">
        <f t="shared" ref="C108:F108" si="27">C60</f>
        <v>1276727.1473706921</v>
      </c>
      <c r="D108" s="64">
        <f t="shared" si="27"/>
        <v>1276727.1473706921</v>
      </c>
      <c r="E108" s="64">
        <f t="shared" si="27"/>
        <v>1276302.1473706921</v>
      </c>
      <c r="F108" s="64">
        <f t="shared" si="27"/>
        <v>1276302.1473706921</v>
      </c>
    </row>
    <row r="109" spans="1:11" x14ac:dyDescent="0.2">
      <c r="A109" s="25" t="s">
        <v>141</v>
      </c>
      <c r="B109" s="96">
        <f>B77</f>
        <v>950710.94362069212</v>
      </c>
      <c r="C109" s="96">
        <f t="shared" ref="C109:F109" si="28">C77</f>
        <v>975098.8673706922</v>
      </c>
      <c r="D109" s="96">
        <f t="shared" si="28"/>
        <v>975098.8673706922</v>
      </c>
      <c r="E109" s="96">
        <f t="shared" si="28"/>
        <v>974673.86737069208</v>
      </c>
      <c r="F109" s="96">
        <f t="shared" si="28"/>
        <v>974673.86737069208</v>
      </c>
    </row>
    <row r="110" spans="1:11" x14ac:dyDescent="0.2">
      <c r="A110" s="27"/>
      <c r="B110" s="98"/>
      <c r="C110" s="98"/>
      <c r="D110" s="98"/>
      <c r="E110" s="98"/>
      <c r="F110" s="99"/>
    </row>
    <row r="111" spans="1:11" x14ac:dyDescent="0.2">
      <c r="A111" s="25" t="s">
        <v>142</v>
      </c>
      <c r="B111" s="96">
        <f>B99+B108+B109</f>
        <v>10161821.13146428</v>
      </c>
      <c r="C111" s="96">
        <f t="shared" ref="C111:F111" si="29">C99+C108+C109</f>
        <v>10569443.599913638</v>
      </c>
      <c r="D111" s="96">
        <f t="shared" si="29"/>
        <v>10569174.918018425</v>
      </c>
      <c r="E111" s="96">
        <f t="shared" si="29"/>
        <v>10568918.905940063</v>
      </c>
      <c r="F111" s="96">
        <f t="shared" si="29"/>
        <v>10568925.134638425</v>
      </c>
    </row>
    <row r="112" spans="1:11" x14ac:dyDescent="0.2">
      <c r="A112" s="27"/>
      <c r="B112" s="98"/>
      <c r="C112" s="98"/>
      <c r="D112" s="98"/>
      <c r="E112" s="98"/>
      <c r="F112" s="99"/>
    </row>
    <row r="113" spans="1:6" x14ac:dyDescent="0.2">
      <c r="A113" s="25" t="s">
        <v>143</v>
      </c>
      <c r="B113" s="96">
        <f>B111/B85</f>
        <v>287.13009328541943</v>
      </c>
      <c r="C113" s="96">
        <f t="shared" ref="C113:F113" si="30">C111/C85</f>
        <v>285.66063783550374</v>
      </c>
      <c r="D113" s="96">
        <f t="shared" si="30"/>
        <v>285.65337616266015</v>
      </c>
      <c r="E113" s="96">
        <f t="shared" si="30"/>
        <v>285.64645691729902</v>
      </c>
      <c r="F113" s="96">
        <f t="shared" si="30"/>
        <v>285.64662526049796</v>
      </c>
    </row>
    <row r="114" spans="1:6" x14ac:dyDescent="0.2">
      <c r="A114" s="27"/>
      <c r="B114" s="98"/>
      <c r="C114" s="98"/>
      <c r="D114" s="98"/>
      <c r="E114" s="98"/>
      <c r="F114" s="99"/>
    </row>
    <row r="115" spans="1:6" x14ac:dyDescent="0.2">
      <c r="A115" s="25" t="s">
        <v>144</v>
      </c>
      <c r="B115" s="96">
        <f>B87-B111</f>
        <v>7533678.8685357198</v>
      </c>
      <c r="C115" s="96">
        <f t="shared" ref="C115:F115" si="31">C87-C111</f>
        <v>7930556.4000863619</v>
      </c>
      <c r="D115" s="96">
        <f t="shared" si="31"/>
        <v>7930825.0819815751</v>
      </c>
      <c r="E115" s="96">
        <f t="shared" si="31"/>
        <v>7931081.0940599367</v>
      </c>
      <c r="F115" s="96">
        <f t="shared" si="31"/>
        <v>7931074.865361575</v>
      </c>
    </row>
    <row r="116" spans="1:6" x14ac:dyDescent="0.2">
      <c r="A116" s="25" t="s">
        <v>3</v>
      </c>
      <c r="B116" s="96">
        <f>0.02*B115</f>
        <v>150673.5773707144</v>
      </c>
      <c r="C116" s="96">
        <f t="shared" ref="C116:F116" si="32">0.02*C115</f>
        <v>158611.12800172725</v>
      </c>
      <c r="D116" s="96">
        <f t="shared" si="32"/>
        <v>158616.50163963152</v>
      </c>
      <c r="E116" s="96">
        <f t="shared" si="32"/>
        <v>158621.62188119875</v>
      </c>
      <c r="F116" s="96">
        <f t="shared" si="32"/>
        <v>158621.4973072315</v>
      </c>
    </row>
    <row r="117" spans="1:6" x14ac:dyDescent="0.2">
      <c r="A117" s="46" t="s">
        <v>145</v>
      </c>
      <c r="B117" s="96">
        <f>0.35*(B115-B116)</f>
        <v>2584051.8519077515</v>
      </c>
      <c r="C117" s="96">
        <f t="shared" ref="C117:F117" si="33">0.35*(C115-C116)</f>
        <v>2720180.845229622</v>
      </c>
      <c r="D117" s="96">
        <f t="shared" si="33"/>
        <v>2720273.0031196801</v>
      </c>
      <c r="E117" s="96">
        <f t="shared" si="33"/>
        <v>2720360.8152625579</v>
      </c>
      <c r="F117" s="96">
        <f t="shared" si="33"/>
        <v>2720358.6788190198</v>
      </c>
    </row>
    <row r="118" spans="1:6" x14ac:dyDescent="0.2">
      <c r="A118" s="25"/>
      <c r="B118" s="98"/>
      <c r="C118" s="98"/>
      <c r="D118" s="98"/>
      <c r="E118" s="98"/>
      <c r="F118" s="99"/>
    </row>
    <row r="119" spans="1:6" x14ac:dyDescent="0.2">
      <c r="A119" s="46" t="s">
        <v>146</v>
      </c>
      <c r="B119" s="96">
        <f>B115-B116-B117</f>
        <v>4798953.4392572539</v>
      </c>
      <c r="C119" s="96">
        <f t="shared" ref="C119:F119" si="34">C115-C116-C117</f>
        <v>5051764.4268550128</v>
      </c>
      <c r="D119" s="96">
        <f t="shared" si="34"/>
        <v>5051935.5772222634</v>
      </c>
      <c r="E119" s="96">
        <f t="shared" si="34"/>
        <v>5052098.6569161797</v>
      </c>
      <c r="F119" s="96">
        <f t="shared" si="34"/>
        <v>5052094.689235324</v>
      </c>
    </row>
    <row r="120" spans="1:6" x14ac:dyDescent="0.2">
      <c r="A120" s="25" t="s">
        <v>147</v>
      </c>
      <c r="B120" s="285">
        <f>B119/B87</f>
        <v>0.27119626115437562</v>
      </c>
      <c r="C120" s="285">
        <f t="shared" ref="C120:F120" si="35">C119/C87</f>
        <v>0.27306834739756825</v>
      </c>
      <c r="D120" s="285">
        <f t="shared" si="35"/>
        <v>0.27307759876877102</v>
      </c>
      <c r="E120" s="285">
        <f t="shared" si="35"/>
        <v>0.27308641388736105</v>
      </c>
      <c r="F120" s="285">
        <f t="shared" si="35"/>
        <v>0.27308619941812562</v>
      </c>
    </row>
    <row r="121" spans="1:6" x14ac:dyDescent="0.2">
      <c r="A121" s="25"/>
      <c r="B121" s="102"/>
      <c r="C121" s="102"/>
      <c r="D121" s="102"/>
      <c r="E121" s="102"/>
      <c r="F121" s="103"/>
    </row>
    <row r="122" spans="1:6" x14ac:dyDescent="0.2">
      <c r="A122" s="25" t="s">
        <v>148</v>
      </c>
      <c r="B122" s="100"/>
      <c r="C122" s="100"/>
      <c r="D122" s="100"/>
      <c r="E122" s="100"/>
      <c r="F122" s="101"/>
    </row>
    <row r="123" spans="1:6" x14ac:dyDescent="0.2">
      <c r="A123" s="46" t="s">
        <v>149</v>
      </c>
      <c r="B123" s="269">
        <f>B119</f>
        <v>4798953.4392572539</v>
      </c>
      <c r="C123" s="269">
        <f t="shared" ref="C123:F123" si="36">C119</f>
        <v>5051764.4268550128</v>
      </c>
      <c r="D123" s="269">
        <f t="shared" si="36"/>
        <v>5051935.5772222634</v>
      </c>
      <c r="E123" s="269">
        <f t="shared" si="36"/>
        <v>5052098.6569161797</v>
      </c>
      <c r="F123" s="269">
        <f t="shared" si="36"/>
        <v>5052094.689235324</v>
      </c>
    </row>
    <row r="124" spans="1:6" x14ac:dyDescent="0.2">
      <c r="A124" s="25" t="s">
        <v>150</v>
      </c>
      <c r="B124" s="268">
        <f>B69+B10+B52</f>
        <v>535951.03098597098</v>
      </c>
      <c r="C124" s="268">
        <f t="shared" ref="C124:F124" si="37">C69+C10+C52</f>
        <v>535951.03098597098</v>
      </c>
      <c r="D124" s="268">
        <f t="shared" si="37"/>
        <v>535951.03098597098</v>
      </c>
      <c r="E124" s="268">
        <f t="shared" si="37"/>
        <v>526784.36431930435</v>
      </c>
      <c r="F124" s="268">
        <f t="shared" si="37"/>
        <v>526784.36431930435</v>
      </c>
    </row>
    <row r="125" spans="1:6" ht="13.5" thickBot="1" x14ac:dyDescent="0.25">
      <c r="A125" s="35" t="s">
        <v>151</v>
      </c>
      <c r="B125" s="268">
        <f>B124+B123</f>
        <v>5334904.4702432249</v>
      </c>
      <c r="C125" s="268">
        <f t="shared" ref="C125:F125" si="38">C124+C123</f>
        <v>5587715.4578409838</v>
      </c>
      <c r="D125" s="268">
        <f t="shared" si="38"/>
        <v>5587886.6082082344</v>
      </c>
      <c r="E125" s="268">
        <f t="shared" si="38"/>
        <v>5578883.0212354837</v>
      </c>
      <c r="F125" s="268">
        <f t="shared" si="38"/>
        <v>5578879.053554628</v>
      </c>
    </row>
    <row r="126" spans="1:6" ht="13.5" thickTop="1" x14ac:dyDescent="0.2">
      <c r="A126" s="25"/>
      <c r="B126" s="30"/>
      <c r="C126" s="30"/>
      <c r="D126" s="30"/>
      <c r="E126" s="30"/>
      <c r="F126" s="104"/>
    </row>
    <row r="127" spans="1:6" x14ac:dyDescent="0.2">
      <c r="A127" s="25" t="s">
        <v>152</v>
      </c>
      <c r="B127" s="28">
        <f>B18*B16</f>
        <v>1405368.8679194355</v>
      </c>
      <c r="C127" s="28">
        <f t="shared" ref="C127:F127" si="39">C18*C16</f>
        <v>1443052.5746005217</v>
      </c>
      <c r="D127" s="28">
        <f t="shared" si="39"/>
        <v>1443052.5746005217</v>
      </c>
      <c r="E127" s="28">
        <f t="shared" si="39"/>
        <v>1434731.0102205216</v>
      </c>
      <c r="F127" s="28">
        <f t="shared" si="39"/>
        <v>1434731.0102205216</v>
      </c>
    </row>
    <row r="128" spans="1:6" x14ac:dyDescent="0.2">
      <c r="A128" s="46" t="s">
        <v>153</v>
      </c>
      <c r="B128" s="28">
        <f>B19*B16</f>
        <v>6789390.9946222054</v>
      </c>
      <c r="C128" s="28">
        <f t="shared" ref="C128:F128" si="40">C19*C16</f>
        <v>6874296.3286765181</v>
      </c>
      <c r="D128" s="28">
        <f t="shared" si="40"/>
        <v>6874296.3286765181</v>
      </c>
      <c r="E128" s="28">
        <f t="shared" si="40"/>
        <v>6883218.1096765175</v>
      </c>
      <c r="F128" s="28">
        <f t="shared" si="40"/>
        <v>6883218.1096765175</v>
      </c>
    </row>
    <row r="129" spans="1:6" x14ac:dyDescent="0.2">
      <c r="A129" s="25" t="s">
        <v>154</v>
      </c>
      <c r="B129" s="28">
        <f>B62*B60</f>
        <v>1224133.9505507485</v>
      </c>
      <c r="C129" s="28">
        <f t="shared" ref="C129:F129" si="41">C62*C60</f>
        <v>1224169.6701340817</v>
      </c>
      <c r="D129" s="28">
        <f t="shared" si="41"/>
        <v>1224169.6701340817</v>
      </c>
      <c r="E129" s="28">
        <f t="shared" si="41"/>
        <v>1223744.6701340817</v>
      </c>
      <c r="F129" s="28">
        <f t="shared" si="41"/>
        <v>1223744.6701340817</v>
      </c>
    </row>
    <row r="130" spans="1:6" x14ac:dyDescent="0.2">
      <c r="A130" s="46" t="s">
        <v>155</v>
      </c>
      <c r="B130" s="28">
        <f>B63*B60</f>
        <v>50771.4980699437</v>
      </c>
      <c r="C130" s="28">
        <f t="shared" ref="C130:F130" si="42">C63*C60</f>
        <v>52557.477236610372</v>
      </c>
      <c r="D130" s="28">
        <f t="shared" si="42"/>
        <v>52557.477236610372</v>
      </c>
      <c r="E130" s="28">
        <f t="shared" si="42"/>
        <v>52557.477236610372</v>
      </c>
      <c r="F130" s="28">
        <f t="shared" si="42"/>
        <v>52557.477236610372</v>
      </c>
    </row>
    <row r="131" spans="1:6" x14ac:dyDescent="0.2">
      <c r="A131" s="25" t="s">
        <v>156</v>
      </c>
      <c r="B131" s="28">
        <f>B79*B77</f>
        <v>887003.4455507485</v>
      </c>
      <c r="C131" s="28">
        <f t="shared" ref="C131:F131" si="43">C79*C77</f>
        <v>909605.39013408183</v>
      </c>
      <c r="D131" s="28">
        <f t="shared" si="43"/>
        <v>909605.39013408183</v>
      </c>
      <c r="E131" s="28">
        <f t="shared" si="43"/>
        <v>909180.39013408171</v>
      </c>
      <c r="F131" s="28">
        <f t="shared" si="43"/>
        <v>909180.39013408171</v>
      </c>
    </row>
    <row r="132" spans="1:6" x14ac:dyDescent="0.2">
      <c r="A132" s="46" t="s">
        <v>157</v>
      </c>
      <c r="B132" s="28">
        <f>B80*B77</f>
        <v>63707.498069943693</v>
      </c>
      <c r="C132" s="28">
        <f t="shared" ref="C132:F132" si="44">C80*C77</f>
        <v>65493.477236610364</v>
      </c>
      <c r="D132" s="28">
        <f t="shared" si="44"/>
        <v>65493.477236610364</v>
      </c>
      <c r="E132" s="28">
        <f t="shared" si="44"/>
        <v>65493.477236610364</v>
      </c>
      <c r="F132" s="28">
        <f t="shared" si="44"/>
        <v>65493.477236610364</v>
      </c>
    </row>
    <row r="133" spans="1:6" x14ac:dyDescent="0.2">
      <c r="A133" s="25" t="s">
        <v>158</v>
      </c>
      <c r="B133" s="28">
        <f>B87-B128-B130-B132</f>
        <v>10791630.009237908</v>
      </c>
      <c r="C133" s="28">
        <f t="shared" ref="C133:F133" si="45">C87-C128-C130-C132</f>
        <v>11507652.716850262</v>
      </c>
      <c r="D133" s="28">
        <f t="shared" si="45"/>
        <v>11507652.716850262</v>
      </c>
      <c r="E133" s="28">
        <f t="shared" si="45"/>
        <v>11498730.935850263</v>
      </c>
      <c r="F133" s="28">
        <f t="shared" si="45"/>
        <v>11498730.935850263</v>
      </c>
    </row>
    <row r="134" spans="1:6" x14ac:dyDescent="0.2">
      <c r="A134" s="35" t="s">
        <v>159</v>
      </c>
      <c r="B134" s="270">
        <f>(B127+B129+B131)/B133</f>
        <v>0.32585496917617768</v>
      </c>
      <c r="C134" s="270">
        <f t="shared" ref="C134:F134" si="46">(C127+C129+C131)/C133</f>
        <v>0.31082165258873851</v>
      </c>
      <c r="D134" s="270">
        <f t="shared" si="46"/>
        <v>0.31082165258873851</v>
      </c>
      <c r="E134" s="270">
        <f t="shared" si="46"/>
        <v>0.3102652014724161</v>
      </c>
      <c r="F134" s="270">
        <f t="shared" si="46"/>
        <v>0.3102652014724161</v>
      </c>
    </row>
    <row r="135" spans="1:6" ht="16.5" thickTop="1" x14ac:dyDescent="0.25">
      <c r="A135" s="105" t="s">
        <v>160</v>
      </c>
    </row>
    <row r="136" spans="1:6" ht="15.75" x14ac:dyDescent="0.25">
      <c r="A136" s="105"/>
    </row>
    <row r="137" spans="1:6" ht="15.75" x14ac:dyDescent="0.25">
      <c r="A137" s="278" t="s">
        <v>48</v>
      </c>
      <c r="B137" s="278"/>
      <c r="C137" s="278"/>
      <c r="D137" s="278"/>
      <c r="E137" s="278"/>
    </row>
    <row r="138" spans="1:6" x14ac:dyDescent="0.2">
      <c r="A138" s="16" t="s">
        <v>613</v>
      </c>
      <c r="B138" s="16" t="s">
        <v>614</v>
      </c>
      <c r="C138" s="16" t="s">
        <v>615</v>
      </c>
      <c r="D138" s="273" t="s">
        <v>618</v>
      </c>
      <c r="E138" s="273" t="s">
        <v>619</v>
      </c>
    </row>
    <row r="139" spans="1:6" x14ac:dyDescent="0.2">
      <c r="A139" s="271">
        <v>1000</v>
      </c>
      <c r="B139" s="248">
        <f>$B$131+$B$129+$B$127</f>
        <v>3516506.2640209328</v>
      </c>
      <c r="C139" s="248">
        <f t="shared" ref="C139:C179" si="47">A139*$B$181</f>
        <v>195074.17113848415</v>
      </c>
      <c r="D139" s="248">
        <f>B139+C139</f>
        <v>3711580.4351594169</v>
      </c>
      <c r="E139" s="16">
        <f>500*A139</f>
        <v>500000</v>
      </c>
    </row>
    <row r="140" spans="1:6" x14ac:dyDescent="0.2">
      <c r="A140" s="272">
        <v>2000</v>
      </c>
      <c r="B140" s="248">
        <f t="shared" ref="B140:B179" si="48">$B$131+$B$129+$B$127</f>
        <v>3516506.2640209328</v>
      </c>
      <c r="C140" s="248">
        <f t="shared" si="47"/>
        <v>390148.34227696829</v>
      </c>
      <c r="D140" s="248">
        <f t="shared" ref="D140:D179" si="49">B140+C140</f>
        <v>3906654.6062979009</v>
      </c>
      <c r="E140" s="16">
        <f t="shared" ref="E140:E179" si="50">500*A140</f>
        <v>1000000</v>
      </c>
    </row>
    <row r="141" spans="1:6" x14ac:dyDescent="0.2">
      <c r="A141" s="271">
        <v>3000</v>
      </c>
      <c r="B141" s="248">
        <f t="shared" si="48"/>
        <v>3516506.2640209328</v>
      </c>
      <c r="C141" s="248">
        <f t="shared" si="47"/>
        <v>585222.51341545244</v>
      </c>
      <c r="D141" s="248">
        <f t="shared" si="49"/>
        <v>4101728.7774363854</v>
      </c>
      <c r="E141" s="16">
        <f t="shared" si="50"/>
        <v>1500000</v>
      </c>
    </row>
    <row r="142" spans="1:6" x14ac:dyDescent="0.2">
      <c r="A142" s="272">
        <v>4000</v>
      </c>
      <c r="B142" s="248">
        <f t="shared" si="48"/>
        <v>3516506.2640209328</v>
      </c>
      <c r="C142" s="248">
        <f t="shared" si="47"/>
        <v>780296.68455393659</v>
      </c>
      <c r="D142" s="248">
        <f t="shared" si="49"/>
        <v>4296802.948574869</v>
      </c>
      <c r="E142" s="16">
        <f t="shared" si="50"/>
        <v>2000000</v>
      </c>
    </row>
    <row r="143" spans="1:6" x14ac:dyDescent="0.2">
      <c r="A143" s="271">
        <v>5000</v>
      </c>
      <c r="B143" s="248">
        <f t="shared" si="48"/>
        <v>3516506.2640209328</v>
      </c>
      <c r="C143" s="248">
        <f t="shared" si="47"/>
        <v>975370.85569242085</v>
      </c>
      <c r="D143" s="248">
        <f t="shared" si="49"/>
        <v>4491877.1197133539</v>
      </c>
      <c r="E143" s="16">
        <f t="shared" si="50"/>
        <v>2500000</v>
      </c>
    </row>
    <row r="144" spans="1:6" x14ac:dyDescent="0.2">
      <c r="A144" s="272">
        <v>6000</v>
      </c>
      <c r="B144" s="248">
        <f t="shared" si="48"/>
        <v>3516506.2640209328</v>
      </c>
      <c r="C144" s="248">
        <f t="shared" si="47"/>
        <v>1170445.0268309049</v>
      </c>
      <c r="D144" s="248">
        <f t="shared" si="49"/>
        <v>4686951.290851838</v>
      </c>
      <c r="E144" s="16">
        <f t="shared" si="50"/>
        <v>3000000</v>
      </c>
    </row>
    <row r="145" spans="1:5" x14ac:dyDescent="0.2">
      <c r="A145" s="271">
        <v>7000</v>
      </c>
      <c r="B145" s="248">
        <f t="shared" si="48"/>
        <v>3516506.2640209328</v>
      </c>
      <c r="C145" s="248">
        <f t="shared" si="47"/>
        <v>1365519.1979693891</v>
      </c>
      <c r="D145" s="248">
        <f t="shared" si="49"/>
        <v>4882025.461990322</v>
      </c>
      <c r="E145" s="16">
        <f t="shared" si="50"/>
        <v>3500000</v>
      </c>
    </row>
    <row r="146" spans="1:5" x14ac:dyDescent="0.2">
      <c r="A146" s="272">
        <v>8000</v>
      </c>
      <c r="B146" s="248">
        <f t="shared" si="48"/>
        <v>3516506.2640209328</v>
      </c>
      <c r="C146" s="248">
        <f t="shared" si="47"/>
        <v>1560593.3691078732</v>
      </c>
      <c r="D146" s="248">
        <f t="shared" si="49"/>
        <v>5077099.633128806</v>
      </c>
      <c r="E146" s="16">
        <f t="shared" si="50"/>
        <v>4000000</v>
      </c>
    </row>
    <row r="147" spans="1:5" x14ac:dyDescent="0.2">
      <c r="A147" s="271">
        <v>9000</v>
      </c>
      <c r="B147" s="248">
        <f t="shared" si="48"/>
        <v>3516506.2640209328</v>
      </c>
      <c r="C147" s="248">
        <f t="shared" si="47"/>
        <v>1755667.5402463574</v>
      </c>
      <c r="D147" s="248">
        <f t="shared" si="49"/>
        <v>5272173.80426729</v>
      </c>
      <c r="E147" s="16">
        <f t="shared" si="50"/>
        <v>4500000</v>
      </c>
    </row>
    <row r="148" spans="1:5" x14ac:dyDescent="0.2">
      <c r="A148" s="272">
        <v>10000</v>
      </c>
      <c r="B148" s="248">
        <f t="shared" si="48"/>
        <v>3516506.2640209328</v>
      </c>
      <c r="C148" s="248">
        <f t="shared" si="47"/>
        <v>1950741.7113848417</v>
      </c>
      <c r="D148" s="248">
        <f t="shared" si="49"/>
        <v>5467247.975405775</v>
      </c>
      <c r="E148" s="16">
        <f t="shared" si="50"/>
        <v>5000000</v>
      </c>
    </row>
    <row r="149" spans="1:5" x14ac:dyDescent="0.2">
      <c r="A149" s="271">
        <v>11000</v>
      </c>
      <c r="B149" s="248">
        <f t="shared" si="48"/>
        <v>3516506.2640209328</v>
      </c>
      <c r="C149" s="248">
        <f t="shared" si="47"/>
        <v>2145815.8825233257</v>
      </c>
      <c r="D149" s="248">
        <f t="shared" si="49"/>
        <v>5662322.146544259</v>
      </c>
      <c r="E149" s="16">
        <f t="shared" si="50"/>
        <v>5500000</v>
      </c>
    </row>
    <row r="150" spans="1:5" x14ac:dyDescent="0.2">
      <c r="A150" s="272">
        <v>12000</v>
      </c>
      <c r="B150" s="248">
        <f t="shared" si="48"/>
        <v>3516506.2640209328</v>
      </c>
      <c r="C150" s="248">
        <f t="shared" si="47"/>
        <v>2340890.0536618098</v>
      </c>
      <c r="D150" s="248">
        <f t="shared" si="49"/>
        <v>5857396.3176827431</v>
      </c>
      <c r="E150" s="16">
        <f t="shared" si="50"/>
        <v>6000000</v>
      </c>
    </row>
    <row r="151" spans="1:5" x14ac:dyDescent="0.2">
      <c r="A151" s="271">
        <v>13000</v>
      </c>
      <c r="B151" s="248">
        <f t="shared" si="48"/>
        <v>3516506.2640209328</v>
      </c>
      <c r="C151" s="248">
        <f t="shared" si="47"/>
        <v>2535964.2248002943</v>
      </c>
      <c r="D151" s="248">
        <f t="shared" si="49"/>
        <v>6052470.4888212271</v>
      </c>
      <c r="E151" s="16">
        <f t="shared" si="50"/>
        <v>6500000</v>
      </c>
    </row>
    <row r="152" spans="1:5" x14ac:dyDescent="0.2">
      <c r="A152" s="272">
        <v>14000</v>
      </c>
      <c r="B152" s="248">
        <f t="shared" si="48"/>
        <v>3516506.2640209328</v>
      </c>
      <c r="C152" s="248">
        <f t="shared" si="47"/>
        <v>2731038.3959387783</v>
      </c>
      <c r="D152" s="248">
        <f t="shared" si="49"/>
        <v>6247544.6599597111</v>
      </c>
      <c r="E152" s="16">
        <f t="shared" si="50"/>
        <v>7000000</v>
      </c>
    </row>
    <row r="153" spans="1:5" x14ac:dyDescent="0.2">
      <c r="A153" s="271">
        <v>15000</v>
      </c>
      <c r="B153" s="248">
        <f t="shared" si="48"/>
        <v>3516506.2640209328</v>
      </c>
      <c r="C153" s="248">
        <f t="shared" si="47"/>
        <v>2926112.5670772623</v>
      </c>
      <c r="D153" s="248">
        <f t="shared" si="49"/>
        <v>6442618.8310981952</v>
      </c>
      <c r="E153" s="16">
        <f t="shared" si="50"/>
        <v>7500000</v>
      </c>
    </row>
    <row r="154" spans="1:5" x14ac:dyDescent="0.2">
      <c r="A154" s="272">
        <v>16000</v>
      </c>
      <c r="B154" s="248">
        <f t="shared" si="48"/>
        <v>3516506.2640209328</v>
      </c>
      <c r="C154" s="248">
        <f t="shared" si="47"/>
        <v>3121186.7382157464</v>
      </c>
      <c r="D154" s="248">
        <f t="shared" si="49"/>
        <v>6637693.0022366792</v>
      </c>
      <c r="E154" s="16">
        <f t="shared" si="50"/>
        <v>8000000</v>
      </c>
    </row>
    <row r="155" spans="1:5" x14ac:dyDescent="0.2">
      <c r="A155" s="271">
        <v>17000</v>
      </c>
      <c r="B155" s="248">
        <f t="shared" si="48"/>
        <v>3516506.2640209328</v>
      </c>
      <c r="C155" s="248">
        <f t="shared" si="47"/>
        <v>3316260.9093542309</v>
      </c>
      <c r="D155" s="248">
        <f t="shared" si="49"/>
        <v>6832767.1733751632</v>
      </c>
      <c r="E155" s="16">
        <f t="shared" si="50"/>
        <v>8500000</v>
      </c>
    </row>
    <row r="156" spans="1:5" x14ac:dyDescent="0.2">
      <c r="A156" s="272">
        <v>18000</v>
      </c>
      <c r="B156" s="248">
        <f t="shared" si="48"/>
        <v>3516506.2640209328</v>
      </c>
      <c r="C156" s="248">
        <f t="shared" si="47"/>
        <v>3511335.0804927149</v>
      </c>
      <c r="D156" s="248">
        <f t="shared" si="49"/>
        <v>7027841.3445136473</v>
      </c>
      <c r="E156" s="16">
        <f t="shared" si="50"/>
        <v>9000000</v>
      </c>
    </row>
    <row r="157" spans="1:5" x14ac:dyDescent="0.2">
      <c r="A157" s="271">
        <v>19000</v>
      </c>
      <c r="B157" s="248">
        <f t="shared" si="48"/>
        <v>3516506.2640209328</v>
      </c>
      <c r="C157" s="248">
        <f t="shared" si="47"/>
        <v>3706409.2516311989</v>
      </c>
      <c r="D157" s="248">
        <f t="shared" si="49"/>
        <v>7222915.5156521313</v>
      </c>
      <c r="E157" s="16">
        <f t="shared" si="50"/>
        <v>9500000</v>
      </c>
    </row>
    <row r="158" spans="1:5" x14ac:dyDescent="0.2">
      <c r="A158" s="272">
        <v>20000</v>
      </c>
      <c r="B158" s="248">
        <f t="shared" si="48"/>
        <v>3516506.2640209328</v>
      </c>
      <c r="C158" s="248">
        <f t="shared" si="47"/>
        <v>3901483.4227696834</v>
      </c>
      <c r="D158" s="248">
        <f t="shared" si="49"/>
        <v>7417989.6867906163</v>
      </c>
      <c r="E158" s="16">
        <f t="shared" si="50"/>
        <v>10000000</v>
      </c>
    </row>
    <row r="159" spans="1:5" x14ac:dyDescent="0.2">
      <c r="A159" s="271">
        <v>21000</v>
      </c>
      <c r="B159" s="248">
        <f t="shared" si="48"/>
        <v>3516506.2640209328</v>
      </c>
      <c r="C159" s="248">
        <f t="shared" si="47"/>
        <v>4096557.5939081674</v>
      </c>
      <c r="D159" s="248">
        <f t="shared" si="49"/>
        <v>7613063.8579291003</v>
      </c>
      <c r="E159" s="16">
        <f t="shared" si="50"/>
        <v>10500000</v>
      </c>
    </row>
    <row r="160" spans="1:5" x14ac:dyDescent="0.2">
      <c r="A160" s="272">
        <v>22000</v>
      </c>
      <c r="B160" s="248">
        <f t="shared" si="48"/>
        <v>3516506.2640209328</v>
      </c>
      <c r="C160" s="248">
        <f t="shared" si="47"/>
        <v>4291631.7650466515</v>
      </c>
      <c r="D160" s="248">
        <f t="shared" si="49"/>
        <v>7808138.0290675843</v>
      </c>
      <c r="E160" s="16">
        <f t="shared" si="50"/>
        <v>11000000</v>
      </c>
    </row>
    <row r="161" spans="1:5" x14ac:dyDescent="0.2">
      <c r="A161" s="271">
        <v>23000</v>
      </c>
      <c r="B161" s="248">
        <f t="shared" si="48"/>
        <v>3516506.2640209328</v>
      </c>
      <c r="C161" s="248">
        <f t="shared" si="47"/>
        <v>4486705.9361851355</v>
      </c>
      <c r="D161" s="248">
        <f t="shared" si="49"/>
        <v>8003212.2002060683</v>
      </c>
      <c r="E161" s="16">
        <f t="shared" si="50"/>
        <v>11500000</v>
      </c>
    </row>
    <row r="162" spans="1:5" x14ac:dyDescent="0.2">
      <c r="A162" s="272">
        <v>24000</v>
      </c>
      <c r="B162" s="248">
        <f t="shared" si="48"/>
        <v>3516506.2640209328</v>
      </c>
      <c r="C162" s="248">
        <f t="shared" si="47"/>
        <v>4681780.1073236195</v>
      </c>
      <c r="D162" s="248">
        <f t="shared" si="49"/>
        <v>8198286.3713445524</v>
      </c>
      <c r="E162" s="16">
        <f t="shared" si="50"/>
        <v>12000000</v>
      </c>
    </row>
    <row r="163" spans="1:5" x14ac:dyDescent="0.2">
      <c r="A163" s="271">
        <v>25000</v>
      </c>
      <c r="B163" s="248">
        <f t="shared" si="48"/>
        <v>3516506.2640209328</v>
      </c>
      <c r="C163" s="248">
        <f t="shared" si="47"/>
        <v>4876854.2784621036</v>
      </c>
      <c r="D163" s="248">
        <f t="shared" si="49"/>
        <v>8393360.5424830355</v>
      </c>
      <c r="E163" s="16">
        <f t="shared" si="50"/>
        <v>12500000</v>
      </c>
    </row>
    <row r="164" spans="1:5" x14ac:dyDescent="0.2">
      <c r="A164" s="272">
        <v>26000</v>
      </c>
      <c r="B164" s="248">
        <f t="shared" si="48"/>
        <v>3516506.2640209328</v>
      </c>
      <c r="C164" s="248">
        <f t="shared" si="47"/>
        <v>5071928.4496005885</v>
      </c>
      <c r="D164" s="248">
        <f t="shared" si="49"/>
        <v>8588434.7136215214</v>
      </c>
      <c r="E164" s="16">
        <f t="shared" si="50"/>
        <v>13000000</v>
      </c>
    </row>
    <row r="165" spans="1:5" x14ac:dyDescent="0.2">
      <c r="A165" s="271">
        <v>27000</v>
      </c>
      <c r="B165" s="248">
        <f t="shared" si="48"/>
        <v>3516506.2640209328</v>
      </c>
      <c r="C165" s="248">
        <f t="shared" si="47"/>
        <v>5267002.6207390726</v>
      </c>
      <c r="D165" s="248">
        <f t="shared" si="49"/>
        <v>8783508.8847600054</v>
      </c>
      <c r="E165" s="16">
        <f t="shared" si="50"/>
        <v>13500000</v>
      </c>
    </row>
    <row r="166" spans="1:5" x14ac:dyDescent="0.2">
      <c r="A166" s="272">
        <v>28000</v>
      </c>
      <c r="B166" s="248">
        <f t="shared" si="48"/>
        <v>3516506.2640209328</v>
      </c>
      <c r="C166" s="248">
        <f t="shared" si="47"/>
        <v>5462076.7918775566</v>
      </c>
      <c r="D166" s="248">
        <f t="shared" si="49"/>
        <v>8978583.0558984894</v>
      </c>
      <c r="E166" s="16">
        <f t="shared" si="50"/>
        <v>14000000</v>
      </c>
    </row>
    <row r="167" spans="1:5" x14ac:dyDescent="0.2">
      <c r="A167" s="271">
        <v>29000</v>
      </c>
      <c r="B167" s="248">
        <f t="shared" si="48"/>
        <v>3516506.2640209328</v>
      </c>
      <c r="C167" s="248">
        <f t="shared" si="47"/>
        <v>5657150.9630160406</v>
      </c>
      <c r="D167" s="248">
        <f t="shared" si="49"/>
        <v>9173657.2270369735</v>
      </c>
      <c r="E167" s="16">
        <f t="shared" si="50"/>
        <v>14500000</v>
      </c>
    </row>
    <row r="168" spans="1:5" x14ac:dyDescent="0.2">
      <c r="A168" s="272">
        <v>30000</v>
      </c>
      <c r="B168" s="248">
        <f t="shared" si="48"/>
        <v>3516506.2640209328</v>
      </c>
      <c r="C168" s="248">
        <f t="shared" si="47"/>
        <v>5852225.1341545247</v>
      </c>
      <c r="D168" s="248">
        <f t="shared" si="49"/>
        <v>9368731.3981754575</v>
      </c>
      <c r="E168" s="16">
        <f t="shared" si="50"/>
        <v>15000000</v>
      </c>
    </row>
    <row r="169" spans="1:5" x14ac:dyDescent="0.2">
      <c r="A169" s="271">
        <v>31000</v>
      </c>
      <c r="B169" s="248">
        <f t="shared" si="48"/>
        <v>3516506.2640209328</v>
      </c>
      <c r="C169" s="248">
        <f t="shared" si="47"/>
        <v>6047299.3052930087</v>
      </c>
      <c r="D169" s="248">
        <f t="shared" si="49"/>
        <v>9563805.5693139415</v>
      </c>
      <c r="E169" s="16">
        <f t="shared" si="50"/>
        <v>15500000</v>
      </c>
    </row>
    <row r="170" spans="1:5" x14ac:dyDescent="0.2">
      <c r="A170" s="272">
        <v>32000</v>
      </c>
      <c r="B170" s="248">
        <f t="shared" si="48"/>
        <v>3516506.2640209328</v>
      </c>
      <c r="C170" s="248">
        <f t="shared" si="47"/>
        <v>6242373.4764314927</v>
      </c>
      <c r="D170" s="248">
        <f t="shared" si="49"/>
        <v>9758879.7404524256</v>
      </c>
      <c r="E170" s="16">
        <f t="shared" si="50"/>
        <v>16000000</v>
      </c>
    </row>
    <row r="171" spans="1:5" x14ac:dyDescent="0.2">
      <c r="A171" s="271">
        <v>33000</v>
      </c>
      <c r="B171" s="248">
        <f t="shared" si="48"/>
        <v>3516506.2640209328</v>
      </c>
      <c r="C171" s="248">
        <f t="shared" si="47"/>
        <v>6437447.6475699777</v>
      </c>
      <c r="D171" s="248">
        <f t="shared" si="49"/>
        <v>9953953.9115909114</v>
      </c>
      <c r="E171" s="16">
        <f t="shared" si="50"/>
        <v>16500000</v>
      </c>
    </row>
    <row r="172" spans="1:5" x14ac:dyDescent="0.2">
      <c r="A172" s="272">
        <v>34000</v>
      </c>
      <c r="B172" s="248">
        <f t="shared" si="48"/>
        <v>3516506.2640209328</v>
      </c>
      <c r="C172" s="248">
        <f t="shared" si="47"/>
        <v>6632521.8187084617</v>
      </c>
      <c r="D172" s="248">
        <f t="shared" si="49"/>
        <v>10149028.082729395</v>
      </c>
      <c r="E172" s="16">
        <f t="shared" si="50"/>
        <v>17000000</v>
      </c>
    </row>
    <row r="173" spans="1:5" x14ac:dyDescent="0.2">
      <c r="A173" s="271">
        <v>35000</v>
      </c>
      <c r="B173" s="248">
        <f t="shared" si="48"/>
        <v>3516506.2640209328</v>
      </c>
      <c r="C173" s="248">
        <f t="shared" si="47"/>
        <v>6827595.9898469457</v>
      </c>
      <c r="D173" s="248">
        <f t="shared" si="49"/>
        <v>10344102.25386788</v>
      </c>
      <c r="E173" s="16">
        <f t="shared" si="50"/>
        <v>17500000</v>
      </c>
    </row>
    <row r="174" spans="1:5" x14ac:dyDescent="0.2">
      <c r="A174" s="272">
        <v>35391</v>
      </c>
      <c r="B174" s="248">
        <f t="shared" si="48"/>
        <v>3516506.2640209328</v>
      </c>
      <c r="C174" s="248">
        <f t="shared" si="47"/>
        <v>6903869.9907620931</v>
      </c>
      <c r="D174" s="248">
        <f t="shared" si="49"/>
        <v>10420376.254783027</v>
      </c>
      <c r="E174" s="16">
        <f t="shared" si="50"/>
        <v>17695500</v>
      </c>
    </row>
    <row r="175" spans="1:5" x14ac:dyDescent="0.2">
      <c r="A175" s="272">
        <v>36000</v>
      </c>
      <c r="B175" s="248">
        <f t="shared" si="48"/>
        <v>3516506.2640209328</v>
      </c>
      <c r="C175" s="248">
        <f t="shared" si="47"/>
        <v>7022670.1609854298</v>
      </c>
      <c r="D175" s="248">
        <f t="shared" si="49"/>
        <v>10539176.425006364</v>
      </c>
      <c r="E175" s="16">
        <f t="shared" si="50"/>
        <v>18000000</v>
      </c>
    </row>
    <row r="176" spans="1:5" x14ac:dyDescent="0.2">
      <c r="A176" s="271">
        <v>37000</v>
      </c>
      <c r="B176" s="248">
        <f t="shared" si="48"/>
        <v>3516506.2640209328</v>
      </c>
      <c r="C176" s="248">
        <f t="shared" si="47"/>
        <v>7217744.3321239138</v>
      </c>
      <c r="D176" s="248">
        <f t="shared" si="49"/>
        <v>10734250.596144848</v>
      </c>
      <c r="E176" s="16">
        <f t="shared" si="50"/>
        <v>18500000</v>
      </c>
    </row>
    <row r="177" spans="1:5" x14ac:dyDescent="0.2">
      <c r="A177" s="272">
        <v>38000</v>
      </c>
      <c r="B177" s="248">
        <f t="shared" si="48"/>
        <v>3516506.2640209328</v>
      </c>
      <c r="C177" s="248">
        <f t="shared" si="47"/>
        <v>7412818.5032623978</v>
      </c>
      <c r="D177" s="248">
        <f t="shared" si="49"/>
        <v>10929324.767283332</v>
      </c>
      <c r="E177" s="16">
        <f t="shared" si="50"/>
        <v>19000000</v>
      </c>
    </row>
    <row r="178" spans="1:5" x14ac:dyDescent="0.2">
      <c r="A178" s="271">
        <v>39000</v>
      </c>
      <c r="B178" s="248">
        <f t="shared" si="48"/>
        <v>3516506.2640209328</v>
      </c>
      <c r="C178" s="248">
        <f t="shared" si="47"/>
        <v>7607892.6744008819</v>
      </c>
      <c r="D178" s="248">
        <f t="shared" si="49"/>
        <v>11124398.938421816</v>
      </c>
      <c r="E178" s="16">
        <f t="shared" si="50"/>
        <v>19500000</v>
      </c>
    </row>
    <row r="179" spans="1:5" x14ac:dyDescent="0.2">
      <c r="A179" s="272">
        <v>39021</v>
      </c>
      <c r="B179" s="248">
        <f t="shared" si="48"/>
        <v>3516506.2640209328</v>
      </c>
      <c r="C179" s="248">
        <f t="shared" si="47"/>
        <v>7611989.23199479</v>
      </c>
      <c r="D179" s="248">
        <f t="shared" si="49"/>
        <v>11128495.496015724</v>
      </c>
      <c r="E179" s="16">
        <f t="shared" si="50"/>
        <v>19510500</v>
      </c>
    </row>
    <row r="181" spans="1:5" x14ac:dyDescent="0.2">
      <c r="A181" s="16" t="s">
        <v>616</v>
      </c>
      <c r="B181" s="248">
        <f>(B128+B130+B132)/B85</f>
        <v>195.07417113848416</v>
      </c>
    </row>
    <row r="182" spans="1:5" x14ac:dyDescent="0.2">
      <c r="A182" s="16" t="s">
        <v>617</v>
      </c>
      <c r="B182" s="248">
        <f>(F128+F130+F132)/F85</f>
        <v>189.22348822026316</v>
      </c>
    </row>
    <row r="183" spans="1:5" x14ac:dyDescent="0.2">
      <c r="B183" s="248"/>
    </row>
    <row r="184" spans="1:5" ht="15.75" x14ac:dyDescent="0.25">
      <c r="A184" s="278" t="s">
        <v>620</v>
      </c>
      <c r="B184" s="278"/>
      <c r="C184" s="278"/>
      <c r="D184" s="278"/>
      <c r="E184" s="278"/>
    </row>
    <row r="185" spans="1:5" x14ac:dyDescent="0.2">
      <c r="A185" s="16" t="s">
        <v>613</v>
      </c>
      <c r="B185" s="16" t="s">
        <v>614</v>
      </c>
      <c r="C185" s="16" t="s">
        <v>615</v>
      </c>
      <c r="D185" s="273" t="s">
        <v>618</v>
      </c>
      <c r="E185" s="273" t="s">
        <v>619</v>
      </c>
    </row>
    <row r="186" spans="1:5" x14ac:dyDescent="0.2">
      <c r="A186" s="271">
        <v>1000</v>
      </c>
      <c r="B186" s="248">
        <f>$F$131+$F$129+$F$127</f>
        <v>3567656.0704886853</v>
      </c>
      <c r="C186" s="248">
        <f t="shared" ref="C186:C225" si="51">A186*$B$182</f>
        <v>189223.48822026316</v>
      </c>
      <c r="D186" s="248">
        <f>B186+C186</f>
        <v>3756879.5587089485</v>
      </c>
      <c r="E186" s="16">
        <f>500*A186</f>
        <v>500000</v>
      </c>
    </row>
    <row r="187" spans="1:5" x14ac:dyDescent="0.2">
      <c r="A187" s="272">
        <v>2000</v>
      </c>
      <c r="B187" s="248">
        <f t="shared" ref="B187:B225" si="52">$F$131+$F$129+$F$127</f>
        <v>3567656.0704886853</v>
      </c>
      <c r="C187" s="248">
        <f t="shared" si="51"/>
        <v>378446.97644052631</v>
      </c>
      <c r="D187" s="248">
        <f t="shared" ref="D187:D225" si="53">B187+C187</f>
        <v>3946103.0469292114</v>
      </c>
      <c r="E187" s="16">
        <f t="shared" ref="E187:E225" si="54">500*A187</f>
        <v>1000000</v>
      </c>
    </row>
    <row r="188" spans="1:5" x14ac:dyDescent="0.2">
      <c r="A188" s="271">
        <v>3000</v>
      </c>
      <c r="B188" s="248">
        <f t="shared" si="52"/>
        <v>3567656.0704886853</v>
      </c>
      <c r="C188" s="248">
        <f t="shared" si="51"/>
        <v>567670.46466078947</v>
      </c>
      <c r="D188" s="248">
        <f t="shared" si="53"/>
        <v>4135326.5351494746</v>
      </c>
      <c r="E188" s="16">
        <f t="shared" si="54"/>
        <v>1500000</v>
      </c>
    </row>
    <row r="189" spans="1:5" x14ac:dyDescent="0.2">
      <c r="A189" s="272">
        <v>4000</v>
      </c>
      <c r="B189" s="248">
        <f t="shared" si="52"/>
        <v>3567656.0704886853</v>
      </c>
      <c r="C189" s="248">
        <f t="shared" si="51"/>
        <v>756893.95288105262</v>
      </c>
      <c r="D189" s="248">
        <f t="shared" si="53"/>
        <v>4324550.0233697379</v>
      </c>
      <c r="E189" s="16">
        <f t="shared" si="54"/>
        <v>2000000</v>
      </c>
    </row>
    <row r="190" spans="1:5" x14ac:dyDescent="0.2">
      <c r="A190" s="271">
        <v>5000</v>
      </c>
      <c r="B190" s="248">
        <f t="shared" si="52"/>
        <v>3567656.0704886853</v>
      </c>
      <c r="C190" s="248">
        <f t="shared" si="51"/>
        <v>946117.44110131578</v>
      </c>
      <c r="D190" s="248">
        <f t="shared" si="53"/>
        <v>4513773.5115900012</v>
      </c>
      <c r="E190" s="16">
        <f t="shared" si="54"/>
        <v>2500000</v>
      </c>
    </row>
    <row r="191" spans="1:5" x14ac:dyDescent="0.2">
      <c r="A191" s="272">
        <v>6000</v>
      </c>
      <c r="B191" s="248">
        <f t="shared" si="52"/>
        <v>3567656.0704886853</v>
      </c>
      <c r="C191" s="248">
        <f t="shared" si="51"/>
        <v>1135340.9293215789</v>
      </c>
      <c r="D191" s="248">
        <f t="shared" si="53"/>
        <v>4702996.9998102644</v>
      </c>
      <c r="E191" s="16">
        <f t="shared" si="54"/>
        <v>3000000</v>
      </c>
    </row>
    <row r="192" spans="1:5" x14ac:dyDescent="0.2">
      <c r="A192" s="271">
        <v>7000</v>
      </c>
      <c r="B192" s="248">
        <f t="shared" si="52"/>
        <v>3567656.0704886853</v>
      </c>
      <c r="C192" s="248">
        <f t="shared" si="51"/>
        <v>1324564.4175418422</v>
      </c>
      <c r="D192" s="248">
        <f t="shared" si="53"/>
        <v>4892220.4880305277</v>
      </c>
      <c r="E192" s="16">
        <f t="shared" si="54"/>
        <v>3500000</v>
      </c>
    </row>
    <row r="193" spans="1:5" x14ac:dyDescent="0.2">
      <c r="A193" s="272">
        <v>8000</v>
      </c>
      <c r="B193" s="248">
        <f t="shared" si="52"/>
        <v>3567656.0704886853</v>
      </c>
      <c r="C193" s="248">
        <f t="shared" si="51"/>
        <v>1513787.9057621052</v>
      </c>
      <c r="D193" s="248">
        <f t="shared" si="53"/>
        <v>5081443.9762507901</v>
      </c>
      <c r="E193" s="16">
        <f t="shared" si="54"/>
        <v>4000000</v>
      </c>
    </row>
    <row r="194" spans="1:5" x14ac:dyDescent="0.2">
      <c r="A194" s="271">
        <v>9000</v>
      </c>
      <c r="B194" s="248">
        <f t="shared" si="52"/>
        <v>3567656.0704886853</v>
      </c>
      <c r="C194" s="248">
        <f t="shared" si="51"/>
        <v>1703011.3939823685</v>
      </c>
      <c r="D194" s="248">
        <f t="shared" si="53"/>
        <v>5270667.4644710533</v>
      </c>
      <c r="E194" s="16">
        <f t="shared" si="54"/>
        <v>4500000</v>
      </c>
    </row>
    <row r="195" spans="1:5" x14ac:dyDescent="0.2">
      <c r="A195" s="272">
        <v>10000</v>
      </c>
      <c r="B195" s="248">
        <f t="shared" si="52"/>
        <v>3567656.0704886853</v>
      </c>
      <c r="C195" s="248">
        <f t="shared" si="51"/>
        <v>1892234.8822026316</v>
      </c>
      <c r="D195" s="248">
        <f t="shared" si="53"/>
        <v>5459890.9526913166</v>
      </c>
      <c r="E195" s="16">
        <f t="shared" si="54"/>
        <v>5000000</v>
      </c>
    </row>
    <row r="196" spans="1:5" x14ac:dyDescent="0.2">
      <c r="A196" s="271">
        <v>11000</v>
      </c>
      <c r="B196" s="248">
        <f t="shared" si="52"/>
        <v>3567656.0704886853</v>
      </c>
      <c r="C196" s="248">
        <f t="shared" si="51"/>
        <v>2081458.3704228948</v>
      </c>
      <c r="D196" s="248">
        <f t="shared" si="53"/>
        <v>5649114.4409115799</v>
      </c>
      <c r="E196" s="16">
        <f t="shared" si="54"/>
        <v>5500000</v>
      </c>
    </row>
    <row r="197" spans="1:5" x14ac:dyDescent="0.2">
      <c r="A197" s="272">
        <v>12000</v>
      </c>
      <c r="B197" s="248">
        <f t="shared" si="52"/>
        <v>3567656.0704886853</v>
      </c>
      <c r="C197" s="248">
        <f t="shared" si="51"/>
        <v>2270681.8586431579</v>
      </c>
      <c r="D197" s="248">
        <f t="shared" si="53"/>
        <v>5838337.9291318431</v>
      </c>
      <c r="E197" s="16">
        <f t="shared" si="54"/>
        <v>6000000</v>
      </c>
    </row>
    <row r="198" spans="1:5" x14ac:dyDescent="0.2">
      <c r="A198" s="271">
        <v>13000</v>
      </c>
      <c r="B198" s="248">
        <f t="shared" si="52"/>
        <v>3567656.0704886853</v>
      </c>
      <c r="C198" s="248">
        <f t="shared" si="51"/>
        <v>2459905.3468634211</v>
      </c>
      <c r="D198" s="248">
        <f t="shared" si="53"/>
        <v>6027561.4173521064</v>
      </c>
      <c r="E198" s="16">
        <f t="shared" si="54"/>
        <v>6500000</v>
      </c>
    </row>
    <row r="199" spans="1:5" x14ac:dyDescent="0.2">
      <c r="A199" s="272">
        <v>14000</v>
      </c>
      <c r="B199" s="248">
        <f t="shared" si="52"/>
        <v>3567656.0704886853</v>
      </c>
      <c r="C199" s="248">
        <f t="shared" si="51"/>
        <v>2649128.8350836844</v>
      </c>
      <c r="D199" s="248">
        <f t="shared" si="53"/>
        <v>6216784.9055723697</v>
      </c>
      <c r="E199" s="16">
        <f t="shared" si="54"/>
        <v>7000000</v>
      </c>
    </row>
    <row r="200" spans="1:5" x14ac:dyDescent="0.2">
      <c r="A200" s="271">
        <v>15000</v>
      </c>
      <c r="B200" s="248">
        <f t="shared" si="52"/>
        <v>3567656.0704886853</v>
      </c>
      <c r="C200" s="248">
        <f t="shared" si="51"/>
        <v>2838352.3233039472</v>
      </c>
      <c r="D200" s="248">
        <f t="shared" si="53"/>
        <v>6406008.393792633</v>
      </c>
      <c r="E200" s="16">
        <f t="shared" si="54"/>
        <v>7500000</v>
      </c>
    </row>
    <row r="201" spans="1:5" x14ac:dyDescent="0.2">
      <c r="A201" s="272">
        <v>16000</v>
      </c>
      <c r="B201" s="248">
        <f t="shared" si="52"/>
        <v>3567656.0704886853</v>
      </c>
      <c r="C201" s="248">
        <f t="shared" si="51"/>
        <v>3027575.8115242105</v>
      </c>
      <c r="D201" s="248">
        <f t="shared" si="53"/>
        <v>6595231.8820128962</v>
      </c>
      <c r="E201" s="16">
        <f t="shared" si="54"/>
        <v>8000000</v>
      </c>
    </row>
    <row r="202" spans="1:5" x14ac:dyDescent="0.2">
      <c r="A202" s="271">
        <v>17000</v>
      </c>
      <c r="B202" s="248">
        <f t="shared" si="52"/>
        <v>3567656.0704886853</v>
      </c>
      <c r="C202" s="248">
        <f t="shared" si="51"/>
        <v>3216799.2997444738</v>
      </c>
      <c r="D202" s="248">
        <f t="shared" si="53"/>
        <v>6784455.3702331595</v>
      </c>
      <c r="E202" s="16">
        <f t="shared" si="54"/>
        <v>8500000</v>
      </c>
    </row>
    <row r="203" spans="1:5" x14ac:dyDescent="0.2">
      <c r="A203" s="272">
        <v>18000</v>
      </c>
      <c r="B203" s="248">
        <f t="shared" si="52"/>
        <v>3567656.0704886853</v>
      </c>
      <c r="C203" s="248">
        <f t="shared" si="51"/>
        <v>3406022.787964737</v>
      </c>
      <c r="D203" s="248">
        <f t="shared" si="53"/>
        <v>6973678.8584534228</v>
      </c>
      <c r="E203" s="16">
        <f t="shared" si="54"/>
        <v>9000000</v>
      </c>
    </row>
    <row r="204" spans="1:5" x14ac:dyDescent="0.2">
      <c r="A204" s="271">
        <v>19000</v>
      </c>
      <c r="B204" s="248">
        <f t="shared" si="52"/>
        <v>3567656.0704886853</v>
      </c>
      <c r="C204" s="248">
        <f t="shared" si="51"/>
        <v>3595246.2761850003</v>
      </c>
      <c r="D204" s="248">
        <f t="shared" si="53"/>
        <v>7162902.3466736861</v>
      </c>
      <c r="E204" s="16">
        <f t="shared" si="54"/>
        <v>9500000</v>
      </c>
    </row>
    <row r="205" spans="1:5" x14ac:dyDescent="0.2">
      <c r="A205" s="272">
        <v>20000</v>
      </c>
      <c r="B205" s="248">
        <f t="shared" si="52"/>
        <v>3567656.0704886853</v>
      </c>
      <c r="C205" s="248">
        <f t="shared" si="51"/>
        <v>3784469.7644052631</v>
      </c>
      <c r="D205" s="248">
        <f t="shared" si="53"/>
        <v>7352125.8348939484</v>
      </c>
      <c r="E205" s="16">
        <f t="shared" si="54"/>
        <v>10000000</v>
      </c>
    </row>
    <row r="206" spans="1:5" x14ac:dyDescent="0.2">
      <c r="A206" s="271">
        <v>21000</v>
      </c>
      <c r="B206" s="248">
        <f t="shared" si="52"/>
        <v>3567656.0704886853</v>
      </c>
      <c r="C206" s="248">
        <f t="shared" si="51"/>
        <v>3973693.2526255264</v>
      </c>
      <c r="D206" s="248">
        <f t="shared" si="53"/>
        <v>7541349.3231142117</v>
      </c>
      <c r="E206" s="16">
        <f t="shared" si="54"/>
        <v>10500000</v>
      </c>
    </row>
    <row r="207" spans="1:5" x14ac:dyDescent="0.2">
      <c r="A207" s="272">
        <v>22000</v>
      </c>
      <c r="B207" s="248">
        <f t="shared" si="52"/>
        <v>3567656.0704886853</v>
      </c>
      <c r="C207" s="248">
        <f t="shared" si="51"/>
        <v>4162916.7408457897</v>
      </c>
      <c r="D207" s="248">
        <f t="shared" si="53"/>
        <v>7730572.8113344749</v>
      </c>
      <c r="E207" s="16">
        <f t="shared" si="54"/>
        <v>11000000</v>
      </c>
    </row>
    <row r="208" spans="1:5" x14ac:dyDescent="0.2">
      <c r="A208" s="271">
        <v>23000</v>
      </c>
      <c r="B208" s="248">
        <f t="shared" si="52"/>
        <v>3567656.0704886853</v>
      </c>
      <c r="C208" s="248">
        <f t="shared" si="51"/>
        <v>4352140.2290660525</v>
      </c>
      <c r="D208" s="248">
        <f t="shared" si="53"/>
        <v>7919796.2995547373</v>
      </c>
      <c r="E208" s="16">
        <f t="shared" si="54"/>
        <v>11500000</v>
      </c>
    </row>
    <row r="209" spans="1:5" x14ac:dyDescent="0.2">
      <c r="A209" s="272">
        <v>24000</v>
      </c>
      <c r="B209" s="248">
        <f t="shared" si="52"/>
        <v>3567656.0704886853</v>
      </c>
      <c r="C209" s="248">
        <f t="shared" si="51"/>
        <v>4541363.7172863157</v>
      </c>
      <c r="D209" s="248">
        <f t="shared" si="53"/>
        <v>8109019.7877750006</v>
      </c>
      <c r="E209" s="16">
        <f t="shared" si="54"/>
        <v>12000000</v>
      </c>
    </row>
    <row r="210" spans="1:5" x14ac:dyDescent="0.2">
      <c r="A210" s="271">
        <v>25000</v>
      </c>
      <c r="B210" s="248">
        <f t="shared" si="52"/>
        <v>3567656.0704886853</v>
      </c>
      <c r="C210" s="248">
        <f t="shared" si="51"/>
        <v>4730587.205506579</v>
      </c>
      <c r="D210" s="248">
        <f t="shared" si="53"/>
        <v>8298243.2759952638</v>
      </c>
      <c r="E210" s="16">
        <f t="shared" si="54"/>
        <v>12500000</v>
      </c>
    </row>
    <row r="211" spans="1:5" x14ac:dyDescent="0.2">
      <c r="A211" s="272">
        <v>26000</v>
      </c>
      <c r="B211" s="248">
        <f t="shared" si="52"/>
        <v>3567656.0704886853</v>
      </c>
      <c r="C211" s="248">
        <f t="shared" si="51"/>
        <v>4919810.6937268423</v>
      </c>
      <c r="D211" s="248">
        <f t="shared" si="53"/>
        <v>8487466.7642155271</v>
      </c>
      <c r="E211" s="16">
        <f t="shared" si="54"/>
        <v>13000000</v>
      </c>
    </row>
    <row r="212" spans="1:5" x14ac:dyDescent="0.2">
      <c r="A212" s="271">
        <v>27000</v>
      </c>
      <c r="B212" s="248">
        <f t="shared" si="52"/>
        <v>3567656.0704886853</v>
      </c>
      <c r="C212" s="248">
        <f t="shared" si="51"/>
        <v>5109034.1819471056</v>
      </c>
      <c r="D212" s="248">
        <f t="shared" si="53"/>
        <v>8676690.2524357904</v>
      </c>
      <c r="E212" s="16">
        <f t="shared" si="54"/>
        <v>13500000</v>
      </c>
    </row>
    <row r="213" spans="1:5" x14ac:dyDescent="0.2">
      <c r="A213" s="272">
        <v>28000</v>
      </c>
      <c r="B213" s="248">
        <f t="shared" si="52"/>
        <v>3567656.0704886853</v>
      </c>
      <c r="C213" s="248">
        <f t="shared" si="51"/>
        <v>5298257.6701673688</v>
      </c>
      <c r="D213" s="248">
        <f t="shared" si="53"/>
        <v>8865913.7406560536</v>
      </c>
      <c r="E213" s="16">
        <f t="shared" si="54"/>
        <v>14000000</v>
      </c>
    </row>
    <row r="214" spans="1:5" x14ac:dyDescent="0.2">
      <c r="A214" s="271">
        <v>29000</v>
      </c>
      <c r="B214" s="248">
        <f t="shared" si="52"/>
        <v>3567656.0704886853</v>
      </c>
      <c r="C214" s="248">
        <f t="shared" si="51"/>
        <v>5487481.1583876321</v>
      </c>
      <c r="D214" s="248">
        <f t="shared" si="53"/>
        <v>9055137.2288763169</v>
      </c>
      <c r="E214" s="16">
        <f t="shared" si="54"/>
        <v>14500000</v>
      </c>
    </row>
    <row r="215" spans="1:5" x14ac:dyDescent="0.2">
      <c r="A215" s="272">
        <v>30000</v>
      </c>
      <c r="B215" s="248">
        <f t="shared" si="52"/>
        <v>3567656.0704886853</v>
      </c>
      <c r="C215" s="248">
        <f t="shared" si="51"/>
        <v>5676704.6466078945</v>
      </c>
      <c r="D215" s="248">
        <f t="shared" si="53"/>
        <v>9244360.7170965802</v>
      </c>
      <c r="E215" s="16">
        <f t="shared" si="54"/>
        <v>15000000</v>
      </c>
    </row>
    <row r="216" spans="1:5" x14ac:dyDescent="0.2">
      <c r="A216" s="271">
        <v>31000</v>
      </c>
      <c r="B216" s="248">
        <f t="shared" si="52"/>
        <v>3567656.0704886853</v>
      </c>
      <c r="C216" s="248">
        <f t="shared" si="51"/>
        <v>5865928.1348281577</v>
      </c>
      <c r="D216" s="248">
        <f t="shared" si="53"/>
        <v>9433584.2053168435</v>
      </c>
      <c r="E216" s="16">
        <f t="shared" si="54"/>
        <v>15500000</v>
      </c>
    </row>
    <row r="217" spans="1:5" x14ac:dyDescent="0.2">
      <c r="A217" s="272">
        <v>32000</v>
      </c>
      <c r="B217" s="248">
        <f t="shared" si="52"/>
        <v>3567656.0704886853</v>
      </c>
      <c r="C217" s="248">
        <f t="shared" si="51"/>
        <v>6055151.623048421</v>
      </c>
      <c r="D217" s="248">
        <f t="shared" si="53"/>
        <v>9622807.6935371067</v>
      </c>
      <c r="E217" s="16">
        <f t="shared" si="54"/>
        <v>16000000</v>
      </c>
    </row>
    <row r="218" spans="1:5" x14ac:dyDescent="0.2">
      <c r="A218" s="271">
        <v>33000</v>
      </c>
      <c r="B218" s="248">
        <f t="shared" si="52"/>
        <v>3567656.0704886853</v>
      </c>
      <c r="C218" s="248">
        <f t="shared" si="51"/>
        <v>6244375.1112686843</v>
      </c>
      <c r="D218" s="248">
        <f t="shared" si="53"/>
        <v>9812031.18175737</v>
      </c>
      <c r="E218" s="16">
        <f t="shared" si="54"/>
        <v>16500000</v>
      </c>
    </row>
    <row r="219" spans="1:5" x14ac:dyDescent="0.2">
      <c r="A219" s="272">
        <v>34000</v>
      </c>
      <c r="B219" s="248">
        <f t="shared" si="52"/>
        <v>3567656.0704886853</v>
      </c>
      <c r="C219" s="248">
        <f t="shared" si="51"/>
        <v>6433598.5994889475</v>
      </c>
      <c r="D219" s="248">
        <f t="shared" si="53"/>
        <v>10001254.669977633</v>
      </c>
      <c r="E219" s="16">
        <f t="shared" si="54"/>
        <v>17000000</v>
      </c>
    </row>
    <row r="220" spans="1:5" x14ac:dyDescent="0.2">
      <c r="A220" s="271">
        <v>35000</v>
      </c>
      <c r="B220" s="248">
        <f t="shared" si="52"/>
        <v>3567656.0704886853</v>
      </c>
      <c r="C220" s="248">
        <f t="shared" si="51"/>
        <v>6622822.0877092108</v>
      </c>
      <c r="D220" s="248">
        <f t="shared" si="53"/>
        <v>10190478.158197897</v>
      </c>
      <c r="E220" s="16">
        <f t="shared" si="54"/>
        <v>17500000</v>
      </c>
    </row>
    <row r="221" spans="1:5" x14ac:dyDescent="0.2">
      <c r="A221" s="272">
        <v>36000</v>
      </c>
      <c r="B221" s="248">
        <f t="shared" si="52"/>
        <v>3567656.0704886853</v>
      </c>
      <c r="C221" s="248">
        <f t="shared" si="51"/>
        <v>6812045.5759294741</v>
      </c>
      <c r="D221" s="248">
        <f t="shared" si="53"/>
        <v>10379701.64641816</v>
      </c>
      <c r="E221" s="16">
        <f t="shared" si="54"/>
        <v>18000000</v>
      </c>
    </row>
    <row r="222" spans="1:5" x14ac:dyDescent="0.2">
      <c r="A222" s="271">
        <v>37000</v>
      </c>
      <c r="B222" s="248">
        <f t="shared" si="52"/>
        <v>3567656.0704886853</v>
      </c>
      <c r="C222" s="248">
        <f t="shared" si="51"/>
        <v>7001269.0641497374</v>
      </c>
      <c r="D222" s="248">
        <f t="shared" si="53"/>
        <v>10568925.134638423</v>
      </c>
      <c r="E222" s="16">
        <f t="shared" si="54"/>
        <v>18500000</v>
      </c>
    </row>
    <row r="223" spans="1:5" x14ac:dyDescent="0.2">
      <c r="A223" s="272">
        <v>38000</v>
      </c>
      <c r="B223" s="248">
        <f t="shared" si="52"/>
        <v>3567656.0704886853</v>
      </c>
      <c r="C223" s="248">
        <f t="shared" si="51"/>
        <v>7190492.5523700006</v>
      </c>
      <c r="D223" s="248">
        <f t="shared" si="53"/>
        <v>10758148.622858686</v>
      </c>
      <c r="E223" s="16">
        <f t="shared" si="54"/>
        <v>19000000</v>
      </c>
    </row>
    <row r="224" spans="1:5" x14ac:dyDescent="0.2">
      <c r="A224" s="271">
        <v>39000</v>
      </c>
      <c r="B224" s="248">
        <f t="shared" si="52"/>
        <v>3567656.0704886853</v>
      </c>
      <c r="C224" s="248">
        <f t="shared" si="51"/>
        <v>7379716.040590263</v>
      </c>
      <c r="D224" s="248">
        <f t="shared" si="53"/>
        <v>10947372.111078948</v>
      </c>
      <c r="E224" s="16">
        <f t="shared" si="54"/>
        <v>19500000</v>
      </c>
    </row>
    <row r="225" spans="1:8" x14ac:dyDescent="0.2">
      <c r="A225" s="272">
        <v>39021</v>
      </c>
      <c r="B225" s="248">
        <f t="shared" si="52"/>
        <v>3567656.0704886853</v>
      </c>
      <c r="C225" s="248">
        <f t="shared" si="51"/>
        <v>7383689.7338428888</v>
      </c>
      <c r="D225" s="248">
        <f t="shared" si="53"/>
        <v>10951345.804331575</v>
      </c>
      <c r="E225" s="16">
        <f t="shared" si="54"/>
        <v>19510500</v>
      </c>
    </row>
    <row r="226" spans="1:8" ht="13.5" thickBot="1" x14ac:dyDescent="0.25"/>
    <row r="227" spans="1:8" ht="13.5" thickBot="1" x14ac:dyDescent="0.25">
      <c r="A227" s="279" t="s">
        <v>621</v>
      </c>
      <c r="B227" s="280"/>
      <c r="C227" s="280"/>
      <c r="D227" s="280"/>
      <c r="E227" s="280"/>
      <c r="F227" s="280"/>
      <c r="G227" s="280"/>
      <c r="H227" s="281"/>
    </row>
  </sheetData>
  <sheetProtection selectLockedCells="1" selectUnlockedCells="1"/>
  <mergeCells count="3">
    <mergeCell ref="A137:E137"/>
    <mergeCell ref="A184:E184"/>
    <mergeCell ref="A227:H227"/>
  </mergeCells>
  <pageMargins left="0.32013888888888886" right="0.75" top="0.17986111111111111" bottom="0.15972222222222221" header="0.51180555555555551" footer="0.51180555555555551"/>
  <pageSetup paperSize="9" firstPageNumber="0" fitToHeight="4" orientation="landscape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8"/>
  <sheetViews>
    <sheetView topLeftCell="H31" workbookViewId="0">
      <selection activeCell="J19" sqref="J19"/>
    </sheetView>
  </sheetViews>
  <sheetFormatPr baseColWidth="10" defaultRowHeight="12.75" x14ac:dyDescent="0.2"/>
  <cols>
    <col min="1" max="1" width="41.42578125" bestFit="1" customWidth="1"/>
    <col min="2" max="2" width="13.5703125" bestFit="1" customWidth="1"/>
    <col min="4" max="4" width="37.7109375" bestFit="1" customWidth="1"/>
    <col min="5" max="5" width="14.5703125" customWidth="1"/>
    <col min="6" max="6" width="18.85546875" bestFit="1" customWidth="1"/>
    <col min="7" max="7" width="13.28515625" customWidth="1"/>
    <col min="8" max="8" width="57.42578125" bestFit="1" customWidth="1"/>
    <col min="9" max="9" width="12" bestFit="1" customWidth="1"/>
    <col min="10" max="10" width="22.85546875" bestFit="1" customWidth="1"/>
    <col min="11" max="11" width="21.7109375" bestFit="1" customWidth="1"/>
    <col min="12" max="12" width="39.42578125" bestFit="1" customWidth="1"/>
    <col min="13" max="13" width="13" bestFit="1" customWidth="1"/>
    <col min="14" max="14" width="36.42578125" bestFit="1" customWidth="1"/>
    <col min="15" max="15" width="35.7109375" bestFit="1" customWidth="1"/>
  </cols>
  <sheetData>
    <row r="1" spans="1:16" x14ac:dyDescent="0.2">
      <c r="A1" s="13" t="s">
        <v>468</v>
      </c>
    </row>
    <row r="2" spans="1:16" x14ac:dyDescent="0.2">
      <c r="A2" s="257" t="s">
        <v>424</v>
      </c>
      <c r="C2" t="s">
        <v>425</v>
      </c>
      <c r="D2" t="s">
        <v>426</v>
      </c>
      <c r="E2" t="s">
        <v>427</v>
      </c>
      <c r="F2" t="s">
        <v>428</v>
      </c>
      <c r="G2" t="s">
        <v>435</v>
      </c>
      <c r="H2" t="s">
        <v>434</v>
      </c>
    </row>
    <row r="3" spans="1:16" x14ac:dyDescent="0.2">
      <c r="A3" s="257"/>
      <c r="B3" t="s">
        <v>429</v>
      </c>
      <c r="C3">
        <v>166</v>
      </c>
      <c r="D3">
        <v>1</v>
      </c>
      <c r="E3">
        <f>C3*D3</f>
        <v>166</v>
      </c>
      <c r="F3">
        <f>E3*2</f>
        <v>332</v>
      </c>
      <c r="G3">
        <f>12/1000</f>
        <v>1.2E-2</v>
      </c>
      <c r="H3">
        <f>F3*G3</f>
        <v>3.984</v>
      </c>
    </row>
    <row r="4" spans="1:16" x14ac:dyDescent="0.2">
      <c r="A4" s="257"/>
      <c r="B4" t="s">
        <v>423</v>
      </c>
      <c r="C4">
        <v>1</v>
      </c>
      <c r="D4">
        <v>2</v>
      </c>
      <c r="E4">
        <f>C4*D4</f>
        <v>2</v>
      </c>
      <c r="F4">
        <f>E4*2</f>
        <v>4</v>
      </c>
      <c r="G4">
        <v>3</v>
      </c>
      <c r="H4">
        <f>G4*C4</f>
        <v>3</v>
      </c>
      <c r="K4" t="s">
        <v>442</v>
      </c>
      <c r="L4">
        <f>H7+F32+F28+H14</f>
        <v>146.03514285714286</v>
      </c>
    </row>
    <row r="5" spans="1:16" x14ac:dyDescent="0.2">
      <c r="A5" s="257"/>
      <c r="B5" t="s">
        <v>430</v>
      </c>
      <c r="C5">
        <v>2</v>
      </c>
      <c r="D5">
        <v>1.8</v>
      </c>
      <c r="E5">
        <f>C5*D5</f>
        <v>3.6</v>
      </c>
      <c r="F5">
        <f>E5*2</f>
        <v>7.2</v>
      </c>
      <c r="G5">
        <v>30</v>
      </c>
      <c r="H5">
        <f>G5*C5</f>
        <v>60</v>
      </c>
      <c r="K5" t="s">
        <v>443</v>
      </c>
      <c r="L5">
        <f>E19</f>
        <v>1258.8</v>
      </c>
    </row>
    <row r="6" spans="1:16" ht="15.75" x14ac:dyDescent="0.25">
      <c r="A6" s="257"/>
      <c r="B6" t="s">
        <v>407</v>
      </c>
      <c r="C6">
        <v>0</v>
      </c>
      <c r="D6">
        <v>2</v>
      </c>
      <c r="E6">
        <f>C6*D6</f>
        <v>0</v>
      </c>
      <c r="F6">
        <f>E6*2</f>
        <v>0</v>
      </c>
      <c r="G6">
        <f>55/1000</f>
        <v>5.5E-2</v>
      </c>
      <c r="H6">
        <v>0</v>
      </c>
      <c r="K6" s="254" t="s">
        <v>444</v>
      </c>
      <c r="L6" s="253">
        <f>L4/L5</f>
        <v>0.11601139407145128</v>
      </c>
    </row>
    <row r="7" spans="1:16" ht="15.75" x14ac:dyDescent="0.25">
      <c r="A7" s="257" t="s">
        <v>384</v>
      </c>
      <c r="E7" s="251">
        <f>SUM(E3:E6)</f>
        <v>171.6</v>
      </c>
      <c r="F7">
        <f>E7*2</f>
        <v>343.2</v>
      </c>
      <c r="H7">
        <f>SUM(H3:H6)</f>
        <v>66.983999999999995</v>
      </c>
      <c r="K7" s="253" t="s">
        <v>625</v>
      </c>
      <c r="L7" s="253">
        <f>L6*1000</f>
        <v>116.01139407145128</v>
      </c>
    </row>
    <row r="8" spans="1:16" x14ac:dyDescent="0.2">
      <c r="A8" s="257"/>
      <c r="K8" t="s">
        <v>445</v>
      </c>
      <c r="L8">
        <v>49248</v>
      </c>
    </row>
    <row r="9" spans="1:16" x14ac:dyDescent="0.2">
      <c r="A9" s="257" t="s">
        <v>431</v>
      </c>
      <c r="C9" t="s">
        <v>425</v>
      </c>
      <c r="D9" t="s">
        <v>426</v>
      </c>
      <c r="E9" t="s">
        <v>427</v>
      </c>
      <c r="F9" t="s">
        <v>428</v>
      </c>
      <c r="G9" t="s">
        <v>435</v>
      </c>
      <c r="H9" t="s">
        <v>434</v>
      </c>
      <c r="K9" t="s">
        <v>446</v>
      </c>
      <c r="L9">
        <v>49693</v>
      </c>
    </row>
    <row r="10" spans="1:16" x14ac:dyDescent="0.2">
      <c r="A10" s="257"/>
      <c r="B10" t="s">
        <v>429</v>
      </c>
      <c r="C10">
        <v>147</v>
      </c>
      <c r="D10">
        <v>1</v>
      </c>
      <c r="E10">
        <f>C10*D10</f>
        <v>147</v>
      </c>
      <c r="F10">
        <f>E10*6</f>
        <v>882</v>
      </c>
      <c r="G10">
        <f>12/1000</f>
        <v>1.2E-2</v>
      </c>
      <c r="H10">
        <f>G10*F10</f>
        <v>10.584</v>
      </c>
      <c r="K10" t="s">
        <v>447</v>
      </c>
      <c r="L10">
        <f>L6*L8*1000</f>
        <v>5713329.1352308327</v>
      </c>
      <c r="O10" t="s">
        <v>458</v>
      </c>
      <c r="P10" t="s">
        <v>461</v>
      </c>
    </row>
    <row r="11" spans="1:16" x14ac:dyDescent="0.2">
      <c r="A11" s="257"/>
      <c r="B11" t="s">
        <v>423</v>
      </c>
      <c r="C11">
        <v>0</v>
      </c>
      <c r="D11">
        <v>2</v>
      </c>
      <c r="E11">
        <f>C11*D11</f>
        <v>0</v>
      </c>
      <c r="F11">
        <f>E11*6</f>
        <v>0</v>
      </c>
      <c r="G11">
        <v>3</v>
      </c>
      <c r="H11">
        <f>G11*C11</f>
        <v>0</v>
      </c>
      <c r="K11" t="s">
        <v>448</v>
      </c>
      <c r="L11">
        <f>L6*L9*1000</f>
        <v>5764954.2055926286</v>
      </c>
      <c r="N11" t="s">
        <v>460</v>
      </c>
      <c r="O11">
        <f>$J$21*$L$6*1000</f>
        <v>119650.67150347269</v>
      </c>
      <c r="P11">
        <f>$J$21*$L$6*1000</f>
        <v>119650.67150347269</v>
      </c>
    </row>
    <row r="12" spans="1:16" x14ac:dyDescent="0.2">
      <c r="A12" s="257"/>
      <c r="B12" t="s">
        <v>430</v>
      </c>
      <c r="C12">
        <v>2</v>
      </c>
      <c r="D12">
        <v>1.8</v>
      </c>
      <c r="E12">
        <f>C12*D12</f>
        <v>3.6</v>
      </c>
      <c r="F12">
        <f>E12*6</f>
        <v>21.6</v>
      </c>
      <c r="G12">
        <v>30</v>
      </c>
      <c r="H12">
        <f>G12*C12</f>
        <v>60</v>
      </c>
      <c r="N12" t="s">
        <v>462</v>
      </c>
      <c r="O12" s="246">
        <f>I31*L6*1000</f>
        <v>79344.823489793664</v>
      </c>
    </row>
    <row r="13" spans="1:16" x14ac:dyDescent="0.2">
      <c r="A13" s="257"/>
      <c r="B13" t="s">
        <v>407</v>
      </c>
      <c r="C13">
        <v>2</v>
      </c>
      <c r="D13">
        <v>1</v>
      </c>
      <c r="E13">
        <f>C13*D13</f>
        <v>2</v>
      </c>
      <c r="F13">
        <f>E13*6</f>
        <v>12</v>
      </c>
      <c r="G13">
        <f>55/1000</f>
        <v>5.5E-2</v>
      </c>
      <c r="H13">
        <f>G13*F13</f>
        <v>0.66</v>
      </c>
    </row>
    <row r="14" spans="1:16" x14ac:dyDescent="0.2">
      <c r="A14" s="257"/>
      <c r="E14" s="251">
        <f>SUM(E10:E13)</f>
        <v>152.6</v>
      </c>
      <c r="F14">
        <f>E14*6</f>
        <v>915.59999999999991</v>
      </c>
      <c r="H14">
        <f>SUM(H10:H13)</f>
        <v>71.244</v>
      </c>
    </row>
    <row r="15" spans="1:16" x14ac:dyDescent="0.2">
      <c r="A15" s="257"/>
    </row>
    <row r="16" spans="1:16" x14ac:dyDescent="0.2">
      <c r="A16" s="257" t="s">
        <v>432</v>
      </c>
      <c r="C16" t="s">
        <v>425</v>
      </c>
      <c r="D16" t="s">
        <v>426</v>
      </c>
      <c r="E16" t="s">
        <v>428</v>
      </c>
    </row>
    <row r="17" spans="1:11" x14ac:dyDescent="0.2">
      <c r="A17" s="257"/>
      <c r="B17" t="s">
        <v>424</v>
      </c>
      <c r="C17">
        <v>2</v>
      </c>
      <c r="D17">
        <f>E7</f>
        <v>171.6</v>
      </c>
      <c r="E17">
        <f>D17*C17</f>
        <v>343.2</v>
      </c>
      <c r="I17" t="s">
        <v>457</v>
      </c>
      <c r="J17" t="s">
        <v>458</v>
      </c>
      <c r="K17" t="s">
        <v>459</v>
      </c>
    </row>
    <row r="18" spans="1:11" x14ac:dyDescent="0.2">
      <c r="A18" s="257"/>
      <c r="B18" t="s">
        <v>431</v>
      </c>
      <c r="C18">
        <v>6</v>
      </c>
      <c r="D18">
        <f>E14</f>
        <v>152.6</v>
      </c>
      <c r="E18">
        <f>D18*C18</f>
        <v>915.59999999999991</v>
      </c>
      <c r="H18" t="s">
        <v>449</v>
      </c>
      <c r="J18">
        <v>44057</v>
      </c>
      <c r="K18">
        <v>46546</v>
      </c>
    </row>
    <row r="19" spans="1:11" x14ac:dyDescent="0.2">
      <c r="A19" s="257"/>
      <c r="E19" s="251">
        <f>E17+E18</f>
        <v>1258.8</v>
      </c>
      <c r="H19" t="s">
        <v>450</v>
      </c>
      <c r="J19">
        <v>465.46</v>
      </c>
      <c r="K19">
        <v>465.46</v>
      </c>
    </row>
    <row r="20" spans="1:11" x14ac:dyDescent="0.2">
      <c r="A20" s="257" t="s">
        <v>433</v>
      </c>
      <c r="C20" t="s">
        <v>425</v>
      </c>
      <c r="D20" t="s">
        <v>426</v>
      </c>
      <c r="E20" t="s">
        <v>428</v>
      </c>
      <c r="H20" t="s">
        <v>451</v>
      </c>
      <c r="J20">
        <v>44522.5</v>
      </c>
      <c r="K20">
        <v>46546</v>
      </c>
    </row>
    <row r="21" spans="1:11" x14ac:dyDescent="0.2">
      <c r="B21" t="s">
        <v>429</v>
      </c>
      <c r="C21">
        <f>+C3*$D$17+C10*$D$18</f>
        <v>50917.8</v>
      </c>
      <c r="D21">
        <v>1</v>
      </c>
      <c r="E21" s="252">
        <f>+F3+F10</f>
        <v>1214</v>
      </c>
      <c r="H21" t="s">
        <v>452</v>
      </c>
      <c r="J21">
        <v>1031.3699999999999</v>
      </c>
      <c r="K21">
        <v>1031.3699999999999</v>
      </c>
    </row>
    <row r="22" spans="1:11" x14ac:dyDescent="0.2">
      <c r="B22" t="s">
        <v>423</v>
      </c>
      <c r="C22">
        <f>+C4*$D$17+C11*$D$18</f>
        <v>171.6</v>
      </c>
      <c r="D22">
        <v>2</v>
      </c>
      <c r="E22" s="252">
        <f>+F4+F11</f>
        <v>4</v>
      </c>
      <c r="H22" t="s">
        <v>453</v>
      </c>
      <c r="J22">
        <v>3694.6</v>
      </c>
      <c r="K22">
        <v>3147.26</v>
      </c>
    </row>
    <row r="23" spans="1:11" x14ac:dyDescent="0.2">
      <c r="B23" t="s">
        <v>430</v>
      </c>
      <c r="C23">
        <f>+C5*$D$17+C12*$D$18</f>
        <v>648.4</v>
      </c>
      <c r="D23">
        <v>1.8</v>
      </c>
      <c r="E23" s="252">
        <f>+F5+F12</f>
        <v>28.8</v>
      </c>
      <c r="H23" t="s">
        <v>454</v>
      </c>
      <c r="J23">
        <v>49248</v>
      </c>
      <c r="K23">
        <v>49693</v>
      </c>
    </row>
    <row r="24" spans="1:11" x14ac:dyDescent="0.2">
      <c r="B24" t="s">
        <v>407</v>
      </c>
      <c r="C24">
        <f>+C6*$D$17+C13*$D$18</f>
        <v>305.2</v>
      </c>
      <c r="D24">
        <v>0.5</v>
      </c>
      <c r="E24" s="252">
        <f>+F6+F13</f>
        <v>12</v>
      </c>
      <c r="H24" t="s">
        <v>455</v>
      </c>
      <c r="I24">
        <v>2500</v>
      </c>
      <c r="J24">
        <v>4282.47</v>
      </c>
      <c r="K24">
        <v>4282.47</v>
      </c>
    </row>
    <row r="25" spans="1:11" x14ac:dyDescent="0.2">
      <c r="H25" t="s">
        <v>456</v>
      </c>
      <c r="I25">
        <v>2500</v>
      </c>
      <c r="J25">
        <v>51030</v>
      </c>
      <c r="K25">
        <v>49693</v>
      </c>
    </row>
    <row r="26" spans="1:11" x14ac:dyDescent="0.2">
      <c r="H26" t="s">
        <v>463</v>
      </c>
      <c r="J26">
        <f>J23-J20-J21</f>
        <v>3694.13</v>
      </c>
    </row>
    <row r="27" spans="1:11" x14ac:dyDescent="0.2">
      <c r="B27" t="s">
        <v>436</v>
      </c>
      <c r="C27" t="s">
        <v>437</v>
      </c>
      <c r="D27" t="s">
        <v>438</v>
      </c>
      <c r="E27" t="s">
        <v>439</v>
      </c>
      <c r="F27" t="s">
        <v>434</v>
      </c>
    </row>
    <row r="28" spans="1:11" x14ac:dyDescent="0.2">
      <c r="C28">
        <v>0.5</v>
      </c>
      <c r="D28">
        <v>8</v>
      </c>
      <c r="E28">
        <f>850/700</f>
        <v>1.2142857142857142</v>
      </c>
      <c r="F28">
        <f>E28*C28*D28</f>
        <v>4.8571428571428568</v>
      </c>
      <c r="H28" t="s">
        <v>464</v>
      </c>
      <c r="I28" s="244">
        <f>(I29/K18)</f>
        <v>6.7610535814033423E-2</v>
      </c>
      <c r="K28" s="255">
        <f>1+I28</f>
        <v>1.0676105358140333</v>
      </c>
    </row>
    <row r="29" spans="1:11" x14ac:dyDescent="0.2">
      <c r="H29" t="s">
        <v>465</v>
      </c>
      <c r="I29" s="247">
        <v>3147</v>
      </c>
    </row>
    <row r="30" spans="1:11" x14ac:dyDescent="0.2">
      <c r="H30" t="s">
        <v>466</v>
      </c>
      <c r="I30" s="244">
        <f>(1+I28)*J20</f>
        <v>47532.690080780296</v>
      </c>
    </row>
    <row r="31" spans="1:11" x14ac:dyDescent="0.2">
      <c r="C31" s="282" t="s">
        <v>440</v>
      </c>
      <c r="D31" s="282"/>
      <c r="E31" s="282"/>
      <c r="H31" t="s">
        <v>467</v>
      </c>
      <c r="I31" s="244">
        <f>(J23-I30-J21)</f>
        <v>683.93991921970428</v>
      </c>
    </row>
    <row r="32" spans="1:11" x14ac:dyDescent="0.2">
      <c r="B32" s="282" t="s">
        <v>441</v>
      </c>
      <c r="C32" s="282"/>
      <c r="D32" s="282"/>
      <c r="E32" s="282"/>
      <c r="F32">
        <f>295/100</f>
        <v>2.95</v>
      </c>
      <c r="H32" t="s">
        <v>481</v>
      </c>
      <c r="I32" s="244">
        <f>J21/K28</f>
        <v>966.05453524641302</v>
      </c>
    </row>
    <row r="33" spans="1:17" x14ac:dyDescent="0.2">
      <c r="H33" t="s">
        <v>501</v>
      </c>
      <c r="I33" s="244">
        <f>I32/2</f>
        <v>483.02726762320651</v>
      </c>
    </row>
    <row r="34" spans="1:17" x14ac:dyDescent="0.2">
      <c r="A34" s="13" t="s">
        <v>469</v>
      </c>
    </row>
    <row r="35" spans="1:17" x14ac:dyDescent="0.2">
      <c r="L35" s="13" t="s">
        <v>539</v>
      </c>
      <c r="O35" s="13" t="s">
        <v>100</v>
      </c>
    </row>
    <row r="36" spans="1:17" ht="14.25" x14ac:dyDescent="0.2">
      <c r="A36" t="s">
        <v>470</v>
      </c>
      <c r="B36">
        <v>4</v>
      </c>
      <c r="H36" s="13" t="s">
        <v>98</v>
      </c>
      <c r="L36" s="259" t="s">
        <v>540</v>
      </c>
      <c r="M36">
        <v>125</v>
      </c>
      <c r="O36" t="s">
        <v>566</v>
      </c>
      <c r="P36" s="258">
        <v>8.0000000000000002E-3</v>
      </c>
      <c r="Q36" t="s">
        <v>567</v>
      </c>
    </row>
    <row r="37" spans="1:17" x14ac:dyDescent="0.2">
      <c r="A37" t="s">
        <v>471</v>
      </c>
      <c r="B37">
        <v>2120</v>
      </c>
      <c r="H37" t="s">
        <v>508</v>
      </c>
      <c r="I37" s="243">
        <v>0.01</v>
      </c>
      <c r="J37" t="s">
        <v>516</v>
      </c>
      <c r="L37" t="s">
        <v>27</v>
      </c>
      <c r="M37">
        <v>187</v>
      </c>
      <c r="O37" t="s">
        <v>568</v>
      </c>
      <c r="P37" s="258">
        <v>0.01</v>
      </c>
      <c r="Q37" t="s">
        <v>567</v>
      </c>
    </row>
    <row r="38" spans="1:17" x14ac:dyDescent="0.2">
      <c r="A38" t="s">
        <v>472</v>
      </c>
      <c r="B38" s="244">
        <v>75</v>
      </c>
      <c r="H38" t="s">
        <v>509</v>
      </c>
      <c r="I38" s="258">
        <v>1.4999999999999999E-2</v>
      </c>
      <c r="J38" t="s">
        <v>510</v>
      </c>
      <c r="L38" t="s">
        <v>542</v>
      </c>
      <c r="M38">
        <f>M37*M36</f>
        <v>23375</v>
      </c>
      <c r="O38" t="s">
        <v>569</v>
      </c>
      <c r="P38" s="243">
        <v>0.9</v>
      </c>
    </row>
    <row r="39" spans="1:17" x14ac:dyDescent="0.2">
      <c r="A39" t="s">
        <v>474</v>
      </c>
      <c r="B39" s="244">
        <v>0.4</v>
      </c>
      <c r="H39" t="s">
        <v>511</v>
      </c>
      <c r="I39" s="258">
        <v>1.4999999999999999E-2</v>
      </c>
      <c r="J39" t="s">
        <v>512</v>
      </c>
      <c r="L39" t="s">
        <v>541</v>
      </c>
      <c r="M39">
        <f>M38/1000</f>
        <v>23.375</v>
      </c>
      <c r="O39" t="s">
        <v>571</v>
      </c>
      <c r="P39" s="243">
        <v>0.03</v>
      </c>
      <c r="Q39" t="s">
        <v>572</v>
      </c>
    </row>
    <row r="40" spans="1:17" x14ac:dyDescent="0.2">
      <c r="A40" t="s">
        <v>475</v>
      </c>
      <c r="B40" s="244">
        <f>B38+B39*B38</f>
        <v>105</v>
      </c>
      <c r="H40" t="s">
        <v>513</v>
      </c>
      <c r="I40" s="243">
        <v>0.03</v>
      </c>
      <c r="J40" t="s">
        <v>514</v>
      </c>
      <c r="L40" t="s">
        <v>543</v>
      </c>
      <c r="M40">
        <v>600000</v>
      </c>
      <c r="N40" t="s">
        <v>589</v>
      </c>
      <c r="O40" t="s">
        <v>461</v>
      </c>
    </row>
    <row r="41" spans="1:17" x14ac:dyDescent="0.2">
      <c r="A41" t="s">
        <v>473</v>
      </c>
      <c r="B41">
        <f>B36*B37*B40</f>
        <v>890400</v>
      </c>
      <c r="H41" t="s">
        <v>520</v>
      </c>
      <c r="I41" s="243">
        <v>0.1</v>
      </c>
      <c r="L41" t="s">
        <v>544</v>
      </c>
      <c r="M41">
        <v>130</v>
      </c>
      <c r="N41" t="s">
        <v>590</v>
      </c>
      <c r="O41" t="s">
        <v>566</v>
      </c>
      <c r="P41" s="244">
        <f>P36*P38*('E-Inv AF y Am'!B7+'E-Inv AF y Am'!B8)</f>
        <v>36595.152000000002</v>
      </c>
    </row>
    <row r="42" spans="1:17" x14ac:dyDescent="0.2">
      <c r="A42" t="s">
        <v>476</v>
      </c>
      <c r="B42" s="244">
        <f>B41/K20</f>
        <v>19.129463326601641</v>
      </c>
      <c r="H42" t="s">
        <v>517</v>
      </c>
      <c r="I42" t="s">
        <v>529</v>
      </c>
      <c r="L42" t="s">
        <v>550</v>
      </c>
      <c r="M42">
        <v>0.45</v>
      </c>
      <c r="N42" t="s">
        <v>591</v>
      </c>
      <c r="O42" t="s">
        <v>570</v>
      </c>
      <c r="P42" s="244">
        <f>P37*P38*('E-Inv AF y Am'!B7+'E-Inv AF y Am'!B8)</f>
        <v>45743.94</v>
      </c>
    </row>
    <row r="43" spans="1:17" x14ac:dyDescent="0.2">
      <c r="A43" t="s">
        <v>477</v>
      </c>
      <c r="B43">
        <f>0.97*B41</f>
        <v>863688</v>
      </c>
      <c r="D43" s="244"/>
      <c r="H43" s="13" t="s">
        <v>484</v>
      </c>
      <c r="L43" t="s">
        <v>551</v>
      </c>
      <c r="M43">
        <v>1.2</v>
      </c>
      <c r="N43" t="s">
        <v>592</v>
      </c>
      <c r="O43" t="s">
        <v>571</v>
      </c>
      <c r="P43" s="244">
        <f>P39*0.8*('E-Inv AF y Am'!B15/2)</f>
        <v>4800</v>
      </c>
    </row>
    <row r="44" spans="1:17" x14ac:dyDescent="0.2">
      <c r="A44" t="s">
        <v>478</v>
      </c>
      <c r="B44" s="244">
        <f>B42*J20</f>
        <v>851691.53095862153</v>
      </c>
      <c r="H44" t="s">
        <v>515</v>
      </c>
      <c r="I44" s="244">
        <f>('E-Inv AF y Am'!B20-'Detalle Inv AF'!E25-250000*0.11)*0.9*'Detalle Costo'!I37</f>
        <v>68697.81</v>
      </c>
      <c r="L44" t="s">
        <v>545</v>
      </c>
      <c r="M44">
        <v>1800</v>
      </c>
      <c r="O44" t="s">
        <v>524</v>
      </c>
      <c r="P44" s="244">
        <f>P43+P42+P41</f>
        <v>87139.092000000004</v>
      </c>
    </row>
    <row r="45" spans="1:17" x14ac:dyDescent="0.2">
      <c r="A45" t="s">
        <v>479</v>
      </c>
      <c r="B45">
        <f>((J21/K28)*B42)/2</f>
        <v>9240.0524017467251</v>
      </c>
      <c r="H45" t="s">
        <v>518</v>
      </c>
      <c r="I45" s="244">
        <f>SUM('E-Inv AF y Am'!B12,'E-Inv AF y Am'!D10,'E-Inv AF y Am'!D12,'E-Inv AF y Am'!D11,'E-Inv AF y Am'!B14,'E-Inv AF y Am'!B13,'E-Inv AF y Am'!B15)*'Detalle Costo'!I38</f>
        <v>20520</v>
      </c>
      <c r="L45" t="s">
        <v>546</v>
      </c>
      <c r="O45" t="s">
        <v>476</v>
      </c>
      <c r="P45" s="244">
        <f>P44/K20</f>
        <v>1.8721069909337</v>
      </c>
    </row>
    <row r="46" spans="1:17" x14ac:dyDescent="0.2">
      <c r="A46" t="s">
        <v>480</v>
      </c>
      <c r="B46" s="244">
        <f>B43-B44-B45</f>
        <v>2756.4166396317451</v>
      </c>
      <c r="H46" t="s">
        <v>519</v>
      </c>
      <c r="I46" s="244">
        <f>(I44+I45)*I41</f>
        <v>8921.7810000000009</v>
      </c>
      <c r="L46" t="s">
        <v>547</v>
      </c>
      <c r="O46" t="s">
        <v>573</v>
      </c>
      <c r="P46" s="244">
        <f>P45*I33</f>
        <v>904.27872452900817</v>
      </c>
    </row>
    <row r="47" spans="1:17" x14ac:dyDescent="0.2">
      <c r="H47" t="s">
        <v>511</v>
      </c>
      <c r="I47" s="244">
        <f>'E-Costos'!C7*'Detalle Costo'!I39</f>
        <v>86474.313083889429</v>
      </c>
      <c r="L47" s="13" t="s">
        <v>459</v>
      </c>
      <c r="O47" t="s">
        <v>458</v>
      </c>
      <c r="P47" s="244"/>
    </row>
    <row r="48" spans="1:17" x14ac:dyDescent="0.2">
      <c r="A48" s="13" t="s">
        <v>482</v>
      </c>
      <c r="H48" t="s">
        <v>513</v>
      </c>
      <c r="I48" s="247">
        <f>('E-Costos'!C8+'E-Costos'!C11)*'Detalle Costo'!I40</f>
        <v>47880</v>
      </c>
      <c r="L48" t="s">
        <v>543</v>
      </c>
      <c r="M48" s="246">
        <f>0.9*M40</f>
        <v>540000</v>
      </c>
      <c r="O48" t="s">
        <v>524</v>
      </c>
      <c r="P48" s="244">
        <f>P44</f>
        <v>87139.092000000004</v>
      </c>
    </row>
    <row r="49" spans="1:16" x14ac:dyDescent="0.2">
      <c r="A49" s="282" t="s">
        <v>483</v>
      </c>
      <c r="B49" s="282"/>
      <c r="C49" s="282"/>
      <c r="H49" t="s">
        <v>521</v>
      </c>
      <c r="I49" s="244">
        <f>SUM(I44:I47)</f>
        <v>184613.90408388944</v>
      </c>
      <c r="L49" t="s">
        <v>548</v>
      </c>
      <c r="M49" s="246">
        <f>M48/12</f>
        <v>45000</v>
      </c>
      <c r="O49" t="s">
        <v>476</v>
      </c>
      <c r="P49" s="244">
        <f>P48/(J20+I33)</f>
        <v>1.9361864484295803</v>
      </c>
    </row>
    <row r="50" spans="1:16" x14ac:dyDescent="0.2">
      <c r="A50" t="s">
        <v>484</v>
      </c>
      <c r="H50" t="s">
        <v>476</v>
      </c>
      <c r="I50" s="244">
        <f>I49/K20</f>
        <v>3.9662678658507593</v>
      </c>
      <c r="L50" t="s">
        <v>549</v>
      </c>
      <c r="M50" s="246">
        <f>M49/M39</f>
        <v>1925.1336898395723</v>
      </c>
      <c r="O50" t="s">
        <v>573</v>
      </c>
      <c r="P50" s="244">
        <f>P49*I33</f>
        <v>935.23084979402063</v>
      </c>
    </row>
    <row r="51" spans="1:16" x14ac:dyDescent="0.2">
      <c r="A51" t="s">
        <v>485</v>
      </c>
      <c r="B51" s="244">
        <f>0.9*'E-Inv AF y Am'!E56</f>
        <v>478894.876653913</v>
      </c>
      <c r="D51" s="256" t="s">
        <v>492</v>
      </c>
      <c r="E51" s="256"/>
      <c r="H51" t="s">
        <v>522</v>
      </c>
      <c r="I51" s="244">
        <f>I50*I33</f>
        <v>1915.8155299036189</v>
      </c>
      <c r="L51" t="s">
        <v>556</v>
      </c>
      <c r="M51" s="246">
        <f>M52/2+M53/2</f>
        <v>26789.6875</v>
      </c>
    </row>
    <row r="52" spans="1:16" x14ac:dyDescent="0.2">
      <c r="A52" t="s">
        <v>486</v>
      </c>
      <c r="B52" s="244">
        <f>B51/K20</f>
        <v>10.288636545651892</v>
      </c>
      <c r="D52" t="s">
        <v>458</v>
      </c>
      <c r="E52" s="244">
        <f>(I32/2)*B58</f>
        <v>5285.9680157018474</v>
      </c>
      <c r="H52" s="13" t="s">
        <v>523</v>
      </c>
      <c r="L52" t="s">
        <v>552</v>
      </c>
      <c r="M52" s="246">
        <f>M44+M39*M41</f>
        <v>4838.75</v>
      </c>
      <c r="O52" s="13" t="s">
        <v>574</v>
      </c>
      <c r="P52" s="243">
        <v>0.02</v>
      </c>
    </row>
    <row r="53" spans="1:16" x14ac:dyDescent="0.2">
      <c r="A53" t="s">
        <v>487</v>
      </c>
      <c r="B53" s="244"/>
      <c r="D53" t="s">
        <v>493</v>
      </c>
      <c r="E53" s="244">
        <f>(I32/2)*B57</f>
        <v>5056.1704760685234</v>
      </c>
      <c r="H53" t="s">
        <v>524</v>
      </c>
      <c r="I53" s="244">
        <f>I49-I46</f>
        <v>175692.12308388946</v>
      </c>
      <c r="L53" t="s">
        <v>553</v>
      </c>
      <c r="M53" s="246">
        <f>300*M39*M42+(M50-300)*M39*M43</f>
        <v>48740.625</v>
      </c>
    </row>
    <row r="54" spans="1:16" x14ac:dyDescent="0.2">
      <c r="A54" t="s">
        <v>485</v>
      </c>
      <c r="B54" s="244">
        <f>0.9*('E-Inv AF y Am'!D56-'E-Inv AF y Am'!D50)</f>
        <v>478894.876653913</v>
      </c>
      <c r="D54" t="s">
        <v>494</v>
      </c>
      <c r="E54" s="244">
        <f>(I32/2)*B52</f>
        <v>4969.6919982144991</v>
      </c>
      <c r="H54" t="s">
        <v>476</v>
      </c>
      <c r="I54" s="244">
        <f>I53/K20</f>
        <v>3.7745912233895385</v>
      </c>
      <c r="L54" t="s">
        <v>561</v>
      </c>
      <c r="M54" s="246">
        <f>M56-M62</f>
        <v>584887.5</v>
      </c>
    </row>
    <row r="55" spans="1:16" x14ac:dyDescent="0.2">
      <c r="A55" t="s">
        <v>488</v>
      </c>
      <c r="B55" s="244">
        <f>'E-Inv AF y Am'!D50</f>
        <v>8333.3333333333321</v>
      </c>
      <c r="H55" t="s">
        <v>522</v>
      </c>
      <c r="I55" s="244">
        <f>I54*I33</f>
        <v>1823.2304850283851</v>
      </c>
      <c r="L55" t="s">
        <v>554</v>
      </c>
      <c r="M55" s="246">
        <f>M52+M53</f>
        <v>53579.375</v>
      </c>
    </row>
    <row r="56" spans="1:16" x14ac:dyDescent="0.2">
      <c r="A56" t="s">
        <v>489</v>
      </c>
      <c r="B56" s="244">
        <f>B54+B55</f>
        <v>487228.20998724631</v>
      </c>
      <c r="H56" s="13" t="s">
        <v>458</v>
      </c>
      <c r="L56" t="s">
        <v>555</v>
      </c>
      <c r="M56" s="246">
        <f>M55*11.5+M51</f>
        <v>642952.5</v>
      </c>
    </row>
    <row r="57" spans="1:16" x14ac:dyDescent="0.2">
      <c r="A57" t="s">
        <v>490</v>
      </c>
      <c r="B57" s="244">
        <f>B56/K20</f>
        <v>10.467670905926317</v>
      </c>
      <c r="H57" t="s">
        <v>525</v>
      </c>
      <c r="I57" s="244">
        <f>0.97*I53</f>
        <v>170421.35939137277</v>
      </c>
      <c r="L57" t="s">
        <v>476</v>
      </c>
      <c r="M57" s="246">
        <f>M56/K20</f>
        <v>13.813270742920981</v>
      </c>
    </row>
    <row r="58" spans="1:16" x14ac:dyDescent="0.2">
      <c r="A58" t="s">
        <v>491</v>
      </c>
      <c r="B58" s="244">
        <f>B56/J20</f>
        <v>10.943415351501967</v>
      </c>
      <c r="H58" t="s">
        <v>526</v>
      </c>
      <c r="I58" s="244">
        <f>J20*I54</f>
        <v>168054.23774336072</v>
      </c>
      <c r="L58" t="s">
        <v>505</v>
      </c>
      <c r="M58" s="246">
        <f>I33*M57</f>
        <v>6672.186423892701</v>
      </c>
    </row>
    <row r="59" spans="1:16" x14ac:dyDescent="0.2">
      <c r="B59" s="244"/>
      <c r="H59" t="s">
        <v>527</v>
      </c>
      <c r="I59" s="244">
        <f>I33*I61</f>
        <v>1848.9115294839075</v>
      </c>
      <c r="L59" s="13" t="s">
        <v>458</v>
      </c>
      <c r="M59" s="246"/>
    </row>
    <row r="60" spans="1:16" x14ac:dyDescent="0.2">
      <c r="A60" s="13" t="s">
        <v>495</v>
      </c>
      <c r="H60" t="s">
        <v>528</v>
      </c>
      <c r="I60" s="244">
        <f>I57-I58-I59</f>
        <v>518.21011852814172</v>
      </c>
      <c r="L60" t="s">
        <v>543</v>
      </c>
      <c r="M60" s="246">
        <f>0.97*M48</f>
        <v>523800</v>
      </c>
    </row>
    <row r="61" spans="1:16" x14ac:dyDescent="0.2">
      <c r="A61" s="282" t="s">
        <v>496</v>
      </c>
      <c r="B61" s="282"/>
      <c r="H61" t="s">
        <v>476</v>
      </c>
      <c r="I61" s="244">
        <f>I57/J20</f>
        <v>3.8277580861670564</v>
      </c>
      <c r="L61" t="s">
        <v>555</v>
      </c>
      <c r="M61" s="246">
        <f>0.97*M56</f>
        <v>623663.92499999993</v>
      </c>
    </row>
    <row r="62" spans="1:16" x14ac:dyDescent="0.2">
      <c r="A62" t="s">
        <v>497</v>
      </c>
      <c r="B62">
        <v>21000</v>
      </c>
      <c r="H62" s="13" t="s">
        <v>122</v>
      </c>
      <c r="L62" t="s">
        <v>557</v>
      </c>
      <c r="M62" s="246">
        <f>M52*12</f>
        <v>58065</v>
      </c>
    </row>
    <row r="63" spans="1:16" x14ac:dyDescent="0.2">
      <c r="A63" t="s">
        <v>498</v>
      </c>
      <c r="B63">
        <f>B62+0.4*B62</f>
        <v>29400</v>
      </c>
      <c r="H63" t="s">
        <v>538</v>
      </c>
      <c r="L63" t="s">
        <v>558</v>
      </c>
      <c r="M63" s="246">
        <f>M62/(I33+J20)</f>
        <v>1.2901748635166359</v>
      </c>
    </row>
    <row r="64" spans="1:16" x14ac:dyDescent="0.2">
      <c r="A64" t="s">
        <v>499</v>
      </c>
      <c r="B64">
        <v>21000</v>
      </c>
      <c r="H64" t="s">
        <v>531</v>
      </c>
      <c r="I64">
        <v>2500</v>
      </c>
      <c r="L64" t="s">
        <v>559</v>
      </c>
      <c r="M64" s="246">
        <f>M63*J20</f>
        <v>57441.810360919422</v>
      </c>
    </row>
    <row r="65" spans="1:13" x14ac:dyDescent="0.2">
      <c r="A65" t="s">
        <v>500</v>
      </c>
      <c r="B65">
        <f>B64+0.4*B64</f>
        <v>29400</v>
      </c>
      <c r="H65" t="s">
        <v>530</v>
      </c>
      <c r="I65">
        <v>17.3</v>
      </c>
      <c r="L65" t="s">
        <v>560</v>
      </c>
      <c r="M65" s="246">
        <f>M63*I33</f>
        <v>623.18963908058402</v>
      </c>
    </row>
    <row r="66" spans="1:13" x14ac:dyDescent="0.2">
      <c r="A66" t="s">
        <v>502</v>
      </c>
      <c r="B66">
        <f>B63*12+B65*12</f>
        <v>705600</v>
      </c>
      <c r="H66" t="s">
        <v>536</v>
      </c>
      <c r="I66">
        <f>I64*I65</f>
        <v>43250</v>
      </c>
      <c r="L66" t="s">
        <v>562</v>
      </c>
      <c r="M66" s="246">
        <f>M54/K20</f>
        <v>12.56579512740085</v>
      </c>
    </row>
    <row r="67" spans="1:13" x14ac:dyDescent="0.2">
      <c r="A67" t="s">
        <v>504</v>
      </c>
      <c r="B67" s="244">
        <f>B66/K20</f>
        <v>15.159197353156017</v>
      </c>
      <c r="H67" t="s">
        <v>537</v>
      </c>
      <c r="I67">
        <f>0.97*I66</f>
        <v>41952.5</v>
      </c>
      <c r="L67" t="s">
        <v>563</v>
      </c>
      <c r="M67" s="246">
        <f>M66*J20</f>
        <v>559460.61355970439</v>
      </c>
    </row>
    <row r="68" spans="1:13" x14ac:dyDescent="0.2">
      <c r="A68" t="s">
        <v>505</v>
      </c>
      <c r="B68" s="244">
        <f>B67*I33</f>
        <v>7322.3056768558954</v>
      </c>
      <c r="H68" t="s">
        <v>504</v>
      </c>
      <c r="I68" s="244">
        <f>I66/K20</f>
        <v>0.92918832982425992</v>
      </c>
      <c r="L68" t="s">
        <v>564</v>
      </c>
      <c r="M68" s="246">
        <f>M66*I33</f>
        <v>6069.6216859014348</v>
      </c>
    </row>
    <row r="69" spans="1:13" x14ac:dyDescent="0.2">
      <c r="A69" t="s">
        <v>503</v>
      </c>
      <c r="B69">
        <f>0.95*B66</f>
        <v>670320</v>
      </c>
      <c r="H69" t="s">
        <v>506</v>
      </c>
      <c r="I69" s="244">
        <f>I67/J20</f>
        <v>0.94227637711269585</v>
      </c>
      <c r="L69" t="s">
        <v>565</v>
      </c>
      <c r="M69" s="246">
        <f>(M62-M64-M65)+(M54-M67-M68)</f>
        <v>19357.264754394168</v>
      </c>
    </row>
    <row r="70" spans="1:13" x14ac:dyDescent="0.2">
      <c r="A70" t="s">
        <v>506</v>
      </c>
      <c r="B70" s="244">
        <f>B69/J20</f>
        <v>15.055758324442698</v>
      </c>
      <c r="H70" t="s">
        <v>532</v>
      </c>
      <c r="I70" s="244">
        <f>I69*I33</f>
        <v>455.14518378263961</v>
      </c>
      <c r="M70" s="246"/>
    </row>
    <row r="71" spans="1:13" x14ac:dyDescent="0.2">
      <c r="A71" t="s">
        <v>507</v>
      </c>
      <c r="B71" s="244">
        <f>B70*I33</f>
        <v>7272.341805450902</v>
      </c>
      <c r="H71" t="s">
        <v>533</v>
      </c>
      <c r="I71" s="244">
        <f>I68*I33</f>
        <v>448.82330006238305</v>
      </c>
    </row>
    <row r="72" spans="1:13" x14ac:dyDescent="0.2">
      <c r="H72" t="s">
        <v>534</v>
      </c>
      <c r="I72" s="246">
        <f>J20*I68</f>
        <v>41369.787414600614</v>
      </c>
    </row>
    <row r="73" spans="1:13" x14ac:dyDescent="0.2">
      <c r="H73" t="s">
        <v>535</v>
      </c>
      <c r="I73" s="244">
        <f>I67-I72-I70</f>
        <v>127.56740161674611</v>
      </c>
    </row>
    <row r="75" spans="1:13" x14ac:dyDescent="0.2">
      <c r="A75" s="13" t="s">
        <v>575</v>
      </c>
    </row>
    <row r="77" spans="1:13" x14ac:dyDescent="0.2">
      <c r="A77" s="13" t="s">
        <v>119</v>
      </c>
      <c r="D77" s="13" t="s">
        <v>586</v>
      </c>
    </row>
    <row r="78" spans="1:13" x14ac:dyDescent="0.2">
      <c r="A78" s="13"/>
      <c r="D78" t="s">
        <v>587</v>
      </c>
      <c r="E78" s="258">
        <v>0.05</v>
      </c>
    </row>
    <row r="79" spans="1:13" x14ac:dyDescent="0.2">
      <c r="A79" t="s">
        <v>576</v>
      </c>
      <c r="B79">
        <v>35000</v>
      </c>
      <c r="D79" t="s">
        <v>588</v>
      </c>
      <c r="E79">
        <f>E78*M40</f>
        <v>30000</v>
      </c>
    </row>
    <row r="80" spans="1:13" x14ac:dyDescent="0.2">
      <c r="A80" s="263" t="s">
        <v>577</v>
      </c>
      <c r="B80">
        <f>B79+0.4*B79</f>
        <v>49000</v>
      </c>
      <c r="D80" t="s">
        <v>473</v>
      </c>
      <c r="E80" s="244">
        <f>(E79/M48)*M56</f>
        <v>35719.583333333328</v>
      </c>
    </row>
    <row r="81" spans="1:6" x14ac:dyDescent="0.2">
      <c r="A81" s="263" t="s">
        <v>578</v>
      </c>
      <c r="B81">
        <v>21000</v>
      </c>
      <c r="D81" t="s">
        <v>593</v>
      </c>
    </row>
    <row r="82" spans="1:6" x14ac:dyDescent="0.2">
      <c r="A82" s="263" t="s">
        <v>579</v>
      </c>
      <c r="B82">
        <f>B81+0.4*B81</f>
        <v>29400</v>
      </c>
      <c r="D82" t="s">
        <v>594</v>
      </c>
      <c r="E82" s="244">
        <f>0.95*E80</f>
        <v>33933.604166666657</v>
      </c>
    </row>
    <row r="83" spans="1:6" x14ac:dyDescent="0.2">
      <c r="A83" s="263" t="s">
        <v>525</v>
      </c>
      <c r="B83">
        <f>B80*12+B82*12</f>
        <v>940800</v>
      </c>
    </row>
    <row r="84" spans="1:6" x14ac:dyDescent="0.2">
      <c r="A84" s="263"/>
      <c r="D84" s="13" t="s">
        <v>595</v>
      </c>
    </row>
    <row r="85" spans="1:6" x14ac:dyDescent="0.2">
      <c r="A85" s="13" t="s">
        <v>580</v>
      </c>
    </row>
    <row r="86" spans="1:6" x14ac:dyDescent="0.2">
      <c r="A86" s="263" t="s">
        <v>581</v>
      </c>
      <c r="D86" s="282" t="s">
        <v>596</v>
      </c>
      <c r="E86" s="282"/>
      <c r="F86" s="282"/>
    </row>
    <row r="87" spans="1:6" x14ac:dyDescent="0.2">
      <c r="A87" s="263" t="s">
        <v>487</v>
      </c>
      <c r="B87" s="244">
        <f>0.05*'E-Costos'!B10</f>
        <v>24361.410499362319</v>
      </c>
      <c r="D87" t="s">
        <v>566</v>
      </c>
      <c r="E87">
        <f>0.05*(P41/0.9)</f>
        <v>2033.0640000000001</v>
      </c>
    </row>
    <row r="88" spans="1:6" x14ac:dyDescent="0.2">
      <c r="A88" s="263" t="s">
        <v>484</v>
      </c>
      <c r="B88" s="244">
        <f>0.05*'E-Costos'!F10</f>
        <v>23944.743832695651</v>
      </c>
      <c r="D88" t="s">
        <v>568</v>
      </c>
      <c r="E88">
        <f>0.05*(P42/0.9)</f>
        <v>2541.33</v>
      </c>
    </row>
    <row r="89" spans="1:6" x14ac:dyDescent="0.2">
      <c r="D89" t="s">
        <v>597</v>
      </c>
      <c r="E89" s="244">
        <f>0.0004*'E-Costos'!C87</f>
        <v>7400</v>
      </c>
    </row>
    <row r="90" spans="1:6" x14ac:dyDescent="0.2">
      <c r="A90" s="13" t="s">
        <v>98</v>
      </c>
      <c r="D90" t="s">
        <v>598</v>
      </c>
    </row>
    <row r="91" spans="1:6" x14ac:dyDescent="0.2">
      <c r="A91" s="263" t="s">
        <v>582</v>
      </c>
      <c r="D91" t="s">
        <v>599</v>
      </c>
      <c r="E91">
        <f>0.012*'E-Costos'!C87</f>
        <v>222000</v>
      </c>
    </row>
    <row r="92" spans="1:6" x14ac:dyDescent="0.2">
      <c r="A92" s="263" t="s">
        <v>585</v>
      </c>
      <c r="D92" t="s">
        <v>600</v>
      </c>
      <c r="E92" s="244">
        <f>E91+E89+E88+E87</f>
        <v>233974.394</v>
      </c>
    </row>
    <row r="93" spans="1:6" x14ac:dyDescent="0.2">
      <c r="A93" s="263" t="s">
        <v>515</v>
      </c>
      <c r="B93" s="244">
        <f>('E-Inv AF y Am'!B20-'Detalle Inv AF'!E25-250000*0.11)*0.05*'Detalle Costo'!I37</f>
        <v>3816.5450000000001</v>
      </c>
    </row>
    <row r="94" spans="1:6" x14ac:dyDescent="0.2">
      <c r="A94" s="263" t="s">
        <v>583</v>
      </c>
      <c r="B94" s="244">
        <f>0.001*'E-Costos'!C16</f>
        <v>8317.3489032770394</v>
      </c>
    </row>
    <row r="95" spans="1:6" x14ac:dyDescent="0.2">
      <c r="A95" s="263" t="s">
        <v>584</v>
      </c>
      <c r="B95">
        <f>0.005*B83</f>
        <v>4704</v>
      </c>
    </row>
    <row r="96" spans="1:6" x14ac:dyDescent="0.2">
      <c r="A96" s="263" t="s">
        <v>524</v>
      </c>
      <c r="B96" s="244">
        <f>B94+B95+B93</f>
        <v>16837.893903277039</v>
      </c>
    </row>
    <row r="98" spans="1:6" x14ac:dyDescent="0.2">
      <c r="A98" s="13" t="s">
        <v>602</v>
      </c>
    </row>
    <row r="100" spans="1:6" x14ac:dyDescent="0.2">
      <c r="A100" s="13" t="s">
        <v>119</v>
      </c>
      <c r="D100" s="13" t="s">
        <v>586</v>
      </c>
    </row>
    <row r="101" spans="1:6" x14ac:dyDescent="0.2">
      <c r="D101" t="s">
        <v>587</v>
      </c>
      <c r="E101" s="258">
        <v>0.05</v>
      </c>
    </row>
    <row r="102" spans="1:6" x14ac:dyDescent="0.2">
      <c r="A102" t="s">
        <v>603</v>
      </c>
      <c r="B102">
        <v>21000</v>
      </c>
      <c r="D102" t="s">
        <v>588</v>
      </c>
      <c r="E102">
        <f>E78*M40</f>
        <v>30000</v>
      </c>
    </row>
    <row r="103" spans="1:6" x14ac:dyDescent="0.2">
      <c r="A103" t="s">
        <v>579</v>
      </c>
      <c r="B103">
        <f>B102+0.4*B102</f>
        <v>29400</v>
      </c>
      <c r="D103" t="s">
        <v>473</v>
      </c>
      <c r="E103" s="244">
        <f>(E79/M48)*M56</f>
        <v>35719.583333333328</v>
      </c>
    </row>
    <row r="104" spans="1:6" x14ac:dyDescent="0.2">
      <c r="A104" t="s">
        <v>604</v>
      </c>
      <c r="B104">
        <f>B103*12</f>
        <v>352800</v>
      </c>
      <c r="D104" t="s">
        <v>593</v>
      </c>
    </row>
    <row r="105" spans="1:6" x14ac:dyDescent="0.2">
      <c r="A105" t="s">
        <v>605</v>
      </c>
      <c r="D105" t="s">
        <v>594</v>
      </c>
      <c r="E105" s="244">
        <f>0.95*E103</f>
        <v>33933.604166666657</v>
      </c>
    </row>
    <row r="106" spans="1:6" x14ac:dyDescent="0.2">
      <c r="A106" s="13" t="s">
        <v>482</v>
      </c>
    </row>
    <row r="107" spans="1:6" x14ac:dyDescent="0.2">
      <c r="D107" s="13" t="s">
        <v>595</v>
      </c>
    </row>
    <row r="108" spans="1:6" x14ac:dyDescent="0.2">
      <c r="A108" t="s">
        <v>606</v>
      </c>
    </row>
    <row r="109" spans="1:6" x14ac:dyDescent="0.2">
      <c r="A109" s="263" t="s">
        <v>607</v>
      </c>
      <c r="B109" s="244"/>
      <c r="D109" s="282" t="s">
        <v>609</v>
      </c>
      <c r="E109" s="282"/>
      <c r="F109" s="282"/>
    </row>
    <row r="110" spans="1:6" x14ac:dyDescent="0.2">
      <c r="A110" s="263"/>
      <c r="B110" s="244"/>
      <c r="D110" t="s">
        <v>566</v>
      </c>
      <c r="E110">
        <f>0.05*(P41/0.9)</f>
        <v>2033.0640000000001</v>
      </c>
    </row>
    <row r="111" spans="1:6" x14ac:dyDescent="0.2">
      <c r="A111" s="13" t="s">
        <v>98</v>
      </c>
      <c r="D111" t="s">
        <v>568</v>
      </c>
      <c r="E111">
        <f>0.05*(P42/0.9)</f>
        <v>2541.33</v>
      </c>
    </row>
    <row r="112" spans="1:6" x14ac:dyDescent="0.2">
      <c r="A112" s="263" t="s">
        <v>608</v>
      </c>
      <c r="D112" t="s">
        <v>610</v>
      </c>
      <c r="E112" s="258">
        <v>2.75E-2</v>
      </c>
    </row>
    <row r="113" spans="1:5" x14ac:dyDescent="0.2">
      <c r="A113" s="263" t="s">
        <v>585</v>
      </c>
      <c r="D113" t="s">
        <v>611</v>
      </c>
      <c r="E113">
        <f>E112*'E-Costos'!C87</f>
        <v>508750</v>
      </c>
    </row>
    <row r="114" spans="1:5" x14ac:dyDescent="0.2">
      <c r="A114" s="263" t="s">
        <v>515</v>
      </c>
      <c r="B114" s="244">
        <f>('E-Inv AF y Am'!B20-'Detalle Inv AF'!E25-250000*0.11)*0.05*'Detalle Costo'!I37</f>
        <v>3816.5450000000001</v>
      </c>
      <c r="D114" t="s">
        <v>473</v>
      </c>
      <c r="E114">
        <f>E113+E111+E110</f>
        <v>513324.39400000003</v>
      </c>
    </row>
    <row r="115" spans="1:5" x14ac:dyDescent="0.2">
      <c r="A115" s="263" t="s">
        <v>583</v>
      </c>
      <c r="B115" s="244">
        <f>0.001*'E-Costos'!C16</f>
        <v>8317.3489032770394</v>
      </c>
      <c r="D115" t="s">
        <v>612</v>
      </c>
      <c r="E115">
        <f>E112*'E-Costos'!B87</f>
        <v>486626.25</v>
      </c>
    </row>
    <row r="116" spans="1:5" x14ac:dyDescent="0.2">
      <c r="A116" s="263" t="s">
        <v>584</v>
      </c>
      <c r="B116">
        <f>0.05*B104</f>
        <v>17640</v>
      </c>
      <c r="D116" t="s">
        <v>477</v>
      </c>
      <c r="E116">
        <f>E115+E111+E110</f>
        <v>491200.64400000003</v>
      </c>
    </row>
    <row r="117" spans="1:5" x14ac:dyDescent="0.2">
      <c r="A117" s="263" t="s">
        <v>524</v>
      </c>
      <c r="B117" s="244">
        <f>B116+B115+B114</f>
        <v>29773.893903277036</v>
      </c>
    </row>
    <row r="118" spans="1:5" x14ac:dyDescent="0.2">
      <c r="D118" s="13" t="s">
        <v>601</v>
      </c>
    </row>
  </sheetData>
  <mergeCells count="6">
    <mergeCell ref="D86:F86"/>
    <mergeCell ref="D109:F109"/>
    <mergeCell ref="A61:B61"/>
    <mergeCell ref="C31:E31"/>
    <mergeCell ref="B32:E32"/>
    <mergeCell ref="A49:C4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workbookViewId="0">
      <selection activeCell="C33" sqref="C33"/>
    </sheetView>
  </sheetViews>
  <sheetFormatPr baseColWidth="10" defaultRowHeight="12.75" x14ac:dyDescent="0.2"/>
  <cols>
    <col min="1" max="1" width="45.42578125" style="16" customWidth="1"/>
    <col min="2" max="7" width="14.85546875" style="16" customWidth="1"/>
    <col min="8" max="8" width="17.42578125" style="16" customWidth="1"/>
    <col min="9" max="16384" width="11.42578125" style="16"/>
  </cols>
  <sheetData>
    <row r="1" spans="1:7" x14ac:dyDescent="0.2">
      <c r="A1" s="1" t="s">
        <v>0</v>
      </c>
      <c r="B1"/>
      <c r="C1"/>
      <c r="D1"/>
      <c r="E1" s="2">
        <f>InfoInicial!E1</f>
        <v>4</v>
      </c>
    </row>
    <row r="2" spans="1:7" x14ac:dyDescent="0.2">
      <c r="A2" s="1"/>
      <c r="B2"/>
      <c r="C2"/>
      <c r="D2"/>
      <c r="E2" s="106"/>
    </row>
    <row r="3" spans="1:7" ht="15.75" x14ac:dyDescent="0.25">
      <c r="A3" s="56" t="s">
        <v>161</v>
      </c>
      <c r="B3" s="57"/>
      <c r="C3" s="57"/>
      <c r="D3" s="57"/>
      <c r="E3" s="57"/>
      <c r="F3" s="57"/>
      <c r="G3" s="58"/>
    </row>
    <row r="4" spans="1:7" x14ac:dyDescent="0.2">
      <c r="A4" s="59" t="s">
        <v>88</v>
      </c>
      <c r="B4" s="21" t="s">
        <v>47</v>
      </c>
      <c r="C4" s="21" t="s">
        <v>48</v>
      </c>
      <c r="D4" s="21" t="s">
        <v>89</v>
      </c>
      <c r="E4" s="21" t="s">
        <v>90</v>
      </c>
      <c r="F4" s="21" t="s">
        <v>91</v>
      </c>
      <c r="G4" s="22" t="s">
        <v>92</v>
      </c>
    </row>
    <row r="5" spans="1:7" x14ac:dyDescent="0.2">
      <c r="A5" s="107" t="s">
        <v>162</v>
      </c>
      <c r="B5" s="108"/>
      <c r="C5" s="108"/>
      <c r="D5" s="108"/>
      <c r="E5" s="108"/>
      <c r="F5" s="108"/>
      <c r="G5" s="109"/>
    </row>
    <row r="6" spans="1:7" x14ac:dyDescent="0.2">
      <c r="A6" s="107" t="s">
        <v>163</v>
      </c>
      <c r="B6" s="96">
        <f>2%*'E-Costos'!B87</f>
        <v>353910</v>
      </c>
      <c r="C6" s="96">
        <f>2%*'E-Costos'!C87</f>
        <v>370000</v>
      </c>
      <c r="D6" s="96">
        <f>2%*'E-Costos'!D87</f>
        <v>370000</v>
      </c>
      <c r="E6" s="96">
        <f>2%*'E-Costos'!E87</f>
        <v>370000</v>
      </c>
      <c r="F6" s="96">
        <f>2%*'E-Costos'!$F$87</f>
        <v>370000</v>
      </c>
      <c r="G6" s="96">
        <f>2%*'E-Costos'!$F$87</f>
        <v>370000</v>
      </c>
    </row>
    <row r="7" spans="1:7" x14ac:dyDescent="0.2">
      <c r="A7" s="107" t="s">
        <v>164</v>
      </c>
      <c r="B7" s="96"/>
      <c r="C7" s="96">
        <f>'E-Costos'!B87*30/365</f>
        <v>1454424.6575342466</v>
      </c>
      <c r="D7" s="96">
        <f>'E-Costos'!C87*30/365</f>
        <v>1520547.9452054794</v>
      </c>
      <c r="E7" s="96">
        <f>'E-Costos'!D87*30/365</f>
        <v>1520547.9452054794</v>
      </c>
      <c r="F7" s="96">
        <f>'E-Costos'!E87*30/365</f>
        <v>1520547.9452054794</v>
      </c>
      <c r="G7" s="96">
        <f>'E-Costos'!F87*30/365</f>
        <v>1520547.9452054794</v>
      </c>
    </row>
    <row r="8" spans="1:7" x14ac:dyDescent="0.2">
      <c r="A8" s="110"/>
      <c r="B8" s="88"/>
      <c r="C8" s="88"/>
      <c r="D8" s="88"/>
      <c r="E8" s="88"/>
      <c r="F8" s="88"/>
      <c r="G8" s="89"/>
    </row>
    <row r="9" spans="1:7" x14ac:dyDescent="0.2">
      <c r="A9" s="107" t="s">
        <v>165</v>
      </c>
      <c r="B9" s="98">
        <f>B10+B11+B12+B13</f>
        <v>362710.01844028535</v>
      </c>
      <c r="C9" s="98">
        <f t="shared" ref="C9:G9" si="0">C10+C11+C12+C13</f>
        <v>846452.40598280181</v>
      </c>
      <c r="D9" s="98">
        <f t="shared" si="0"/>
        <v>846442.93393919582</v>
      </c>
      <c r="E9" s="98">
        <f t="shared" si="0"/>
        <v>846439.553920954</v>
      </c>
      <c r="F9" s="98">
        <f t="shared" si="0"/>
        <v>851792.60610278929</v>
      </c>
      <c r="G9" s="98">
        <f t="shared" si="0"/>
        <v>851792.68445981469</v>
      </c>
    </row>
    <row r="10" spans="1:7" x14ac:dyDescent="0.2">
      <c r="A10" s="110" t="s">
        <v>166</v>
      </c>
      <c r="B10" s="64">
        <f>'Detalle Costo'!I24*'Detalle Costo'!L7</f>
        <v>290028.48517862818</v>
      </c>
      <c r="C10" s="64">
        <f>'Detalle Costo'!$J$24*'Detalle Costo'!$L$6*1000</f>
        <v>496815.31476916798</v>
      </c>
      <c r="D10" s="64">
        <f>'Detalle Costo'!$J$24*'Detalle Costo'!$L$6*1000</f>
        <v>496815.31476916798</v>
      </c>
      <c r="E10" s="64">
        <f>'Detalle Costo'!$J$24*'Detalle Costo'!$L$6*1000</f>
        <v>496815.31476916798</v>
      </c>
      <c r="F10" s="64">
        <f>'Detalle Costo'!$J$24*'Detalle Costo'!$L$6*1000</f>
        <v>496815.31476916798</v>
      </c>
      <c r="G10" s="64">
        <f>'Detalle Costo'!$J$24*'Detalle Costo'!$L$6*1000</f>
        <v>496815.31476916798</v>
      </c>
    </row>
    <row r="11" spans="1:7" x14ac:dyDescent="0.2">
      <c r="A11" s="110" t="s">
        <v>167</v>
      </c>
      <c r="B11" s="64">
        <f>'Detalle Inv-AT'!D15</f>
        <v>72681.533261657169</v>
      </c>
      <c r="C11" s="64">
        <f>'Detalle Inv-AT'!$D$11</f>
        <v>90851.916577071461</v>
      </c>
      <c r="D11" s="64">
        <f>'Detalle Inv-AT'!$D$11</f>
        <v>90851.916577071461</v>
      </c>
      <c r="E11" s="64">
        <f>'Detalle Inv-AT'!$D$11</f>
        <v>90851.916577071461</v>
      </c>
      <c r="F11" s="64">
        <f>'Detalle Inv-AT'!$D$7</f>
        <v>96191.267692490888</v>
      </c>
      <c r="G11" s="64">
        <f>'Detalle Inv-AT'!$D$7</f>
        <v>96191.267692490888</v>
      </c>
    </row>
    <row r="12" spans="1:7" x14ac:dyDescent="0.2">
      <c r="A12" s="110" t="s">
        <v>168</v>
      </c>
      <c r="B12" s="64"/>
      <c r="C12" s="64">
        <f>'E-Costos'!B34</f>
        <v>154408.75526670308</v>
      </c>
      <c r="D12" s="64">
        <f>'E-Costos'!C34</f>
        <v>154140.07337148944</v>
      </c>
      <c r="E12" s="64">
        <f>'E-Costos'!D34</f>
        <v>154140.07337148944</v>
      </c>
      <c r="F12" s="64">
        <f>'E-Costos'!E34</f>
        <v>154146.30206985111</v>
      </c>
      <c r="G12" s="64">
        <f>'E-Costos'!F34</f>
        <v>154146.30206985111</v>
      </c>
    </row>
    <row r="13" spans="1:7" x14ac:dyDescent="0.2">
      <c r="A13" s="110" t="s">
        <v>169</v>
      </c>
      <c r="B13" s="64"/>
      <c r="C13" s="64">
        <f>'E-Costos'!B104</f>
        <v>104376.41936985924</v>
      </c>
      <c r="D13" s="64">
        <f>'E-Costos'!H104</f>
        <v>104635.62922146694</v>
      </c>
      <c r="E13" s="64">
        <f>'E-Costos'!I104</f>
        <v>104632.24920322515</v>
      </c>
      <c r="F13" s="64">
        <f>'E-Costos'!J104</f>
        <v>104639.72157127937</v>
      </c>
      <c r="G13" s="64">
        <f>'E-Costos'!K104</f>
        <v>104639.79992830475</v>
      </c>
    </row>
    <row r="14" spans="1:7" x14ac:dyDescent="0.2">
      <c r="A14" s="110"/>
      <c r="B14" s="88"/>
      <c r="C14" s="88"/>
      <c r="D14" s="88"/>
      <c r="E14" s="88"/>
      <c r="F14" s="88"/>
      <c r="G14" s="89"/>
    </row>
    <row r="15" spans="1:7" x14ac:dyDescent="0.2">
      <c r="A15" s="107" t="s">
        <v>170</v>
      </c>
      <c r="B15" s="96">
        <f>B6+B7+B9</f>
        <v>716620.01844028535</v>
      </c>
      <c r="C15" s="96">
        <f t="shared" ref="C15:G15" si="1">C6+C7+C9</f>
        <v>2670877.0635170485</v>
      </c>
      <c r="D15" s="96">
        <f t="shared" si="1"/>
        <v>2736990.8791446751</v>
      </c>
      <c r="E15" s="96">
        <f t="shared" si="1"/>
        <v>2736987.4991264334</v>
      </c>
      <c r="F15" s="96">
        <f t="shared" si="1"/>
        <v>2742340.5513082687</v>
      </c>
      <c r="G15" s="96">
        <f t="shared" si="1"/>
        <v>2742340.6296652942</v>
      </c>
    </row>
    <row r="16" spans="1:7" x14ac:dyDescent="0.2">
      <c r="A16" s="107" t="s">
        <v>171</v>
      </c>
      <c r="B16" s="88">
        <v>0</v>
      </c>
      <c r="C16" s="98">
        <f>SUM(C17:C20)</f>
        <v>447961.14382755326</v>
      </c>
      <c r="D16" s="98">
        <f t="shared" ref="D16:G16" si="2">SUM(D17:D20)</f>
        <v>468378.80868473288</v>
      </c>
      <c r="E16" s="98">
        <f t="shared" si="2"/>
        <v>468390.76673749939</v>
      </c>
      <c r="F16" s="98">
        <f t="shared" si="2"/>
        <v>467495.68492098019</v>
      </c>
      <c r="G16" s="98">
        <f t="shared" si="2"/>
        <v>467494.56510364742</v>
      </c>
    </row>
    <row r="17" spans="1:12" x14ac:dyDescent="0.2">
      <c r="A17" s="110" t="s">
        <v>172</v>
      </c>
      <c r="B17" s="64">
        <v>0</v>
      </c>
      <c r="C17" s="64">
        <f>'E-Costos'!B27</f>
        <v>5285.9680157018474</v>
      </c>
      <c r="D17" s="64">
        <f>'E-Costos'!C27</f>
        <v>5056.1704760685234</v>
      </c>
      <c r="E17" s="64">
        <f>'E-Costos'!D27</f>
        <v>5056.1704760685234</v>
      </c>
      <c r="F17" s="64">
        <f>'E-Costos'!E27</f>
        <v>4969.6919982144991</v>
      </c>
      <c r="G17" s="64">
        <f>'E-Costos'!F27</f>
        <v>4969.6919982144991</v>
      </c>
    </row>
    <row r="18" spans="1:12" x14ac:dyDescent="0.2">
      <c r="A18" s="110" t="s">
        <v>173</v>
      </c>
      <c r="B18" s="64">
        <v>0</v>
      </c>
      <c r="C18" s="64">
        <f>(('E-Costos'!B10-'E-InvAT'!C17+'E-InvAT'!B17)*'Detalle Costo'!$J$19)/'Detalle Costo'!$J$20</f>
        <v>5038.4600134330976</v>
      </c>
      <c r="D18" s="64">
        <f>(('E-Costos'!C10-'E-InvAT'!D17+'E-InvAT'!C17)*'Detalle Costo'!$K$19)/'Detalle Costo'!$K$20</f>
        <v>4874.5800752687965</v>
      </c>
      <c r="E18" s="64">
        <f>(('E-Costos'!D10-'E-InvAT'!E17+'E-InvAT'!D17)*'Detalle Costo'!$K$19)/'Detalle Costo'!$K$20</f>
        <v>4872.2820998724628</v>
      </c>
      <c r="F18" s="64">
        <f>(('E-Costos'!E10-'E-InvAT'!F17+'E-InvAT'!E17)*'Detalle Costo'!$K$19)/'Detalle Costo'!$K$20</f>
        <v>4789.8135513176694</v>
      </c>
      <c r="G18" s="64">
        <f>(('E-Costos'!F10-'E-InvAT'!G17+'E-InvAT'!F17)*'Detalle Costo'!$K$19)/'Detalle Costo'!$K$20</f>
        <v>4788.9487665391298</v>
      </c>
    </row>
    <row r="19" spans="1:12" x14ac:dyDescent="0.2">
      <c r="A19" s="110" t="s">
        <v>174</v>
      </c>
      <c r="B19" s="64">
        <v>0</v>
      </c>
      <c r="C19" s="64">
        <f>C7*'E-Costos'!B120</f>
        <v>394434.52925402083</v>
      </c>
      <c r="D19" s="64">
        <f>D7*'E-Costos'!C120</f>
        <v>415213.51453602844</v>
      </c>
      <c r="E19" s="64">
        <f>E7*'E-Costos'!D120</f>
        <v>415227.58168950112</v>
      </c>
      <c r="F19" s="64">
        <f>F7*'E-Costos'!E120</f>
        <v>415240.9854999599</v>
      </c>
      <c r="G19" s="64">
        <f>G7*'E-Costos'!F120</f>
        <v>415240.65938920469</v>
      </c>
    </row>
    <row r="20" spans="1:12" x14ac:dyDescent="0.2">
      <c r="A20" s="110" t="s">
        <v>175</v>
      </c>
      <c r="B20" s="64">
        <v>0</v>
      </c>
      <c r="C20" s="64">
        <f>('E-Costos'!B124-'E-InvAT'!C17-'E-InvAT'!C18)*30/365</f>
        <v>43202.186544397482</v>
      </c>
      <c r="D20" s="64">
        <f>('E-Costos'!C124-'E-InvAT'!D17-'E-InvAT'!D18)*30/365</f>
        <v>43234.543597367156</v>
      </c>
      <c r="E20" s="64">
        <f>('E-Costos'!D124-'E-InvAT'!E17-'E-InvAT'!E18)*30/365</f>
        <v>43234.732472057258</v>
      </c>
      <c r="F20" s="64">
        <f>('E-Costos'!E124-'E-InvAT'!F17-'E-InvAT'!F18)*30/365</f>
        <v>42495.193871488118</v>
      </c>
      <c r="G20" s="64">
        <f>('E-Costos'!F124-'E-InvAT'!G17-'E-InvAT'!G18)*30/365</f>
        <v>42495.264949689103</v>
      </c>
    </row>
    <row r="21" spans="1:12" x14ac:dyDescent="0.2">
      <c r="A21" s="110"/>
      <c r="B21" s="88"/>
      <c r="C21" s="88"/>
      <c r="D21" s="88"/>
      <c r="E21" s="88"/>
      <c r="F21" s="88"/>
      <c r="G21" s="89"/>
    </row>
    <row r="22" spans="1:12" x14ac:dyDescent="0.2">
      <c r="A22" s="107" t="s">
        <v>176</v>
      </c>
      <c r="B22" s="96">
        <f>B15-B16</f>
        <v>716620.01844028535</v>
      </c>
      <c r="C22" s="96">
        <f t="shared" ref="C22:G22" si="3">C15-C16</f>
        <v>2222915.9196894951</v>
      </c>
      <c r="D22" s="96">
        <f t="shared" si="3"/>
        <v>2268612.0704599423</v>
      </c>
      <c r="E22" s="96">
        <f t="shared" si="3"/>
        <v>2268596.7323889341</v>
      </c>
      <c r="F22" s="96">
        <f t="shared" si="3"/>
        <v>2274844.8663872886</v>
      </c>
      <c r="G22" s="96">
        <f t="shared" si="3"/>
        <v>2274846.0645616469</v>
      </c>
    </row>
    <row r="23" spans="1:12" x14ac:dyDescent="0.2">
      <c r="A23" s="110"/>
      <c r="B23" s="88"/>
      <c r="C23" s="88"/>
      <c r="D23" s="88"/>
      <c r="E23" s="88"/>
      <c r="F23" s="88"/>
      <c r="G23" s="89"/>
    </row>
    <row r="24" spans="1:12" x14ac:dyDescent="0.2">
      <c r="A24" s="107" t="s">
        <v>177</v>
      </c>
      <c r="B24" s="64">
        <f>B22</f>
        <v>716620.01844028535</v>
      </c>
      <c r="C24" s="64">
        <f>C15-B15</f>
        <v>1954257.0450767633</v>
      </c>
      <c r="D24" s="64">
        <f t="shared" ref="D24:G24" si="4">D15-C15</f>
        <v>66113.815627626609</v>
      </c>
      <c r="E24" s="64">
        <f t="shared" si="4"/>
        <v>-3.3800182417035103</v>
      </c>
      <c r="F24" s="64">
        <f t="shared" si="4"/>
        <v>5353.0521818352863</v>
      </c>
      <c r="G24" s="64">
        <f t="shared" si="4"/>
        <v>7.8357025515288115E-2</v>
      </c>
    </row>
    <row r="25" spans="1:12" x14ac:dyDescent="0.2">
      <c r="A25" s="107" t="s">
        <v>178</v>
      </c>
      <c r="B25" s="64">
        <f>B22</f>
        <v>716620.01844028535</v>
      </c>
      <c r="C25" s="64">
        <f>C22-B22</f>
        <v>1506295.9012492099</v>
      </c>
      <c r="D25" s="64">
        <f t="shared" ref="D25:G25" si="5">D22-C22</f>
        <v>45696.150770447217</v>
      </c>
      <c r="E25" s="64">
        <f t="shared" si="5"/>
        <v>-15.338071008212864</v>
      </c>
      <c r="F25" s="64">
        <f t="shared" si="5"/>
        <v>6248.1339983544312</v>
      </c>
      <c r="G25" s="64">
        <f t="shared" si="5"/>
        <v>1.1981743583455682</v>
      </c>
    </row>
    <row r="26" spans="1:12" x14ac:dyDescent="0.2">
      <c r="A26" s="110"/>
      <c r="B26" s="88"/>
      <c r="C26" s="88"/>
      <c r="D26" s="88"/>
      <c r="E26" s="88"/>
      <c r="F26" s="88"/>
      <c r="G26" s="89"/>
    </row>
    <row r="27" spans="1:12" x14ac:dyDescent="0.2">
      <c r="A27" s="107" t="s">
        <v>179</v>
      </c>
      <c r="B27" s="88"/>
      <c r="C27" s="88"/>
      <c r="D27" s="88"/>
      <c r="E27" s="88"/>
      <c r="F27" s="88"/>
      <c r="G27" s="89"/>
    </row>
    <row r="28" spans="1:12" x14ac:dyDescent="0.2">
      <c r="A28" s="110" t="s">
        <v>180</v>
      </c>
      <c r="B28" s="64">
        <v>0</v>
      </c>
      <c r="C28" s="64">
        <v>0</v>
      </c>
      <c r="D28" s="64">
        <v>0</v>
      </c>
      <c r="E28" s="64">
        <v>0</v>
      </c>
      <c r="F28" s="64">
        <v>0</v>
      </c>
      <c r="G28" s="65">
        <v>0</v>
      </c>
      <c r="H28" s="287" t="s">
        <v>632</v>
      </c>
      <c r="I28" s="286"/>
      <c r="J28" s="286"/>
      <c r="K28" s="286"/>
      <c r="L28" s="286"/>
    </row>
    <row r="29" spans="1:12" x14ac:dyDescent="0.2">
      <c r="A29" s="110" t="s">
        <v>181</v>
      </c>
      <c r="B29" s="64"/>
      <c r="C29" s="64"/>
      <c r="D29" s="64"/>
      <c r="E29" s="64"/>
      <c r="F29" s="64"/>
      <c r="G29" s="65"/>
    </row>
    <row r="30" spans="1:12" x14ac:dyDescent="0.2">
      <c r="A30" s="110" t="s">
        <v>182</v>
      </c>
      <c r="B30" s="64">
        <f>0.21*B10</f>
        <v>60905.981887511916</v>
      </c>
      <c r="C30" s="64">
        <f>'Detalle Inv-AT'!D21*0.21</f>
        <v>43425.234214013355</v>
      </c>
      <c r="D30" s="64">
        <f>'Detalle Inv-AT'!E21*0.21</f>
        <v>0</v>
      </c>
      <c r="E30" s="64">
        <f>'Detalle Inv-AT'!F21*0.21</f>
        <v>0</v>
      </c>
      <c r="F30" s="64">
        <f>'Detalle Inv-AT'!G21*0.21</f>
        <v>0</v>
      </c>
      <c r="G30" s="64">
        <f>'Detalle Inv-AT'!H21*0.21</f>
        <v>0</v>
      </c>
    </row>
    <row r="31" spans="1:12" x14ac:dyDescent="0.2">
      <c r="A31" s="110" t="s">
        <v>183</v>
      </c>
      <c r="B31" s="64">
        <f t="shared" ref="B31:B33" si="6">0.21*B11</f>
        <v>15263.121984948004</v>
      </c>
      <c r="C31" s="64">
        <f>0.21*'Detalle Inv-AT'!D22</f>
        <v>3815.780496237001</v>
      </c>
      <c r="D31" s="64">
        <f>0.21*'Detalle Inv-AT'!E22</f>
        <v>0</v>
      </c>
      <c r="E31" s="64">
        <f>0.21*'Detalle Inv-AT'!F22</f>
        <v>0</v>
      </c>
      <c r="F31" s="64">
        <f>0.21*'Detalle Inv-AT'!G22</f>
        <v>1121.2637342380797</v>
      </c>
      <c r="G31" s="64">
        <f>0.21*'Detalle Inv-AT'!H22</f>
        <v>0</v>
      </c>
    </row>
    <row r="32" spans="1:12" x14ac:dyDescent="0.2">
      <c r="A32" s="110" t="s">
        <v>184</v>
      </c>
      <c r="B32" s="64">
        <f t="shared" si="6"/>
        <v>0</v>
      </c>
      <c r="C32" s="64">
        <f>0.21*'Detalle Inv-AT'!D18</f>
        <v>27015.98330376147</v>
      </c>
      <c r="D32" s="64">
        <f>0.21*'Detalle Inv-AT'!E19</f>
        <v>-11.051844145664218</v>
      </c>
      <c r="E32" s="64">
        <f>0.21*'Detalle Inv-AT'!F19</f>
        <v>0</v>
      </c>
      <c r="F32" s="64">
        <f>0.21*'Detalle Inv-AT'!G19</f>
        <v>19.442859423795596</v>
      </c>
      <c r="G32" s="64">
        <f>0.21*'Detalle Inv-AT'!H19</f>
        <v>0</v>
      </c>
    </row>
    <row r="33" spans="1:7" x14ac:dyDescent="0.2">
      <c r="A33" s="110" t="s">
        <v>185</v>
      </c>
      <c r="B33" s="64">
        <f t="shared" si="6"/>
        <v>0</v>
      </c>
      <c r="C33" s="64">
        <f>'Detalle Inv-AT'!C35</f>
        <v>13878.209284322647</v>
      </c>
      <c r="D33" s="64">
        <f>'Detalle Inv-AT'!D35</f>
        <v>-231.87605869812251</v>
      </c>
      <c r="E33" s="64">
        <f>'Detalle Inv-AT'!E35</f>
        <v>-1350.2002499999999</v>
      </c>
      <c r="F33" s="64">
        <f>'Detalle Inv-AT'!F35</f>
        <v>18.541311505763588</v>
      </c>
      <c r="G33" s="64">
        <f>'Detalle Inv-AT'!G35</f>
        <v>0</v>
      </c>
    </row>
    <row r="34" spans="1:7" x14ac:dyDescent="0.2">
      <c r="A34" s="107" t="s">
        <v>186</v>
      </c>
      <c r="B34" s="64">
        <f>SUM(B30:B33)</f>
        <v>76169.10387245992</v>
      </c>
      <c r="C34" s="64">
        <f t="shared" ref="C34:G34" si="7">SUM(C30:C33)</f>
        <v>88135.20729833447</v>
      </c>
      <c r="D34" s="64">
        <f t="shared" si="7"/>
        <v>-242.92790284378671</v>
      </c>
      <c r="E34" s="64">
        <f t="shared" si="7"/>
        <v>-1350.2002499999999</v>
      </c>
      <c r="F34" s="64">
        <f t="shared" si="7"/>
        <v>1159.2479051676389</v>
      </c>
      <c r="G34" s="64">
        <f t="shared" si="7"/>
        <v>0</v>
      </c>
    </row>
    <row r="35" spans="1:7" x14ac:dyDescent="0.2">
      <c r="A35" s="110"/>
      <c r="B35" s="67"/>
      <c r="C35" s="67"/>
      <c r="D35" s="67"/>
      <c r="E35" s="67"/>
      <c r="F35" s="67"/>
      <c r="G35" s="68"/>
    </row>
    <row r="36" spans="1:7" x14ac:dyDescent="0.2">
      <c r="A36" s="111" t="s">
        <v>187</v>
      </c>
      <c r="B36" s="70">
        <f>B25+B34</f>
        <v>792789.12231274531</v>
      </c>
      <c r="C36" s="70">
        <f t="shared" ref="C36:G36" si="8">C25+C34</f>
        <v>1594431.1085475443</v>
      </c>
      <c r="D36" s="70">
        <f t="shared" si="8"/>
        <v>45453.222867603428</v>
      </c>
      <c r="E36" s="70">
        <f t="shared" si="8"/>
        <v>-1365.5383210082127</v>
      </c>
      <c r="F36" s="70">
        <f t="shared" si="8"/>
        <v>7407.3819035220704</v>
      </c>
      <c r="G36" s="70">
        <f>G25+G34</f>
        <v>1.1981743583455682</v>
      </c>
    </row>
  </sheetData>
  <sheetProtection selectLockedCells="1" selectUnlockedCells="1"/>
  <mergeCells count="1">
    <mergeCell ref="H28:L28"/>
  </mergeCells>
  <pageMargins left="0.25972222222222224" right="0.4597222222222222" top="0.6" bottom="1" header="0.51180555555555551" footer="0.51180555555555551"/>
  <pageSetup paperSize="9" firstPageNumber="0" fitToHeight="4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35"/>
  <sheetViews>
    <sheetView workbookViewId="0">
      <selection activeCell="K33" sqref="K33"/>
    </sheetView>
  </sheetViews>
  <sheetFormatPr baseColWidth="10" defaultRowHeight="12.75" x14ac:dyDescent="0.2"/>
  <cols>
    <col min="2" max="2" width="32.140625" bestFit="1" customWidth="1"/>
  </cols>
  <sheetData>
    <row r="3" spans="2:8" x14ac:dyDescent="0.2">
      <c r="B3" t="s">
        <v>624</v>
      </c>
    </row>
    <row r="4" spans="2:8" x14ac:dyDescent="0.2">
      <c r="B4" t="s">
        <v>623</v>
      </c>
      <c r="C4" s="243">
        <v>0.02</v>
      </c>
    </row>
    <row r="6" spans="2:8" x14ac:dyDescent="0.2">
      <c r="B6" t="s">
        <v>626</v>
      </c>
    </row>
    <row r="7" spans="2:8" x14ac:dyDescent="0.2">
      <c r="B7" t="s">
        <v>627</v>
      </c>
      <c r="C7" s="274"/>
      <c r="D7" s="274">
        <f>+D8+D9+D10</f>
        <v>96191.267692490888</v>
      </c>
    </row>
    <row r="8" spans="2:8" x14ac:dyDescent="0.2">
      <c r="B8" t="s">
        <v>628</v>
      </c>
      <c r="C8" s="274">
        <f>'E-Costos'!E12</f>
        <v>184613.90408388944</v>
      </c>
      <c r="D8" s="274">
        <f>C8*6/12</f>
        <v>92306.952041944722</v>
      </c>
    </row>
    <row r="9" spans="2:8" x14ac:dyDescent="0.2">
      <c r="B9" t="s">
        <v>629</v>
      </c>
      <c r="C9" s="274">
        <f>+'E-Costos'!E53</f>
        <v>16837.893903277039</v>
      </c>
      <c r="D9" s="274">
        <f>C9*1/12</f>
        <v>1403.1578252730867</v>
      </c>
      <c r="H9" t="e">
        <f>'Detalle Inv-AT'!B26SO</f>
        <v>#NAME?</v>
      </c>
    </row>
    <row r="10" spans="2:8" x14ac:dyDescent="0.2">
      <c r="B10" t="s">
        <v>630</v>
      </c>
      <c r="C10" s="274">
        <f>+'E-Costos'!E70</f>
        <v>29773.893903277036</v>
      </c>
      <c r="D10" s="274">
        <f>C10*1/12</f>
        <v>2481.1578252730865</v>
      </c>
    </row>
    <row r="11" spans="2:8" x14ac:dyDescent="0.2">
      <c r="B11" t="s">
        <v>631</v>
      </c>
      <c r="C11" s="274"/>
      <c r="D11" s="274">
        <f>D12+D13+D14</f>
        <v>90851.916577071461</v>
      </c>
    </row>
    <row r="12" spans="2:8" x14ac:dyDescent="0.2">
      <c r="B12" t="s">
        <v>628</v>
      </c>
      <c r="C12" s="274">
        <f>AVERAGE('E-Costos'!B12:D12)</f>
        <v>173935.20185305059</v>
      </c>
      <c r="D12" s="274">
        <f>C12*6/12</f>
        <v>86967.600926525294</v>
      </c>
    </row>
    <row r="13" spans="2:8" x14ac:dyDescent="0.2">
      <c r="B13" t="s">
        <v>629</v>
      </c>
      <c r="C13" s="274">
        <f>AVERAGE('E-Costos'!B53:D53)</f>
        <v>16837.893903277039</v>
      </c>
      <c r="D13" s="274">
        <f>C13*1/12</f>
        <v>1403.1578252730867</v>
      </c>
    </row>
    <row r="14" spans="2:8" x14ac:dyDescent="0.2">
      <c r="B14" t="s">
        <v>630</v>
      </c>
      <c r="C14" s="274">
        <f>AVERAGE('E-Costos'!B70:D70)</f>
        <v>29773.893903277039</v>
      </c>
      <c r="D14" s="274">
        <f>C14*1/12</f>
        <v>2481.1578252730865</v>
      </c>
    </row>
    <row r="15" spans="2:8" x14ac:dyDescent="0.2">
      <c r="B15" t="s">
        <v>47</v>
      </c>
      <c r="C15" s="274">
        <v>0.8</v>
      </c>
      <c r="D15" s="274">
        <f>D11*C15</f>
        <v>72681.533261657169</v>
      </c>
    </row>
    <row r="17" spans="2:8" x14ac:dyDescent="0.2">
      <c r="C17" t="s">
        <v>457</v>
      </c>
      <c r="D17" t="s">
        <v>458</v>
      </c>
      <c r="E17" t="s">
        <v>634</v>
      </c>
      <c r="F17" t="s">
        <v>635</v>
      </c>
      <c r="G17" t="s">
        <v>636</v>
      </c>
      <c r="H17" t="s">
        <v>620</v>
      </c>
    </row>
    <row r="18" spans="2:8" x14ac:dyDescent="0.2">
      <c r="B18" t="s">
        <v>633</v>
      </c>
      <c r="C18">
        <v>0</v>
      </c>
      <c r="D18">
        <f>'E-Costos'!B34-'E-Costos'!B33-'E-Costos'!B32-'E-Costos'!B27-'E-Costos'!B25-'E-Costos'!B28</f>
        <v>128647.53954172129</v>
      </c>
      <c r="E18">
        <f>'E-Costos'!C34-'E-Costos'!C33-'E-Costos'!C32-'E-Costos'!C27-'E-Costos'!C25-'E-Costos'!C28</f>
        <v>128594.91171245622</v>
      </c>
      <c r="F18">
        <f>'E-Costos'!D34-'E-Costos'!D33-'E-Costos'!D32-'E-Costos'!D27-'E-Costos'!D25-'E-Costos'!D28</f>
        <v>128594.91171245622</v>
      </c>
      <c r="G18">
        <f>'E-Costos'!E34-'E-Costos'!E33-'E-Costos'!E32-'E-Costos'!E27-'E-Costos'!E25-'E-Costos'!E28</f>
        <v>128687.49675733144</v>
      </c>
      <c r="H18">
        <f>'E-Costos'!F34-'E-Costos'!F33-'E-Costos'!F32-'E-Costos'!F27-'E-Costos'!F25-'E-Costos'!F28</f>
        <v>128687.49675733144</v>
      </c>
    </row>
    <row r="19" spans="2:8" x14ac:dyDescent="0.2">
      <c r="B19" t="s">
        <v>637</v>
      </c>
      <c r="C19">
        <v>0</v>
      </c>
      <c r="D19">
        <f>D18</f>
        <v>128647.53954172129</v>
      </c>
      <c r="E19">
        <f>E18-D18</f>
        <v>-52.627829265067703</v>
      </c>
      <c r="F19">
        <f t="shared" ref="F19:H19" si="0">F18-E18</f>
        <v>0</v>
      </c>
      <c r="G19">
        <f t="shared" si="0"/>
        <v>92.585044875217136</v>
      </c>
      <c r="H19">
        <f t="shared" si="0"/>
        <v>0</v>
      </c>
    </row>
    <row r="21" spans="2:8" x14ac:dyDescent="0.2">
      <c r="B21" t="s">
        <v>638</v>
      </c>
      <c r="C21">
        <f>'E-InvAT'!B10</f>
        <v>290028.48517862818</v>
      </c>
      <c r="D21">
        <f>'E-InvAT'!C10-'E-InvAT'!B10</f>
        <v>206786.8295905398</v>
      </c>
      <c r="E21">
        <f>'E-InvAT'!D10-'E-InvAT'!C10</f>
        <v>0</v>
      </c>
      <c r="F21">
        <f>'E-InvAT'!E10-'E-InvAT'!D10</f>
        <v>0</v>
      </c>
      <c r="G21">
        <f>'E-InvAT'!F10-'E-InvAT'!E10</f>
        <v>0</v>
      </c>
      <c r="H21">
        <f>'E-InvAT'!G10-'E-InvAT'!F10</f>
        <v>0</v>
      </c>
    </row>
    <row r="22" spans="2:8" x14ac:dyDescent="0.2">
      <c r="B22" t="s">
        <v>639</v>
      </c>
      <c r="C22">
        <f>'E-InvAT'!B11</f>
        <v>72681.533261657169</v>
      </c>
      <c r="D22">
        <f>'E-InvAT'!C11-'E-InvAT'!B11</f>
        <v>18170.383315414292</v>
      </c>
      <c r="E22">
        <f>'E-InvAT'!D11-'E-InvAT'!C11</f>
        <v>0</v>
      </c>
      <c r="F22">
        <f>'E-InvAT'!E11-'E-InvAT'!D11</f>
        <v>0</v>
      </c>
      <c r="G22">
        <f>'E-InvAT'!F11-'E-InvAT'!E11</f>
        <v>5339.3511154194275</v>
      </c>
      <c r="H22">
        <f>'E-InvAT'!G11-'E-InvAT'!F11</f>
        <v>0</v>
      </c>
    </row>
    <row r="29" spans="2:8" x14ac:dyDescent="0.2">
      <c r="B29" t="s">
        <v>640</v>
      </c>
      <c r="C29" t="s">
        <v>644</v>
      </c>
      <c r="D29" t="s">
        <v>634</v>
      </c>
      <c r="E29" t="s">
        <v>635</v>
      </c>
      <c r="F29" t="s">
        <v>636</v>
      </c>
      <c r="G29" t="s">
        <v>620</v>
      </c>
    </row>
    <row r="30" spans="2:8" x14ac:dyDescent="0.2">
      <c r="B30" t="s">
        <v>93</v>
      </c>
      <c r="C30" s="244">
        <f>(('E-Costos'!B7-'E-Costos'!B24-'E-Costos'!G24)/'Detalle Costo'!J20)*'Detalle Costo'!J19*0.21</f>
        <v>12106.403831744516</v>
      </c>
      <c r="D30" s="244">
        <f>('E-Costos'!C7-'E-Costos'!C24)*'Detalle Costo'!$K$19/'Detalle Costo'!$K$20*0.21</f>
        <v>11855.137421587224</v>
      </c>
      <c r="E30" s="244">
        <f>('E-Costos'!D7-'E-Costos'!D24)*'Detalle Costo'!$K$19/'Detalle Costo'!$K$20*0.21</f>
        <v>11855.137421587224</v>
      </c>
      <c r="F30" s="244">
        <f>('E-Costos'!E7-'E-Costos'!E24)*'Detalle Costo'!$K$19/'Detalle Costo'!$K$20*0.21</f>
        <v>11855.137421587224</v>
      </c>
      <c r="G30" s="244">
        <f>('E-Costos'!F7-'E-Costos'!F24)*'Detalle Costo'!$K$19/'Detalle Costo'!$K$20*0.21</f>
        <v>11855.137421587224</v>
      </c>
    </row>
    <row r="31" spans="2:8" x14ac:dyDescent="0.2">
      <c r="B31" t="s">
        <v>641</v>
      </c>
      <c r="C31" s="244">
        <f>(('E-Costos'!B12-'E-Costos'!B29-'E-Costos'!G29)/'Detalle Costo'!J20)*'Detalle Costo'!J19*0.21</f>
        <v>368.95345847616784</v>
      </c>
      <c r="D31" s="244">
        <f>('E-Costos'!C12-'E-Costos'!C29)*'Detalle Costo'!$K$19/'Detalle Costo'!$K$20*0.21</f>
        <v>365.12467445760825</v>
      </c>
      <c r="E31" s="244">
        <f>('E-Costos'!D12-'E-Costos'!D29)*'Detalle Costo'!$K$19/'Detalle Costo'!$K$20*0.21</f>
        <v>365.12467445760825</v>
      </c>
      <c r="F31" s="244">
        <f>('E-Costos'!E12-'E-Costos'!E29)*'Detalle Costo'!$K$19/'Detalle Costo'!$K$20*0.21</f>
        <v>383.66598596337019</v>
      </c>
      <c r="G31" s="244">
        <f>('E-Costos'!F12-'E-Costos'!F29)*'Detalle Costo'!$K$19/'Detalle Costo'!$K$20*0.21</f>
        <v>383.66598596337019</v>
      </c>
    </row>
    <row r="32" spans="2:8" x14ac:dyDescent="0.2">
      <c r="B32" t="s">
        <v>642</v>
      </c>
      <c r="C32" s="244">
        <f>(('Detalle Costo'!M61-'E-Costos'!B30-'E-Costos'!G30)/'Detalle Costo'!J20)*'Detalle Costo'!J19*0.21</f>
        <v>1312.0269941019628</v>
      </c>
      <c r="D32" s="244">
        <f>('Detalle Costo'!M56-'E-Costos'!C30)*'Detalle Costo'!$K$19/'Detalle Costo'!$K$20*0.21</f>
        <v>1336.188658509825</v>
      </c>
      <c r="E32" s="244">
        <f>('Detalle Costo'!N56-'E-Costos'!D30)*'Detalle Costo'!$K$19/'Detalle Costo'!$K$20*0.21</f>
        <v>-14.011591490174672</v>
      </c>
      <c r="F32" s="244">
        <f>('Detalle Costo'!O56-'E-Costos'!E30)*'Detalle Costo'!$K$19/'Detalle Costo'!$K$20*0.21</f>
        <v>-14.011591490174672</v>
      </c>
      <c r="G32" s="244">
        <f>('Detalle Costo'!P56-'E-Costos'!F30)*'Detalle Costo'!$K$19/'Detalle Costo'!$K$20*0.21</f>
        <v>-14.011591490174672</v>
      </c>
    </row>
    <row r="33" spans="2:7" x14ac:dyDescent="0.2">
      <c r="B33" t="s">
        <v>643</v>
      </c>
      <c r="C33" s="244">
        <f>(('E-Costos'!B13-'E-Costos'!B31-'E-Costos'!G31)/'Detalle Costo'!J20)*'Detalle Costo'!J19*0.21</f>
        <v>90.825000000000003</v>
      </c>
      <c r="D33" s="244">
        <f>('E-Costos'!C13-'E-Costos'!C31)*'Detalle Costo'!$K$19/'Detalle Costo'!$K$20*0.21</f>
        <v>89.882471069868984</v>
      </c>
      <c r="E33" s="244">
        <f>('E-Costos'!D13-'E-Costos'!D31)*'Detalle Costo'!$K$19/'Detalle Costo'!$K$20*0.21</f>
        <v>89.882471069868984</v>
      </c>
      <c r="F33" s="244">
        <f>('E-Costos'!E13-'E-Costos'!E31)*'Detalle Costo'!$K$19/'Detalle Costo'!$K$20*0.21</f>
        <v>89.882471069868984</v>
      </c>
      <c r="G33" s="244">
        <f>('E-Costos'!F13-'E-Costos'!F31)*'Detalle Costo'!$K$19/'Detalle Costo'!$K$20*0.21</f>
        <v>89.882471069868984</v>
      </c>
    </row>
    <row r="34" spans="2:7" x14ac:dyDescent="0.2">
      <c r="B34" t="s">
        <v>384</v>
      </c>
      <c r="C34" s="244">
        <f>SUM(C30:C33)</f>
        <v>13878.209284322647</v>
      </c>
      <c r="D34" s="244">
        <f t="shared" ref="D34:G34" si="1">SUM(D30:D33)</f>
        <v>13646.333225624525</v>
      </c>
      <c r="E34" s="244">
        <f t="shared" si="1"/>
        <v>12296.132975624525</v>
      </c>
      <c r="F34" s="244">
        <f t="shared" si="1"/>
        <v>12314.674287130289</v>
      </c>
      <c r="G34" s="244">
        <f t="shared" si="1"/>
        <v>12314.674287130289</v>
      </c>
    </row>
    <row r="35" spans="2:7" x14ac:dyDescent="0.2">
      <c r="B35" t="s">
        <v>645</v>
      </c>
      <c r="C35" s="244">
        <f>C34</f>
        <v>13878.209284322647</v>
      </c>
      <c r="D35" s="244">
        <f>D34-C34</f>
        <v>-231.87605869812251</v>
      </c>
      <c r="E35" s="244">
        <f t="shared" ref="E35:G35" si="2">E34-D34</f>
        <v>-1350.2002499999999</v>
      </c>
      <c r="F35" s="244">
        <f t="shared" si="2"/>
        <v>18.541311505763588</v>
      </c>
      <c r="G35" s="244">
        <f t="shared" si="2"/>
        <v>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workbookViewId="0">
      <selection activeCell="D23" sqref="D23"/>
    </sheetView>
  </sheetViews>
  <sheetFormatPr baseColWidth="10" defaultRowHeight="12.75" x14ac:dyDescent="0.2"/>
  <cols>
    <col min="1" max="1" width="28.140625" style="16" customWidth="1"/>
    <col min="2" max="2" width="14" style="16" customWidth="1"/>
    <col min="3" max="3" width="14.85546875" style="16" bestFit="1" customWidth="1"/>
    <col min="4" max="8" width="14" style="16" customWidth="1"/>
    <col min="9" max="9" width="15.7109375" style="16" customWidth="1"/>
    <col min="10" max="10" width="17.42578125" style="16" customWidth="1"/>
    <col min="11" max="16384" width="11.42578125" style="16"/>
  </cols>
  <sheetData>
    <row r="1" spans="1:9" x14ac:dyDescent="0.2">
      <c r="A1" s="1" t="s">
        <v>0</v>
      </c>
      <c r="B1"/>
      <c r="C1"/>
      <c r="D1"/>
      <c r="G1" s="2">
        <f>InfoInicial!E1</f>
        <v>4</v>
      </c>
    </row>
    <row r="3" spans="1:9" ht="15.75" x14ac:dyDescent="0.25">
      <c r="A3" s="56" t="s">
        <v>188</v>
      </c>
      <c r="B3" s="57"/>
      <c r="C3" s="57"/>
      <c r="D3" s="57"/>
      <c r="E3" s="57"/>
      <c r="F3" s="57"/>
      <c r="G3" s="57"/>
      <c r="H3" s="57"/>
      <c r="I3" s="58"/>
    </row>
    <row r="4" spans="1:9" ht="25.5" x14ac:dyDescent="0.2">
      <c r="A4" s="59" t="s">
        <v>88</v>
      </c>
      <c r="B4" s="112" t="s">
        <v>189</v>
      </c>
      <c r="C4" s="112" t="s">
        <v>190</v>
      </c>
      <c r="D4" s="21" t="s">
        <v>48</v>
      </c>
      <c r="E4" s="21" t="s">
        <v>89</v>
      </c>
      <c r="F4" s="21" t="s">
        <v>90</v>
      </c>
      <c r="G4" s="21" t="s">
        <v>91</v>
      </c>
      <c r="H4" s="113" t="s">
        <v>92</v>
      </c>
      <c r="I4" s="22" t="s">
        <v>191</v>
      </c>
    </row>
    <row r="5" spans="1:9" x14ac:dyDescent="0.2">
      <c r="A5" s="107" t="s">
        <v>192</v>
      </c>
      <c r="B5" s="108"/>
      <c r="C5" s="108"/>
      <c r="D5" s="108"/>
      <c r="E5" s="108"/>
      <c r="F5" s="108"/>
      <c r="G5" s="108"/>
      <c r="H5" s="114"/>
      <c r="I5" s="109"/>
    </row>
    <row r="6" spans="1:9" x14ac:dyDescent="0.2">
      <c r="A6" s="115" t="s">
        <v>193</v>
      </c>
      <c r="B6" s="64">
        <v>0</v>
      </c>
      <c r="C6" s="64">
        <f>+'E-Inv AF y Am'!B20</f>
        <v>7685590</v>
      </c>
      <c r="D6" s="64">
        <v>0</v>
      </c>
      <c r="E6" s="64">
        <v>0</v>
      </c>
      <c r="F6" s="64">
        <v>0</v>
      </c>
      <c r="G6" s="64">
        <v>0</v>
      </c>
      <c r="H6" s="116">
        <v>0</v>
      </c>
      <c r="I6" s="65">
        <f>SUM(B6:H6)</f>
        <v>7685590</v>
      </c>
    </row>
    <row r="7" spans="1:9" x14ac:dyDescent="0.2">
      <c r="A7" s="115" t="s">
        <v>194</v>
      </c>
      <c r="B7" s="64">
        <f>'E-Inv AF y Am'!B23*1.1</f>
        <v>47289.000000000007</v>
      </c>
      <c r="C7" s="64">
        <f>'E-Inv AF y Am'!B31-'E-Inv AF y Am'!B23*1.1</f>
        <v>421677.46295652178</v>
      </c>
      <c r="D7" s="64">
        <f>+'E-Inv AF y Am'!C31</f>
        <v>6590.6295652173931</v>
      </c>
      <c r="E7" s="64">
        <v>0</v>
      </c>
      <c r="F7" s="64">
        <v>0</v>
      </c>
      <c r="G7" s="64">
        <v>0</v>
      </c>
      <c r="H7" s="116">
        <v>0</v>
      </c>
      <c r="I7" s="65">
        <f>SUM(B7:H7)</f>
        <v>475557.09252173919</v>
      </c>
    </row>
    <row r="8" spans="1:9" x14ac:dyDescent="0.2">
      <c r="A8" s="107" t="s">
        <v>195</v>
      </c>
      <c r="B8" s="64">
        <f>B6+B7</f>
        <v>47289.000000000007</v>
      </c>
      <c r="C8" s="64">
        <f t="shared" ref="C8:I8" si="0">C6+C7</f>
        <v>8107267.4629565217</v>
      </c>
      <c r="D8" s="64">
        <f t="shared" si="0"/>
        <v>6590.6295652173931</v>
      </c>
      <c r="E8" s="64">
        <f t="shared" si="0"/>
        <v>0</v>
      </c>
      <c r="F8" s="64">
        <f t="shared" si="0"/>
        <v>0</v>
      </c>
      <c r="G8" s="64">
        <f t="shared" si="0"/>
        <v>0</v>
      </c>
      <c r="H8" s="64">
        <f t="shared" si="0"/>
        <v>0</v>
      </c>
      <c r="I8" s="65">
        <f t="shared" si="0"/>
        <v>8161147.0925217392</v>
      </c>
    </row>
    <row r="9" spans="1:9" x14ac:dyDescent="0.2">
      <c r="A9" s="115"/>
      <c r="B9" s="88"/>
      <c r="C9" s="88"/>
      <c r="D9" s="88"/>
      <c r="E9" s="88"/>
      <c r="F9" s="88"/>
      <c r="G9" s="88"/>
      <c r="H9" s="117"/>
      <c r="I9" s="89"/>
    </row>
    <row r="10" spans="1:9" x14ac:dyDescent="0.2">
      <c r="A10" s="107" t="s">
        <v>196</v>
      </c>
      <c r="B10" s="64"/>
      <c r="C10" s="64"/>
      <c r="D10" s="64"/>
      <c r="E10" s="64"/>
      <c r="F10" s="64"/>
      <c r="G10" s="64"/>
      <c r="H10" s="116"/>
      <c r="I10" s="65"/>
    </row>
    <row r="11" spans="1:9" x14ac:dyDescent="0.2">
      <c r="A11" s="115" t="s">
        <v>197</v>
      </c>
      <c r="B11" s="64">
        <v>0</v>
      </c>
      <c r="C11" s="64">
        <f>'E-InvAT'!B6</f>
        <v>353910</v>
      </c>
      <c r="D11" s="64">
        <f>'E-InvAT'!C6-'E-InvAT'!B6</f>
        <v>16090</v>
      </c>
      <c r="E11" s="64">
        <f>'E-InvAT'!D6-'E-InvAT'!C6</f>
        <v>0</v>
      </c>
      <c r="F11" s="64">
        <f>'E-InvAT'!E6-'E-InvAT'!D6</f>
        <v>0</v>
      </c>
      <c r="G11" s="64">
        <f>'E-InvAT'!F6-'E-InvAT'!E6</f>
        <v>0</v>
      </c>
      <c r="H11" s="64">
        <f>'E-InvAT'!G6-'E-InvAT'!F6</f>
        <v>0</v>
      </c>
      <c r="I11" s="65">
        <f>SUM(B11:H11)</f>
        <v>370000</v>
      </c>
    </row>
    <row r="12" spans="1:9" x14ac:dyDescent="0.2">
      <c r="A12" s="115" t="s">
        <v>198</v>
      </c>
      <c r="B12" s="64">
        <v>0</v>
      </c>
      <c r="C12" s="16">
        <v>0</v>
      </c>
      <c r="D12" s="64">
        <f>'E-InvAT'!C7-'E-InvAT'!B7</f>
        <v>1454424.6575342466</v>
      </c>
      <c r="E12" s="64">
        <f>'E-InvAT'!D7-'E-InvAT'!C7</f>
        <v>66123.287671232829</v>
      </c>
      <c r="F12" s="64">
        <f>'E-InvAT'!E7-'E-InvAT'!D7</f>
        <v>0</v>
      </c>
      <c r="G12" s="64">
        <f>'E-InvAT'!F7-'E-InvAT'!E7</f>
        <v>0</v>
      </c>
      <c r="H12" s="64">
        <f>'E-InvAT'!G7-'E-InvAT'!F7</f>
        <v>0</v>
      </c>
      <c r="I12" s="65">
        <f>SUM(B12:H12)</f>
        <v>1520547.9452054794</v>
      </c>
    </row>
    <row r="13" spans="1:9" x14ac:dyDescent="0.2">
      <c r="A13" s="115" t="s">
        <v>199</v>
      </c>
      <c r="B13" s="64"/>
      <c r="C13" s="64"/>
      <c r="D13" s="64"/>
      <c r="E13" s="64"/>
      <c r="F13" s="64"/>
      <c r="G13" s="64"/>
      <c r="H13" s="116"/>
      <c r="I13" s="65"/>
    </row>
    <row r="14" spans="1:9" x14ac:dyDescent="0.2">
      <c r="A14" s="115" t="s">
        <v>200</v>
      </c>
      <c r="B14" s="64">
        <v>0</v>
      </c>
      <c r="C14" s="64">
        <f>'E-InvAT'!B10</f>
        <v>290028.48517862818</v>
      </c>
      <c r="D14" s="64">
        <f>'E-InvAT'!C10-'E-InvAT'!B10</f>
        <v>206786.8295905398</v>
      </c>
      <c r="E14" s="64">
        <f>'E-InvAT'!D10-'E-InvAT'!C10</f>
        <v>0</v>
      </c>
      <c r="F14" s="64">
        <f>'E-InvAT'!E10-'E-InvAT'!D10</f>
        <v>0</v>
      </c>
      <c r="G14" s="64">
        <f>'E-InvAT'!F10-'E-InvAT'!E10</f>
        <v>0</v>
      </c>
      <c r="H14" s="64">
        <f>'E-InvAT'!G10-'E-InvAT'!F10</f>
        <v>0</v>
      </c>
      <c r="I14" s="65">
        <f>SUM(B14:H14)</f>
        <v>496815.31476916798</v>
      </c>
    </row>
    <row r="15" spans="1:9" x14ac:dyDescent="0.2">
      <c r="A15" s="115" t="s">
        <v>201</v>
      </c>
      <c r="B15" s="64">
        <v>0</v>
      </c>
      <c r="C15" s="64">
        <f>'E-InvAT'!B11</f>
        <v>72681.533261657169</v>
      </c>
      <c r="D15" s="64">
        <f>'E-InvAT'!C11-'E-InvAT'!B11</f>
        <v>18170.383315414292</v>
      </c>
      <c r="E15" s="64">
        <f>'E-InvAT'!D11-'E-InvAT'!C11</f>
        <v>0</v>
      </c>
      <c r="F15" s="64">
        <f>'E-InvAT'!E11-'E-InvAT'!D11</f>
        <v>0</v>
      </c>
      <c r="G15" s="64">
        <f>'E-InvAT'!F11-'E-InvAT'!E11</f>
        <v>5339.3511154194275</v>
      </c>
      <c r="H15" s="64">
        <f>'E-InvAT'!G11-'E-InvAT'!F11</f>
        <v>0</v>
      </c>
      <c r="I15" s="65">
        <f>SUM(B15:H15)</f>
        <v>96191.267692490888</v>
      </c>
    </row>
    <row r="16" spans="1:9" x14ac:dyDescent="0.2">
      <c r="A16" s="115" t="s">
        <v>202</v>
      </c>
      <c r="B16" s="64">
        <v>0</v>
      </c>
      <c r="C16" s="64">
        <v>0</v>
      </c>
      <c r="D16" s="64">
        <f>'E-InvAT'!C12</f>
        <v>154408.75526670308</v>
      </c>
      <c r="E16" s="64">
        <f>'E-InvAT'!D12-'E-InvAT'!C12</f>
        <v>-268.6818952136382</v>
      </c>
      <c r="F16" s="64">
        <f>'E-InvAT'!E12-'E-InvAT'!D12</f>
        <v>0</v>
      </c>
      <c r="G16" s="64">
        <f>'E-InvAT'!F12-'E-InvAT'!E12</f>
        <v>6.2286983616650105</v>
      </c>
      <c r="H16" s="64">
        <f>'E-InvAT'!G12-'E-InvAT'!F12</f>
        <v>0</v>
      </c>
      <c r="I16" s="65">
        <f>SUM(B16:H16)</f>
        <v>154146.30206985111</v>
      </c>
    </row>
    <row r="17" spans="1:9" x14ac:dyDescent="0.2">
      <c r="A17" s="115" t="s">
        <v>203</v>
      </c>
      <c r="B17" s="64">
        <v>0</v>
      </c>
      <c r="C17" s="64">
        <v>0</v>
      </c>
      <c r="D17" s="64">
        <f>'E-InvAT'!C13</f>
        <v>104376.41936985924</v>
      </c>
      <c r="E17" s="64">
        <f>'E-InvAT'!D13-'E-InvAT'!C13</f>
        <v>259.20985160769487</v>
      </c>
      <c r="F17" s="64">
        <f>'E-InvAT'!E13-'E-InvAT'!D13</f>
        <v>-3.3800182417908218</v>
      </c>
      <c r="G17" s="64">
        <f>'E-InvAT'!F13-'E-InvAT'!E13</f>
        <v>7.4723680542228976</v>
      </c>
      <c r="H17" s="64">
        <f>'E-InvAT'!G13-'E-InvAT'!F13</f>
        <v>7.8357025384320877E-2</v>
      </c>
      <c r="I17" s="65">
        <f>SUM(B17:H17)</f>
        <v>104639.79992830475</v>
      </c>
    </row>
    <row r="18" spans="1:9" x14ac:dyDescent="0.2">
      <c r="A18" s="107" t="s">
        <v>204</v>
      </c>
      <c r="B18" s="64">
        <f>SUM(B11:B17)</f>
        <v>0</v>
      </c>
      <c r="C18" s="64">
        <f t="shared" ref="C18:I18" si="1">SUM(C11:C17)</f>
        <v>716620.01844028546</v>
      </c>
      <c r="D18" s="64">
        <f t="shared" si="1"/>
        <v>1954257.0450767628</v>
      </c>
      <c r="E18" s="64">
        <f t="shared" si="1"/>
        <v>66113.815627626886</v>
      </c>
      <c r="F18" s="64">
        <f t="shared" si="1"/>
        <v>-3.3800182417908218</v>
      </c>
      <c r="G18" s="64">
        <f t="shared" si="1"/>
        <v>5353.0521818353154</v>
      </c>
      <c r="H18" s="64">
        <f t="shared" si="1"/>
        <v>7.8357025384320877E-2</v>
      </c>
      <c r="I18" s="65">
        <f>SUM(I11:I17)</f>
        <v>2742340.6296652942</v>
      </c>
    </row>
    <row r="19" spans="1:9" x14ac:dyDescent="0.2">
      <c r="A19" s="115"/>
      <c r="B19" s="88"/>
      <c r="C19" s="88"/>
      <c r="D19" s="88"/>
      <c r="E19" s="88"/>
      <c r="F19" s="88"/>
      <c r="G19" s="88"/>
      <c r="H19" s="117"/>
      <c r="I19" s="89"/>
    </row>
    <row r="20" spans="1:9" x14ac:dyDescent="0.2">
      <c r="A20" s="107" t="s">
        <v>205</v>
      </c>
      <c r="B20" s="88"/>
      <c r="C20" s="88"/>
      <c r="D20" s="88"/>
      <c r="E20" s="88"/>
      <c r="F20" s="88"/>
      <c r="G20" s="88"/>
      <c r="H20" s="117"/>
      <c r="I20" s="89"/>
    </row>
    <row r="21" spans="1:9" x14ac:dyDescent="0.2">
      <c r="A21" s="115" t="s">
        <v>206</v>
      </c>
      <c r="B21" s="288">
        <f>'E-Inv AF y Am'!B23*0.1*0.21</f>
        <v>902.79</v>
      </c>
      <c r="C21" s="64">
        <f>+'E-Inv AF y Am'!B34</f>
        <v>1712456.8572208695</v>
      </c>
      <c r="D21" s="64">
        <f>+'E-Inv AF y Am'!C34</f>
        <v>1384.0322086956526</v>
      </c>
      <c r="E21" s="64">
        <v>0</v>
      </c>
      <c r="F21" s="64">
        <v>0</v>
      </c>
      <c r="G21" s="64">
        <v>0</v>
      </c>
      <c r="H21" s="116">
        <v>0</v>
      </c>
      <c r="I21" s="65">
        <f>SUM(B21:H21)</f>
        <v>1714743.6794295651</v>
      </c>
    </row>
    <row r="22" spans="1:9" x14ac:dyDescent="0.2">
      <c r="A22" s="115" t="s">
        <v>207</v>
      </c>
      <c r="B22" s="64">
        <v>0</v>
      </c>
      <c r="C22" s="64">
        <f>'E-InvAT'!B34</f>
        <v>76169.10387245992</v>
      </c>
      <c r="D22" s="64">
        <f>'E-InvAT'!C34</f>
        <v>88135.20729833447</v>
      </c>
      <c r="E22" s="64">
        <f>'E-InvAT'!D34</f>
        <v>-242.92790284378671</v>
      </c>
      <c r="F22" s="64">
        <f>'E-InvAT'!E34</f>
        <v>-1350.2002499999999</v>
      </c>
      <c r="G22" s="64">
        <f>'E-InvAT'!F34</f>
        <v>1159.2479051676389</v>
      </c>
      <c r="H22" s="64">
        <f>'E-InvAT'!G34</f>
        <v>0</v>
      </c>
      <c r="I22" s="65">
        <f>SUM(B22:H22)</f>
        <v>163870.43092311826</v>
      </c>
    </row>
    <row r="23" spans="1:9" x14ac:dyDescent="0.2">
      <c r="A23" s="107" t="s">
        <v>208</v>
      </c>
      <c r="B23" s="64">
        <f>B21+B22</f>
        <v>902.79</v>
      </c>
      <c r="C23" s="64">
        <f t="shared" ref="C23:I23" si="2">C21+C22</f>
        <v>1788625.9610933294</v>
      </c>
      <c r="D23" s="64">
        <f t="shared" si="2"/>
        <v>89519.239507030128</v>
      </c>
      <c r="E23" s="64">
        <f t="shared" si="2"/>
        <v>-242.92790284378671</v>
      </c>
      <c r="F23" s="64">
        <f t="shared" si="2"/>
        <v>-1350.2002499999999</v>
      </c>
      <c r="G23" s="64">
        <f t="shared" si="2"/>
        <v>1159.2479051676389</v>
      </c>
      <c r="H23" s="64">
        <f t="shared" si="2"/>
        <v>0</v>
      </c>
      <c r="I23" s="65">
        <f t="shared" si="2"/>
        <v>1878614.1103526833</v>
      </c>
    </row>
    <row r="24" spans="1:9" x14ac:dyDescent="0.2">
      <c r="A24" s="107"/>
      <c r="B24" s="88"/>
      <c r="C24" s="88"/>
      <c r="D24" s="88"/>
      <c r="E24" s="88"/>
      <c r="F24" s="88"/>
      <c r="G24" s="88"/>
      <c r="H24" s="117"/>
      <c r="I24" s="89"/>
    </row>
    <row r="25" spans="1:9" x14ac:dyDescent="0.2">
      <c r="A25" s="111" t="s">
        <v>209</v>
      </c>
      <c r="B25" s="70">
        <f>B8+B18+B23</f>
        <v>48191.790000000008</v>
      </c>
      <c r="C25" s="70">
        <f t="shared" ref="C25:I25" si="3">C8+C18+C23</f>
        <v>10612513.442490136</v>
      </c>
      <c r="D25" s="70">
        <f t="shared" si="3"/>
        <v>2050366.9141490103</v>
      </c>
      <c r="E25" s="70">
        <f t="shared" si="3"/>
        <v>65870.887724783097</v>
      </c>
      <c r="F25" s="70">
        <f t="shared" si="3"/>
        <v>-1353.5802682417907</v>
      </c>
      <c r="G25" s="70">
        <f t="shared" si="3"/>
        <v>6512.3000870029546</v>
      </c>
      <c r="H25" s="70">
        <f t="shared" si="3"/>
        <v>7.8357025384320877E-2</v>
      </c>
      <c r="I25" s="65">
        <f t="shared" si="3"/>
        <v>12782101.832539717</v>
      </c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workbookViewId="0">
      <selection activeCell="D36" sqref="D36"/>
    </sheetView>
  </sheetViews>
  <sheetFormatPr baseColWidth="10" defaultRowHeight="12.75" x14ac:dyDescent="0.2"/>
  <cols>
    <col min="1" max="1" width="28.140625" style="16" customWidth="1"/>
    <col min="2" max="7" width="14" style="16" customWidth="1"/>
    <col min="8" max="8" width="17.42578125" style="16" customWidth="1"/>
    <col min="9" max="16384" width="11.42578125" style="16"/>
  </cols>
  <sheetData>
    <row r="1" spans="1:7" x14ac:dyDescent="0.2">
      <c r="A1" s="1" t="s">
        <v>0</v>
      </c>
      <c r="B1"/>
      <c r="C1"/>
      <c r="D1"/>
      <c r="G1" s="2">
        <f>InfoInicial!E1</f>
        <v>4</v>
      </c>
    </row>
    <row r="2" spans="1:7" ht="15.75" x14ac:dyDescent="0.25">
      <c r="A2" s="119" t="s">
        <v>210</v>
      </c>
      <c r="B2" s="57"/>
      <c r="C2" s="57"/>
      <c r="D2" s="57"/>
      <c r="E2" s="57"/>
      <c r="F2" s="57"/>
      <c r="G2" s="58"/>
    </row>
    <row r="3" spans="1:7" ht="15.75" x14ac:dyDescent="0.25">
      <c r="A3" s="120"/>
      <c r="B3" s="121" t="s">
        <v>211</v>
      </c>
      <c r="C3" s="121"/>
      <c r="D3" s="121"/>
      <c r="E3" s="121"/>
      <c r="F3" s="121"/>
      <c r="G3" s="122"/>
    </row>
    <row r="4" spans="1:7" x14ac:dyDescent="0.2">
      <c r="A4" s="123" t="s">
        <v>88</v>
      </c>
      <c r="B4" s="112" t="s">
        <v>47</v>
      </c>
      <c r="C4" s="21" t="s">
        <v>48</v>
      </c>
      <c r="D4" s="21" t="s">
        <v>89</v>
      </c>
      <c r="E4" s="21" t="s">
        <v>90</v>
      </c>
      <c r="F4" s="21" t="s">
        <v>91</v>
      </c>
      <c r="G4" s="22" t="s">
        <v>92</v>
      </c>
    </row>
    <row r="5" spans="1:7" x14ac:dyDescent="0.2">
      <c r="A5" s="124" t="s">
        <v>212</v>
      </c>
      <c r="B5" s="125"/>
      <c r="C5" s="108"/>
      <c r="D5" s="108"/>
      <c r="E5" s="108"/>
      <c r="F5" s="108"/>
      <c r="G5" s="109"/>
    </row>
    <row r="6" spans="1:7" x14ac:dyDescent="0.2">
      <c r="A6" s="126" t="s">
        <v>213</v>
      </c>
      <c r="B6" s="127"/>
      <c r="C6" s="64">
        <f>'E-Costos'!B7*0.21</f>
        <v>1199799.1183984748</v>
      </c>
      <c r="D6" s="64">
        <f>'E-Costos'!C7*0.21</f>
        <v>1210640.383174452</v>
      </c>
      <c r="E6" s="64">
        <f>'E-Costos'!D7*0.21</f>
        <v>1210640.383174452</v>
      </c>
      <c r="F6" s="64">
        <f>'E-Costos'!E7*0.21</f>
        <v>1210640.383174452</v>
      </c>
      <c r="G6" s="65">
        <f>'E-Costos'!F7*0.21</f>
        <v>1210640.383174452</v>
      </c>
    </row>
    <row r="7" spans="1:7" x14ac:dyDescent="0.2">
      <c r="A7" s="126" t="s">
        <v>98</v>
      </c>
      <c r="B7" s="127"/>
      <c r="C7" s="64">
        <f>'E-Costos'!B12*0.21</f>
        <v>35788.48547218828</v>
      </c>
      <c r="D7" s="64">
        <f>'E-Costos'!C12*0.21</f>
        <v>36895.345847616787</v>
      </c>
      <c r="E7" s="64">
        <f>'E-Costos'!D12*0.21</f>
        <v>36895.345847616787</v>
      </c>
      <c r="F7" s="64">
        <f>'E-Costos'!E12*0.21</f>
        <v>38768.919857616784</v>
      </c>
      <c r="G7" s="65">
        <f>'E-Costos'!F12*0.21</f>
        <v>38768.919857616784</v>
      </c>
    </row>
    <row r="8" spans="1:7" x14ac:dyDescent="0.2">
      <c r="A8" s="126" t="s">
        <v>214</v>
      </c>
      <c r="B8" s="127"/>
      <c r="C8" s="64">
        <f>'Detalle Costo'!M61*0.21</f>
        <v>130969.42424999998</v>
      </c>
      <c r="D8" s="64">
        <f>+'Detalle Costo'!$M$56*0.21</f>
        <v>135020.02499999999</v>
      </c>
      <c r="E8" s="64">
        <f>+'Detalle Costo'!$M$56*0.21</f>
        <v>135020.02499999999</v>
      </c>
      <c r="F8" s="64">
        <f>+'Detalle Costo'!$M$56*0.21</f>
        <v>135020.02499999999</v>
      </c>
      <c r="G8" s="65">
        <f>+'Detalle Costo'!$M$56*0.21</f>
        <v>135020.02499999999</v>
      </c>
    </row>
    <row r="9" spans="1:7" x14ac:dyDescent="0.2">
      <c r="A9" s="126" t="s">
        <v>99</v>
      </c>
      <c r="B9" s="127"/>
      <c r="C9" s="64">
        <f>+'E-Costos'!B13*0.21</f>
        <v>8810.0249999999996</v>
      </c>
      <c r="D9" s="64">
        <f>'E-Costos'!C13*0.21</f>
        <v>9082.5</v>
      </c>
      <c r="E9" s="64">
        <f>'E-Costos'!D13*0.21</f>
        <v>9082.5</v>
      </c>
      <c r="F9" s="64">
        <f>'E-Costos'!E13*0.21</f>
        <v>9082.5</v>
      </c>
      <c r="G9" s="65">
        <f>'E-Costos'!F13*0.21</f>
        <v>9082.5</v>
      </c>
    </row>
    <row r="10" spans="1:7" x14ac:dyDescent="0.2">
      <c r="A10" s="126" t="s">
        <v>215</v>
      </c>
      <c r="B10" s="127"/>
      <c r="C10" s="64">
        <v>0</v>
      </c>
      <c r="D10" s="64">
        <v>0</v>
      </c>
      <c r="E10" s="64">
        <v>0</v>
      </c>
      <c r="F10" s="64">
        <v>0</v>
      </c>
      <c r="G10" s="65">
        <v>0</v>
      </c>
    </row>
    <row r="11" spans="1:7" x14ac:dyDescent="0.2">
      <c r="A11" s="126" t="s">
        <v>123</v>
      </c>
      <c r="B11" s="127"/>
      <c r="C11" s="64">
        <v>0</v>
      </c>
      <c r="D11" s="64">
        <v>0</v>
      </c>
      <c r="E11" s="64">
        <v>0</v>
      </c>
      <c r="F11" s="64">
        <v>0</v>
      </c>
      <c r="G11" s="65">
        <v>0</v>
      </c>
    </row>
    <row r="12" spans="1:7" x14ac:dyDescent="0.2">
      <c r="A12" s="128" t="s">
        <v>83</v>
      </c>
      <c r="B12" s="127"/>
      <c r="C12" s="96">
        <f>SUM(C6:C11)</f>
        <v>1375367.0531206629</v>
      </c>
      <c r="D12" s="96">
        <f t="shared" ref="D12:G12" si="0">SUM(D6:D11)</f>
        <v>1391638.2540220688</v>
      </c>
      <c r="E12" s="96">
        <f t="shared" si="0"/>
        <v>1391638.2540220688</v>
      </c>
      <c r="F12" s="96">
        <f t="shared" si="0"/>
        <v>1393511.8280320687</v>
      </c>
      <c r="G12" s="96">
        <f t="shared" si="0"/>
        <v>1393511.8280320687</v>
      </c>
    </row>
    <row r="13" spans="1:7" x14ac:dyDescent="0.2">
      <c r="A13" s="126" t="s">
        <v>216</v>
      </c>
      <c r="B13" s="127"/>
      <c r="C13" s="64">
        <f>('E-Costos'!G24+'E-Costos'!G29+'E-Costos'!G30+'E-Costos'!G31)*0.21</f>
        <v>20863.051810509871</v>
      </c>
      <c r="D13" s="64"/>
      <c r="E13" s="64"/>
      <c r="F13" s="64"/>
      <c r="G13" s="65"/>
    </row>
    <row r="14" spans="1:7" x14ac:dyDescent="0.2">
      <c r="A14" s="126" t="s">
        <v>217</v>
      </c>
      <c r="B14" s="129"/>
      <c r="C14" s="88"/>
      <c r="D14" s="88"/>
      <c r="E14" s="88"/>
      <c r="F14" s="88"/>
      <c r="G14" s="89"/>
    </row>
    <row r="15" spans="1:7" x14ac:dyDescent="0.2">
      <c r="A15" s="126" t="s">
        <v>218</v>
      </c>
      <c r="B15" s="127"/>
      <c r="C15" s="64">
        <f>'E-InvAT'!C32</f>
        <v>27015.98330376147</v>
      </c>
      <c r="D15" s="64">
        <f>'E-InvAT'!D32</f>
        <v>-11.051844145664218</v>
      </c>
      <c r="E15" s="64">
        <f>'E-InvAT'!E32</f>
        <v>0</v>
      </c>
      <c r="F15" s="64">
        <f>'E-InvAT'!F32</f>
        <v>19.442859423795596</v>
      </c>
      <c r="G15" s="64">
        <f>'E-InvAT'!G32</f>
        <v>0</v>
      </c>
    </row>
    <row r="16" spans="1:7" x14ac:dyDescent="0.2">
      <c r="A16" s="126" t="s">
        <v>219</v>
      </c>
      <c r="B16" s="127"/>
      <c r="C16" s="64">
        <f>'E-InvAT'!C33</f>
        <v>13878.209284322647</v>
      </c>
      <c r="D16" s="64">
        <f>'E-InvAT'!D33</f>
        <v>-231.87605869812251</v>
      </c>
      <c r="E16" s="64">
        <f>'E-InvAT'!E33</f>
        <v>-1350.2002499999999</v>
      </c>
      <c r="F16" s="64">
        <f>'E-InvAT'!F33</f>
        <v>18.541311505763588</v>
      </c>
      <c r="G16" s="64">
        <f>'E-InvAT'!G33</f>
        <v>0</v>
      </c>
    </row>
    <row r="17" spans="1:7" x14ac:dyDescent="0.2">
      <c r="A17" s="128" t="s">
        <v>220</v>
      </c>
      <c r="B17" s="127"/>
      <c r="C17" s="96">
        <f>C12-C13-C15-C16</f>
        <v>1313609.808722069</v>
      </c>
      <c r="D17" s="96">
        <f t="shared" ref="D17:G17" si="1">D12-D13-D15-D16</f>
        <v>1391881.1819249126</v>
      </c>
      <c r="E17" s="96">
        <f t="shared" si="1"/>
        <v>1392988.4542720688</v>
      </c>
      <c r="F17" s="96">
        <f t="shared" si="1"/>
        <v>1393473.8438611391</v>
      </c>
      <c r="G17" s="96">
        <f t="shared" si="1"/>
        <v>1393511.8280320687</v>
      </c>
    </row>
    <row r="18" spans="1:7" x14ac:dyDescent="0.2">
      <c r="A18" s="128" t="s">
        <v>221</v>
      </c>
      <c r="B18" s="127"/>
      <c r="C18" s="96">
        <f>+('E-Costos'!B53+'E-Costos'!B54+'E-Costos'!B55+'E-Costos'!B56)*0.21</f>
        <v>10662.014594688177</v>
      </c>
      <c r="D18" s="96">
        <f>+('E-Costos'!C53+'E-Costos'!C54+'E-Costos'!C55+'E-Costos'!C56)*0.21</f>
        <v>11037.070219688178</v>
      </c>
      <c r="E18" s="96">
        <f>+('E-Costos'!D53+'E-Costos'!D54+'E-Costos'!D55+'E-Costos'!D56)*0.21</f>
        <v>11037.070219688178</v>
      </c>
      <c r="F18" s="96">
        <f>+('E-Costos'!E53+'E-Costos'!E54+'E-Costos'!E55+'E-Costos'!E56)*0.21</f>
        <v>11037.070219688178</v>
      </c>
      <c r="G18" s="96">
        <f>+('E-Costos'!F53+'E-Costos'!F54+'E-Costos'!F55+'E-Costos'!F56)*0.21</f>
        <v>11037.070219688178</v>
      </c>
    </row>
    <row r="19" spans="1:7" x14ac:dyDescent="0.2">
      <c r="A19" s="128" t="s">
        <v>222</v>
      </c>
      <c r="B19" s="127"/>
      <c r="C19" s="96">
        <f>('E-Costos'!B70+'E-Costos'!B71+'E-Costos'!B72+'E-Costos'!B73)*0.21</f>
        <v>13378.574594688174</v>
      </c>
      <c r="D19" s="96">
        <f>('E-Costos'!C70+'E-Costos'!C71+'E-Costos'!C72+'E-Costos'!C73)*0.21</f>
        <v>13753.630219688175</v>
      </c>
      <c r="E19" s="96">
        <f>('E-Costos'!D70+'E-Costos'!D71+'E-Costos'!D72+'E-Costos'!D73)*0.21</f>
        <v>13753.630219688175</v>
      </c>
      <c r="F19" s="96">
        <f>('E-Costos'!E70+'E-Costos'!E71+'E-Costos'!E72+'E-Costos'!E73)*0.21</f>
        <v>13753.630219688175</v>
      </c>
      <c r="G19" s="96">
        <f>('E-Costos'!F70+'E-Costos'!F71+'E-Costos'!F72+'E-Costos'!F73)*0.21</f>
        <v>13753.630219688175</v>
      </c>
    </row>
    <row r="20" spans="1:7" x14ac:dyDescent="0.2">
      <c r="A20" s="128"/>
      <c r="B20" s="129"/>
      <c r="C20" s="88"/>
      <c r="D20" s="88"/>
      <c r="E20" s="88"/>
      <c r="F20" s="88"/>
      <c r="G20" s="89"/>
    </row>
    <row r="21" spans="1:7" x14ac:dyDescent="0.2">
      <c r="A21" s="126" t="s">
        <v>223</v>
      </c>
      <c r="B21" s="127"/>
      <c r="C21" s="64">
        <f>+C17+C18+C19</f>
        <v>1337650.3979114452</v>
      </c>
      <c r="D21" s="64">
        <f t="shared" ref="D21:G21" si="2">+D17+D18+D19</f>
        <v>1416671.8823642889</v>
      </c>
      <c r="E21" s="64">
        <f t="shared" si="2"/>
        <v>1417779.1547114451</v>
      </c>
      <c r="F21" s="64">
        <f t="shared" si="2"/>
        <v>1418264.5443005154</v>
      </c>
      <c r="G21" s="64">
        <f t="shared" si="2"/>
        <v>1418302.528471445</v>
      </c>
    </row>
    <row r="22" spans="1:7" x14ac:dyDescent="0.2">
      <c r="A22" s="126" t="s">
        <v>224</v>
      </c>
      <c r="B22" s="127"/>
      <c r="C22" s="64">
        <f>'E-Costos'!B87*0.21</f>
        <v>3716055</v>
      </c>
      <c r="D22" s="64">
        <f>'E-Costos'!C87*0.21</f>
        <v>3885000</v>
      </c>
      <c r="E22" s="64">
        <f>'E-Costos'!D87*0.21</f>
        <v>3885000</v>
      </c>
      <c r="F22" s="64">
        <f>'E-Costos'!E87*0.21</f>
        <v>3885000</v>
      </c>
      <c r="G22" s="64">
        <f>'E-Costos'!F87*0.21</f>
        <v>3885000</v>
      </c>
    </row>
    <row r="23" spans="1:7" x14ac:dyDescent="0.2">
      <c r="A23" s="128" t="s">
        <v>225</v>
      </c>
      <c r="B23" s="127"/>
      <c r="C23" s="64">
        <f>C22-C21</f>
        <v>2378404.6020885548</v>
      </c>
      <c r="D23" s="64">
        <f t="shared" ref="D23:G23" si="3">D22-D21</f>
        <v>2468328.1176357111</v>
      </c>
      <c r="E23" s="64">
        <f t="shared" si="3"/>
        <v>2467220.8452885551</v>
      </c>
      <c r="F23" s="64">
        <f t="shared" si="3"/>
        <v>2466735.4556994848</v>
      </c>
      <c r="G23" s="64">
        <f t="shared" si="3"/>
        <v>2466697.4715285553</v>
      </c>
    </row>
    <row r="24" spans="1:7" x14ac:dyDescent="0.2">
      <c r="A24" s="126"/>
      <c r="B24" s="129"/>
      <c r="C24" s="88"/>
      <c r="D24" s="88"/>
      <c r="E24" s="88"/>
      <c r="F24" s="88"/>
      <c r="G24" s="89"/>
    </row>
    <row r="25" spans="1:7" x14ac:dyDescent="0.2">
      <c r="A25" s="130" t="s">
        <v>226</v>
      </c>
      <c r="B25" s="127">
        <v>0</v>
      </c>
      <c r="C25" s="64">
        <f>B27</f>
        <v>1789528.7510933294</v>
      </c>
      <c r="D25" s="64">
        <f t="shared" ref="D25:G25" si="4">C27</f>
        <v>0</v>
      </c>
      <c r="E25" s="64">
        <f t="shared" si="4"/>
        <v>0</v>
      </c>
      <c r="F25" s="64">
        <f t="shared" si="4"/>
        <v>0</v>
      </c>
      <c r="G25" s="64">
        <f t="shared" si="4"/>
        <v>0</v>
      </c>
    </row>
    <row r="26" spans="1:7" x14ac:dyDescent="0.2">
      <c r="A26" s="130" t="s">
        <v>227</v>
      </c>
      <c r="B26" s="127">
        <f>'E-Cal Inv.'!B23+'E-Cal Inv.'!C23</f>
        <v>1789528.7510933294</v>
      </c>
      <c r="C26" s="64">
        <f>'E-Cal Inv.'!D23</f>
        <v>89519.239507030128</v>
      </c>
      <c r="D26" s="64">
        <f>'E-Cal Inv.'!E23</f>
        <v>-242.92790284378671</v>
      </c>
      <c r="E26" s="64">
        <f>'E-Cal Inv.'!F23</f>
        <v>-1350.2002499999999</v>
      </c>
      <c r="F26" s="64">
        <f>'E-Cal Inv.'!G23</f>
        <v>1159.2479051676389</v>
      </c>
      <c r="G26" s="64">
        <f>'E-Cal Inv.'!H23</f>
        <v>0</v>
      </c>
    </row>
    <row r="27" spans="1:7" x14ac:dyDescent="0.2">
      <c r="A27" s="128" t="s">
        <v>228</v>
      </c>
      <c r="B27" s="127">
        <f>B25+B26</f>
        <v>1789528.7510933294</v>
      </c>
      <c r="C27" s="64">
        <f>C25-C23+C26+C30</f>
        <v>0</v>
      </c>
      <c r="D27" s="64">
        <f t="shared" ref="D27:G27" si="5">D25-D23+D26+D30</f>
        <v>0</v>
      </c>
      <c r="E27" s="64">
        <f t="shared" si="5"/>
        <v>0</v>
      </c>
      <c r="F27" s="64">
        <f t="shared" si="5"/>
        <v>0</v>
      </c>
      <c r="G27" s="64">
        <f t="shared" si="5"/>
        <v>0</v>
      </c>
    </row>
    <row r="28" spans="1:7" x14ac:dyDescent="0.2">
      <c r="A28" s="128" t="s">
        <v>646</v>
      </c>
      <c r="B28" s="127"/>
      <c r="C28" s="64">
        <f>C23-C30</f>
        <v>1879047.9906003596</v>
      </c>
      <c r="D28" s="64">
        <f t="shared" ref="D28:G28" si="6">D23-D30</f>
        <v>-242.92790284380317</v>
      </c>
      <c r="E28" s="64">
        <f t="shared" si="6"/>
        <v>-1350.2002500002272</v>
      </c>
      <c r="F28" s="64">
        <f t="shared" si="6"/>
        <v>1159.247905167751</v>
      </c>
      <c r="G28" s="64">
        <f>G23-G30</f>
        <v>0</v>
      </c>
    </row>
    <row r="29" spans="1:7" x14ac:dyDescent="0.2">
      <c r="A29" s="126"/>
      <c r="B29" s="129"/>
      <c r="C29" s="88"/>
      <c r="D29" s="88"/>
      <c r="E29" s="88"/>
      <c r="F29" s="88"/>
      <c r="G29" s="88"/>
    </row>
    <row r="30" spans="1:7" x14ac:dyDescent="0.2">
      <c r="A30" s="131" t="s">
        <v>229</v>
      </c>
      <c r="B30" s="132"/>
      <c r="C30" s="70">
        <f>C23-C25-C26</f>
        <v>499356.61148819525</v>
      </c>
      <c r="D30" s="70">
        <f>D23-D25-D26</f>
        <v>2468571.0455385549</v>
      </c>
      <c r="E30" s="70">
        <f t="shared" ref="D30:G30" si="7">E23-E25-E26</f>
        <v>2468571.0455385554</v>
      </c>
      <c r="F30" s="70">
        <f t="shared" si="7"/>
        <v>2465576.207794317</v>
      </c>
      <c r="G30" s="70">
        <f t="shared" si="7"/>
        <v>2466697.4715285553</v>
      </c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4</vt:i4>
      </vt:variant>
    </vt:vector>
  </HeadingPairs>
  <TitlesOfParts>
    <vt:vector size="21" baseType="lpstr">
      <vt:lpstr>InfoInicial</vt:lpstr>
      <vt:lpstr>E-Inv AF y Am</vt:lpstr>
      <vt:lpstr>Detalle Inv AF</vt:lpstr>
      <vt:lpstr>E-Costos</vt:lpstr>
      <vt:lpstr>Detalle Costo</vt:lpstr>
      <vt:lpstr>E-InvAT</vt:lpstr>
      <vt:lpstr>Detalle Inv-AT</vt:lpstr>
      <vt:lpstr>E-Cal Inv.</vt:lpstr>
      <vt:lpstr>E-IVA </vt:lpstr>
      <vt:lpstr>E-Form</vt:lpstr>
      <vt:lpstr>F-Cred</vt:lpstr>
      <vt:lpstr>F-CRes</vt:lpstr>
      <vt:lpstr>F-2 Estructura</vt:lpstr>
      <vt:lpstr>F-IVA</vt:lpstr>
      <vt:lpstr>F- CFyU</vt:lpstr>
      <vt:lpstr>F-Balance</vt:lpstr>
      <vt:lpstr>F- Form</vt:lpstr>
      <vt:lpstr>'E-Costos'!Área_de_impresión</vt:lpstr>
      <vt:lpstr>'F- CFyU'!Área_de_impresión</vt:lpstr>
      <vt:lpstr>'F-Balance'!Área_de_impresión</vt:lpstr>
      <vt:lpstr>'F-Cred'!Área_de_impresión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</dc:creator>
  <cp:lastModifiedBy>Usuario</cp:lastModifiedBy>
  <dcterms:created xsi:type="dcterms:W3CDTF">2017-08-30T00:11:49Z</dcterms:created>
  <dcterms:modified xsi:type="dcterms:W3CDTF">2017-08-31T21:08:45Z</dcterms:modified>
</cp:coreProperties>
</file>